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5940" windowWidth="19260" windowHeight="6000" tabRatio="837" firstSheet="1" activeTab="1"/>
  </bookViews>
  <sheets>
    <sheet name="DDLs" sheetId="84" state="hidden" r:id="rId1"/>
    <sheet name="ScheduleOfTasks" sheetId="94" r:id="rId2"/>
    <sheet name="ConditionalFormat" sheetId="93" state="hidden" r:id="rId3"/>
    <sheet name="AddToPlan" sheetId="97" state="hidden" r:id="rId4"/>
    <sheet name="Names" sheetId="96" r:id="rId5"/>
    <sheet name="Sheet1" sheetId="98" state="hidden" r:id="rId6"/>
    <sheet name="HearingAndAdDates" sheetId="99" r:id="rId7"/>
  </sheets>
  <definedNames>
    <definedName name="_xlnm.Print_Area" localSheetId="1">ScheduleOfTasks!$B$2:$H$763</definedName>
    <definedName name="S.AC.BANNER.Begin">ScheduleOfTasks!$G$16</definedName>
    <definedName name="S.AC.BANNER.End">ScheduleOfTasks!$H$16</definedName>
    <definedName name="S.AC.Charter">ScheduleOfTasks!$C$196</definedName>
    <definedName name="S.AC.CommitteeInvolved">ScheduleOfTasks!$C$16</definedName>
    <definedName name="S.AC.DateMeeting1">ScheduleOfTasks!$G$209</definedName>
    <definedName name="S.AC.DateMeeting2">ScheduleOfTasks!$G$232</definedName>
    <definedName name="S.AC.DateMeeting3">ScheduleOfTasks!$G$255</definedName>
    <definedName name="S.AC.DateMeeting4">ScheduleOfTasks!$G$278</definedName>
    <definedName name="S.AC.DateMeeting5">ScheduleOfTasks!$G$301</definedName>
    <definedName name="S.AC.InvolveMeeting1">ScheduleOfTasks!$C$209</definedName>
    <definedName name="S.AC.InvolveMeeting2">ScheduleOfTasks!$C$232</definedName>
    <definedName name="S.AC.InvolveMeeting3">ScheduleOfTasks!$C$255</definedName>
    <definedName name="S.AC.InvolveMeeting4">ScheduleOfTasks!$C$278</definedName>
    <definedName name="S.AC.InvolveMeeting5">ScheduleOfTasks!$C$301</definedName>
    <definedName name="S.AC.Presentation1">ScheduleOfTasks!$C$220</definedName>
    <definedName name="S.AC.Presentation2">ScheduleOfTasks!$C$243</definedName>
    <definedName name="S.AC.Presentation3">ScheduleOfTasks!$C$266</definedName>
    <definedName name="S.AC.Presentation4">ScheduleOfTasks!$C$289</definedName>
    <definedName name="S.AC.Presentation5">ScheduleOfTasks!$C$312</definedName>
    <definedName name="S.AC.SendInvitation">ScheduleOfTasks!$H$207</definedName>
    <definedName name="S.AC.WebPage">ScheduleOfTasks!$C$195</definedName>
    <definedName name="S.Comment.ApproveResponseLoop2">ScheduleOfTasks!$C$606</definedName>
    <definedName name="S.Comment.ApproveResponseLoop3">ScheduleOfTasks!$C$607</definedName>
    <definedName name="S.Comment.ApproveResponseLoop4">ScheduleOfTasks!$C$608</definedName>
    <definedName name="S.DDL_Bulletin">DDLs!$A$75:$A$182</definedName>
    <definedName name="S.DDL_DEQClosed">DDLs!$A$23:$A$71</definedName>
    <definedName name="S.DDL_EQCMeeting">DDLs!$A$4:$A$14</definedName>
    <definedName name="S.Default6">ScheduleOfTasks!$AAG$616</definedName>
    <definedName name="S.EQC.1on1Briefing">ScheduleOfTasks!$C$671</definedName>
    <definedName name="S.EQC.ApprovePacketLoop1">ScheduleOfTasks!$C$658</definedName>
    <definedName name="S.EQC.ApprovePacketLoop2">ScheduleOfTasks!$C$662</definedName>
    <definedName name="S.EQC.ApprovePacketLoop3">ScheduleOfTasks!$C$666</definedName>
    <definedName name="S.EQC.ApprovePacketLoop4">ScheduleOfTasks!$C$673</definedName>
    <definedName name="S.EQC.ApprovePresentationLoop2">ScheduleOfTasks!$C$563</definedName>
    <definedName name="S.EQC.ApprovePresentationLoop3">ScheduleOfTasks!$C$564</definedName>
    <definedName name="S.EQC.ApprovePresentationLoop4">ScheduleOfTasks!$C$565</definedName>
    <definedName name="S.EQC.BANNER.Begin">ScheduleOfTasks!$G$616</definedName>
    <definedName name="S.EQC.BANNER.End">ScheduleOfTasks!$H$616</definedName>
    <definedName name="S.EQC.DirReport">ScheduleOfTasks!$C$38</definedName>
    <definedName name="S.EQC.FacHearing">ScheduleOfTasks!$C$40</definedName>
    <definedName name="S.EQC.InfoItem">ScheduleOfTasks!$C$39</definedName>
    <definedName name="S.EQC.Meeting">ScheduleOfTasks!$H$43</definedName>
    <definedName name="S.EQC.MeetingNEXT">ScheduleOfTasks!$AAH$9</definedName>
    <definedName name="S.EQC.PacketBeginReview">ScheduleOfTasks!$G$658</definedName>
    <definedName name="S.EQC.PacketEndReview">ScheduleOfTasks!$H$673</definedName>
    <definedName name="S.EQC.SubmitStaffRpt">ScheduleOfTasks!$H$42</definedName>
    <definedName name="S.Fee.ApproveDASdenialResponseLoop1">ScheduleOfTasks!$C$355</definedName>
    <definedName name="S.Fee.ApproveDASdenialResponseLoop2">ScheduleOfTasks!$C$356</definedName>
    <definedName name="S.Fee.ApproveDASdenialResponseLoop4">ScheduleOfTasks!$C$357</definedName>
    <definedName name="S.Fee.ApprovePacketLoop2">ScheduleOfTasks!$C$342</definedName>
    <definedName name="S.Fee.ApprovePacketLoop3">ScheduleOfTasks!$C$343</definedName>
    <definedName name="S.Fee.ApprovePacketLoop4">ScheduleOfTasks!$C$344</definedName>
    <definedName name="S.Fee.BANNER.Begin">ScheduleOfTasks!$G$330</definedName>
    <definedName name="S.Fee.BANNER.End">ScheduleOfTasks!$H$330</definedName>
    <definedName name="S.Fee.DASApprovalRequired">ScheduleOfTasks!$C$19</definedName>
    <definedName name="S.Fee.Involved">ScheduleOfTasks!$C$18</definedName>
    <definedName name="S.Fee.SubmitToDAS">ScheduleOfTasks!$H$31</definedName>
    <definedName name="S.General.CodeName">Names!$E$4</definedName>
    <definedName name="S.General.Complexity">ScheduleOfTasks!$C$14</definedName>
    <definedName name="S.General.DaysRecommended">ScheduleOfTasks!$D$45</definedName>
    <definedName name="S.General.LastCellSchedule">ScheduleOfTasks!$H$763</definedName>
    <definedName name="S.General.RulemakingTitle">Names!$G$4</definedName>
    <definedName name="S.General.RuleType">ScheduleOfTasks!$C$12</definedName>
    <definedName name="S.Hearing.1stCity">ScheduleOfTasks!$B$370</definedName>
    <definedName name="S.Hearing.1stDate">ScheduleOfTasks!$H$34</definedName>
    <definedName name="S.Hearing.1stInvolve">ScheduleOfTasks!$C$34</definedName>
    <definedName name="S.Hearing.2ndCity">ScheduleOfTasks!$B$371</definedName>
    <definedName name="S.Hearing.2ndDate">ScheduleOfTasks!$G$371</definedName>
    <definedName name="S.Hearing.2ndInvolve">ScheduleOfTasks!$C$371</definedName>
    <definedName name="S.Hearing.3rdCity">ScheduleOfTasks!$B$372</definedName>
    <definedName name="S.Hearing.3rdDate">ScheduleOfTasks!$G$372</definedName>
    <definedName name="S.Hearing.3rdInvolve">ScheduleOfTasks!$C$372</definedName>
    <definedName name="S.Hearing.4thCity">ScheduleOfTasks!$B$373</definedName>
    <definedName name="S.Hearing.4thDate">ScheduleOfTasks!$G$373</definedName>
    <definedName name="S.Hearing.4thInvolve">ScheduleOfTasks!$C$373</definedName>
    <definedName name="S.Hearing.5thCity">ScheduleOfTasks!$B$374</definedName>
    <definedName name="S.Hearing.5thDate">ScheduleOfTasks!$G$374</definedName>
    <definedName name="S.Hearing.5thInvolve">ScheduleOfTasks!$C$374</definedName>
    <definedName name="S.Hearing.6thCity">ScheduleOfTasks!$B$375</definedName>
    <definedName name="S.Hearing.6thDate">ScheduleOfTasks!$G$375</definedName>
    <definedName name="S.Hearing.6thInvolve">ScheduleOfTasks!$C$375</definedName>
    <definedName name="S.Hearing.7thCity">ScheduleOfTasks!$B$376</definedName>
    <definedName name="S.Hearing.7thDate">ScheduleOfTasks!$G$376</definedName>
    <definedName name="S.Hearing.7thInvolve">ScheduleOfTasks!$C$376</definedName>
    <definedName name="S.Hearing.8thCity">ScheduleOfTasks!$B$377</definedName>
    <definedName name="S.Hearing.8thDate">ScheduleOfTasks!$G$377</definedName>
    <definedName name="S.Hearing.8thtInvolve">ScheduleOfTasks!$C$377</definedName>
    <definedName name="S.Hearing.BANNER.Begin">ScheduleOfTasks!$G$550</definedName>
    <definedName name="S.Hearing.BANNER.End">ScheduleOfTasks!$H$550</definedName>
    <definedName name="S.Notice.AD.Involved">ScheduleOfTasks!$C$450</definedName>
    <definedName name="S.Notice.AD.PubDate1">ScheduleOfTasks!$H$452</definedName>
    <definedName name="S.Notice.AD.PubDate2">ScheduleOfTasks!$H$453</definedName>
    <definedName name="S.Notice.AD.PubDate3">ScheduleOfTasks!$H$454</definedName>
    <definedName name="S.Notice.AD.PubDate4">ScheduleOfTasks!$H$455</definedName>
    <definedName name="S.Notice.AD.PubDate5">ScheduleOfTasks!$H$456</definedName>
    <definedName name="S.Notice.AD.PubDate6">ScheduleOfTasks!$H$457</definedName>
    <definedName name="S.Notice.AD.PubDate7">ScheduleOfTasks!$H$458</definedName>
    <definedName name="S.Notice.AD.PubDate8">ScheduleOfTasks!$H$459</definedName>
    <definedName name="S.Notice.AD.PubID1">ScheduleOfTasks!$B$452</definedName>
    <definedName name="S.Notice.AD.PubID2">ScheduleOfTasks!$B$453</definedName>
    <definedName name="S.Notice.AD.PubID3">ScheduleOfTasks!$B$454</definedName>
    <definedName name="S.Notice.AD.PubID4">ScheduleOfTasks!$B$455</definedName>
    <definedName name="S.Notice.AD.PubID5">ScheduleOfTasks!$B$456</definedName>
    <definedName name="S.Notice.AD.PubID6">ScheduleOfTasks!$B$457</definedName>
    <definedName name="S.Notice.AD.PubID7">ScheduleOfTasks!$B$458</definedName>
    <definedName name="S.Notice.AD.PubID8">ScheduleOfTasks!$B$459</definedName>
    <definedName name="S.Notice.AD.ToContractServices">ScheduleOfTasks!$H$463</definedName>
    <definedName name="S.Notice.ApprovePacketLoop2">ScheduleOfTasks!$C$446</definedName>
    <definedName name="S.Notice.ApprovePacketLoop3">ScheduleOfTasks!$C$447</definedName>
    <definedName name="S.Notice.ApprovePacketLoop4">ScheduleOfTasks!$C$448</definedName>
    <definedName name="S.Notice.BANNER.Begin">ScheduleOfTasks!$G$366</definedName>
    <definedName name="S.Notice.BANNER.End">ScheduleOfTasks!$H$366</definedName>
    <definedName name="S.Notice.CloseComment">ScheduleOfTasks!$H$35</definedName>
    <definedName name="S.Notice.ContentForCommentBox">#REF!</definedName>
    <definedName name="S.Notice.CustomReviewLoop1">ScheduleOfTasks!$C$428</definedName>
    <definedName name="S.Notice.CustomReviewLoop2">ScheduleOfTasks!$C$432</definedName>
    <definedName name="S.Notice.CustomReviewLoop3">ScheduleOfTasks!$C$436</definedName>
    <definedName name="S.Notice.DABriefing">ScheduleOfTasks!$H$475</definedName>
    <definedName name="S.Notice.DASNotification">ScheduleOfTasks!$G$518</definedName>
    <definedName name="S.Notice.EMAIL.RulePublication">ScheduleOfTasks!$H$501</definedName>
    <definedName name="S.Notice.HearingInvolved">ScheduleOfTasks!$C$34</definedName>
    <definedName name="S.Notice.InformationMeeting">ScheduleOfTasks!$C$128</definedName>
    <definedName name="S.Notice.InOregonBulletin">ScheduleOfTasks!$H$30</definedName>
    <definedName name="S.Notice.Involved">ScheduleOfTasks!$C$25</definedName>
    <definedName name="S.Notice.LA.BriefingMeeting">ScheduleOfTasks!$G$474</definedName>
    <definedName name="S.Notice.LastHearingDate">ScheduleOfTasks!$G$378</definedName>
    <definedName name="S.Notice.MgrNoticeApproval">ScheduleOfTasks!$H$495</definedName>
    <definedName name="S.Notice.OpenComment">ScheduleOfTasks!$H$33</definedName>
    <definedName name="S.Notice.PreviewBegin">ScheduleOfTasks!$H$478</definedName>
    <definedName name="S.Notice.PreviewEnd">ScheduleOfTasks!$H$481</definedName>
    <definedName name="S.Notice.StartDraft">ScheduleOfTasks!$G$391</definedName>
    <definedName name="S.Notice.SubmitToEPA">ScheduleOfTasks!#REF!</definedName>
    <definedName name="S.Notice.SubmitToSOS">ScheduleOfTasks!$H$29</definedName>
    <definedName name="S.Overview.BANNER.End">ScheduleOfTasks!$H$7</definedName>
    <definedName name="S.Overview.BANNER.Start">ScheduleOfTasks!$G$7</definedName>
    <definedName name="S.Planning.AddConcepToPlanDate">ScheduleOfTasks!$H$96</definedName>
    <definedName name="S.Planning.ApproveCommunicationsLoop2">ScheduleOfTasks!$C$139</definedName>
    <definedName name="S.Planning.ApproveCommunicationsLoop3">ScheduleOfTasks!$C$140</definedName>
    <definedName name="S.Planning.ApproveCommunicationsLoop4">ScheduleOfTasks!$C$141</definedName>
    <definedName name="S.Planning.BANNER.Begin">ScheduleOfTasks!$G$55</definedName>
    <definedName name="S.Planning.BANNER.End">ScheduleOfTasks!$H$55</definedName>
    <definedName name="S.Planning.CommunicationsPlan">ScheduleOfTasks!$C$125</definedName>
    <definedName name="S.Planning.DecisionToAddToPlan">ScheduleOfTasks!$C$100</definedName>
    <definedName name="S.Planning.ExpandTeam">ScheduleOfTasks!$C$111</definedName>
    <definedName name="S.Planning.MessageMap">ScheduleOfTasks!$C$126</definedName>
    <definedName name="S.Planning.ProgramWebPage">ScheduleOfTasks!$C$127</definedName>
    <definedName name="S.PostEQC.BANNER.Begin">ScheduleOfTasks!$G$698</definedName>
    <definedName name="S.PostEQC.BANNER.End">ScheduleOfTasks!$H$698</definedName>
    <definedName name="S.PostEQC.EffectiveUponFiling">ScheduleOfTasks!$C$49</definedName>
    <definedName name="S.PostEQC.FileRuleWithSOS">ScheduleOfTasks!$H$47</definedName>
    <definedName name="S.PostEQC.NotifyStakeholders">ScheduleOfTasks!$C$710</definedName>
    <definedName name="S.PostEQC.RuleEffective">ScheduleOfTasks!$H$49</definedName>
    <definedName name="S.PostEQC.SubmitDASPart2">ScheduleOfTasks!$H$48</definedName>
    <definedName name="S.PostEQC.SubmitSIPToEPA">ScheduleOfTasks!$H$50</definedName>
    <definedName name="S.RuleDevelopmentLink">Names!$G$6</definedName>
    <definedName name="S.SIP.End">ScheduleOfTasks!$H$22</definedName>
    <definedName name="S.SIP.Involved">ScheduleOfTasks!$C$21</definedName>
    <definedName name="S.SIP.Start">ScheduleOfTasks!$G$22</definedName>
    <definedName name="S.Staff.AAG">Names!$C$15</definedName>
    <definedName name="S.Staff.AgencyRulesCoordinator">Names!$C$9</definedName>
    <definedName name="S.Staff.AssistDA">Names!$C$21</definedName>
    <definedName name="S.Staff.Budget">Names!$C$14</definedName>
    <definedName name="S.Staff.CheifPublicAffairsOfficer">Names!$C$22</definedName>
    <definedName name="S.Staff.DA">Names!$C$6</definedName>
    <definedName name="S.Staff.Director">Names!$C$19</definedName>
    <definedName name="S.Staff.DivisionRulesCoordinator">Names!$C$8</definedName>
    <definedName name="S.Staff.EQCAssistant">Names!$C$10</definedName>
    <definedName name="S.Staff.Fiscal">Names!$C$13</definedName>
    <definedName name="S.Staff.HearingsOfficer">Names!$C$20</definedName>
    <definedName name="S.Staff.Lead">Names!$C$4</definedName>
    <definedName name="S.Staff.LegislativeLiason">Names!$C$16</definedName>
    <definedName name="S.Staff.Mgr">Names!$C$5</definedName>
    <definedName name="S.Staff.OCOCommunication">Names!$C$7</definedName>
    <definedName name="S.Staff.SIPCo">Names!$C$11</definedName>
    <definedName name="S.Staff.Support">Names!$C$17</definedName>
    <definedName name="S.Staff.TimeAccounting">Names!$C$18</definedName>
    <definedName name="S.Staff.WebMaster">Names!$C$12</definedName>
    <definedName name="VL_Bulletin">DDLs!$A$75:$B$182</definedName>
    <definedName name="VL_EQCActivities">DDLs!$A$4:$F$19</definedName>
  </definedNames>
  <calcPr calcId="125725"/>
</workbook>
</file>

<file path=xl/calcChain.xml><?xml version="1.0" encoding="utf-8"?>
<calcChain xmlns="http://schemas.openxmlformats.org/spreadsheetml/2006/main">
  <c r="D19" i="94"/>
  <c r="C733"/>
  <c r="C516"/>
  <c r="C166"/>
  <c r="C334"/>
  <c r="C345"/>
  <c r="AAE379"/>
  <c r="AAE378"/>
  <c r="AAE377"/>
  <c r="AAE376"/>
  <c r="AAE375"/>
  <c r="AAE374"/>
  <c r="AAE373"/>
  <c r="AAE372"/>
  <c r="AAE371"/>
  <c r="AAE370"/>
  <c r="H4" i="96"/>
  <c r="AAE192" i="94"/>
  <c r="AAE191"/>
  <c r="AAE190"/>
  <c r="AAE189"/>
  <c r="AAE188"/>
  <c r="AAE187"/>
  <c r="AAE175"/>
  <c r="AAK175"/>
  <c r="B175" s="1"/>
  <c r="C176"/>
  <c r="AAE176"/>
  <c r="C177"/>
  <c r="AAE177"/>
  <c r="AAK177"/>
  <c r="B177" s="1"/>
  <c r="AAK369"/>
  <c r="AAE622"/>
  <c r="AAE621"/>
  <c r="AAE620"/>
  <c r="AAE390"/>
  <c r="AAE389"/>
  <c r="AAE388"/>
  <c r="AAE387"/>
  <c r="AAE386"/>
  <c r="AAK682"/>
  <c r="AAK111"/>
  <c r="AAK90"/>
  <c r="C700"/>
  <c r="C618"/>
  <c r="C552"/>
  <c r="C368"/>
  <c r="C332"/>
  <c r="C174"/>
  <c r="C57"/>
  <c r="AAE701"/>
  <c r="AAK134"/>
  <c r="AAK132"/>
  <c r="AAK133"/>
  <c r="C621" l="1"/>
  <c r="C634"/>
  <c r="C395"/>
  <c r="AAK124"/>
  <c r="C486"/>
  <c r="C487"/>
  <c r="C483"/>
  <c r="C473"/>
  <c r="C470"/>
  <c r="C467"/>
  <c r="AAK464"/>
  <c r="C461"/>
  <c r="C460"/>
  <c r="C381"/>
  <c r="C338"/>
  <c r="C339"/>
  <c r="AAK339"/>
  <c r="AAK338"/>
  <c r="C322"/>
  <c r="C299"/>
  <c r="C276"/>
  <c r="C253"/>
  <c r="C230"/>
  <c r="C318"/>
  <c r="C295"/>
  <c r="C272"/>
  <c r="C249"/>
  <c r="C226"/>
  <c r="C314"/>
  <c r="C291"/>
  <c r="C268"/>
  <c r="C245"/>
  <c r="C222"/>
  <c r="C306"/>
  <c r="C283"/>
  <c r="C260"/>
  <c r="C237"/>
  <c r="C214"/>
  <c r="C304"/>
  <c r="C281"/>
  <c r="C258"/>
  <c r="C235"/>
  <c r="C212"/>
  <c r="C205"/>
  <c r="C180"/>
  <c r="C179"/>
  <c r="C154"/>
  <c r="C151"/>
  <c r="C133"/>
  <c r="C132"/>
  <c r="C102"/>
  <c r="C99"/>
  <c r="C80"/>
  <c r="C73"/>
  <c r="C59"/>
  <c r="D39"/>
  <c r="D38"/>
  <c r="C324"/>
  <c r="C360"/>
  <c r="C544"/>
  <c r="C610"/>
  <c r="C692"/>
  <c r="C758"/>
  <c r="C728"/>
  <c r="C749"/>
  <c r="C721"/>
  <c r="C712"/>
  <c r="C713"/>
  <c r="AAK625"/>
  <c r="AAK712"/>
  <c r="AAK757"/>
  <c r="B757" s="1"/>
  <c r="AAK751" l="1"/>
  <c r="AAK749"/>
  <c r="B749" s="1"/>
  <c r="AAK742"/>
  <c r="B742" s="1"/>
  <c r="AAK707"/>
  <c r="AAK708"/>
  <c r="AAK65"/>
  <c r="B65" s="1"/>
  <c r="AAK719"/>
  <c r="AAK711"/>
  <c r="AAK702"/>
  <c r="AAK713"/>
  <c r="AAK27"/>
  <c r="AAE686"/>
  <c r="AAE685"/>
  <c r="AAE662"/>
  <c r="AAG366"/>
  <c r="AAE466" l="1"/>
  <c r="AAE431"/>
  <c r="AAH431" s="1"/>
  <c r="AAE430"/>
  <c r="AAH430" s="1"/>
  <c r="AAE429"/>
  <c r="AAH429" s="1"/>
  <c r="AAE428"/>
  <c r="AAH428" s="1"/>
  <c r="AAK40"/>
  <c r="AAK37"/>
  <c r="AAK25"/>
  <c r="AAK21"/>
  <c r="F40"/>
  <c r="F39"/>
  <c r="F38"/>
  <c r="AAK43"/>
  <c r="B43" s="1"/>
  <c r="AAK12"/>
  <c r="B12" s="1"/>
  <c r="AAK42"/>
  <c r="B42" s="1"/>
  <c r="AAK16"/>
  <c r="AAK18"/>
  <c r="AAK32"/>
  <c r="B32" s="1"/>
  <c r="AAK39"/>
  <c r="B39" s="1"/>
  <c r="AAK38"/>
  <c r="B38" s="1"/>
  <c r="AAK35"/>
  <c r="AAK34"/>
  <c r="AAK33"/>
  <c r="AAK31"/>
  <c r="AAK30"/>
  <c r="AAK29"/>
  <c r="AAK28"/>
  <c r="B27"/>
  <c r="AAK26"/>
  <c r="B26" s="1"/>
  <c r="AAK19"/>
  <c r="AAK569"/>
  <c r="AAE595"/>
  <c r="AAE594"/>
  <c r="AAE592"/>
  <c r="AAE588"/>
  <c r="AAE587"/>
  <c r="AAE585"/>
  <c r="AAE584"/>
  <c r="AAE583"/>
  <c r="AAE582"/>
  <c r="AAE581"/>
  <c r="AAE580"/>
  <c r="AAE579"/>
  <c r="AAE578"/>
  <c r="AAE577"/>
  <c r="AAE576"/>
  <c r="AAE575"/>
  <c r="AAE574"/>
  <c r="AAE573"/>
  <c r="AAE572"/>
  <c r="AAE571"/>
  <c r="AAE570"/>
  <c r="AAE566"/>
  <c r="AAE565"/>
  <c r="AAE564"/>
  <c r="AAE563"/>
  <c r="AAE562"/>
  <c r="AAE561"/>
  <c r="AAE560"/>
  <c r="AAE559"/>
  <c r="AAE558"/>
  <c r="AAE557"/>
  <c r="AAE556"/>
  <c r="AAE554"/>
  <c r="AAE553"/>
  <c r="AAE385"/>
  <c r="AAE384"/>
  <c r="AAE383"/>
  <c r="AAE382"/>
  <c r="AAE381"/>
  <c r="AAE380"/>
  <c r="AAE369"/>
  <c r="AAE40"/>
  <c r="AAE34"/>
  <c r="AAK547"/>
  <c r="C2"/>
  <c r="AAK670"/>
  <c r="AAK476"/>
  <c r="AAE26"/>
  <c r="AAJ21"/>
  <c r="E21" s="1"/>
  <c r="AAK647"/>
  <c r="AAK636"/>
  <c r="AAK623"/>
  <c r="AAK85"/>
  <c r="AAJ12"/>
  <c r="E12" s="1"/>
  <c r="AAJ19"/>
  <c r="E19" s="1"/>
  <c r="AAJ44"/>
  <c r="AAJ16"/>
  <c r="AAJ14"/>
  <c r="AAJ25"/>
  <c r="AAJ34"/>
  <c r="AAK123"/>
  <c r="AAK117"/>
  <c r="AAE116"/>
  <c r="AAE115"/>
  <c r="AAE112"/>
  <c r="AAE113"/>
  <c r="AAE114"/>
  <c r="AAK113"/>
  <c r="AAK102"/>
  <c r="AAK99"/>
  <c r="AAK621"/>
  <c r="AAK620"/>
  <c r="AAK622"/>
  <c r="AAK619"/>
  <c r="AAE394"/>
  <c r="H763"/>
  <c r="AAJ18"/>
  <c r="AAE27"/>
  <c r="AAJ39"/>
  <c r="E39" s="1"/>
  <c r="AAK755"/>
  <c r="B755" s="1"/>
  <c r="AAK752"/>
  <c r="B752" s="1"/>
  <c r="AAK761"/>
  <c r="B761" s="1"/>
  <c r="AAG754"/>
  <c r="AAG755"/>
  <c r="AAG428" l="1"/>
  <c r="AAG430"/>
  <c r="AAG429"/>
  <c r="AAG431"/>
  <c r="AAJ45"/>
  <c r="E14"/>
  <c r="AAE439"/>
  <c r="AAE438"/>
  <c r="AAE437"/>
  <c r="AAE436"/>
  <c r="AAE435"/>
  <c r="AAE434"/>
  <c r="AAE433"/>
  <c r="AAE432"/>
  <c r="AAE134"/>
  <c r="AAE121"/>
  <c r="B117"/>
  <c r="AAE120"/>
  <c r="B111"/>
  <c r="AAE111"/>
  <c r="AAE119"/>
  <c r="AAE117"/>
  <c r="AAE146"/>
  <c r="AAE151"/>
  <c r="AAK150"/>
  <c r="AAK149"/>
  <c r="AAK748"/>
  <c r="AAE440"/>
  <c r="AAE427"/>
  <c r="AAK441"/>
  <c r="B441" s="1"/>
  <c r="AAE441"/>
  <c r="AAE633"/>
  <c r="AAE632"/>
  <c r="AAE141"/>
  <c r="AAG141" s="1"/>
  <c r="AAE140"/>
  <c r="AAG140" s="1"/>
  <c r="AAE139"/>
  <c r="AAG139" s="1"/>
  <c r="AAK604"/>
  <c r="B604" s="1"/>
  <c r="AAE604"/>
  <c r="AAK603"/>
  <c r="B603" s="1"/>
  <c r="AAE603"/>
  <c r="AAK602"/>
  <c r="B602" s="1"/>
  <c r="AAH598"/>
  <c r="AAE598"/>
  <c r="H599"/>
  <c r="F599" s="1"/>
  <c r="G599"/>
  <c r="AAE599"/>
  <c r="AAE601"/>
  <c r="AAE602"/>
  <c r="AAE600"/>
  <c r="B123"/>
  <c r="B124"/>
  <c r="AAE124"/>
  <c r="AAK554"/>
  <c r="AAK543"/>
  <c r="AAK145"/>
  <c r="B145" s="1"/>
  <c r="AAE144"/>
  <c r="AAE145"/>
  <c r="AAE143"/>
  <c r="AAE142"/>
  <c r="AAK142"/>
  <c r="B142" s="1"/>
  <c r="AAK137"/>
  <c r="B137" s="1"/>
  <c r="AAE137"/>
  <c r="AAK136"/>
  <c r="B136" s="1"/>
  <c r="AAE136"/>
  <c r="AAE138"/>
  <c r="AAE135"/>
  <c r="AAE123"/>
  <c r="AAE126"/>
  <c r="B134"/>
  <c r="AAE131"/>
  <c r="B133"/>
  <c r="B132"/>
  <c r="AAK130"/>
  <c r="B130" s="1"/>
  <c r="AAE133"/>
  <c r="AAE130"/>
  <c r="AAE129"/>
  <c r="AAE127"/>
  <c r="AAE346"/>
  <c r="AAE345"/>
  <c r="AAK197"/>
  <c r="AAE182"/>
  <c r="AAE150"/>
  <c r="AAK164"/>
  <c r="B164" s="1"/>
  <c r="AAE164"/>
  <c r="AAK148"/>
  <c r="B148" s="1"/>
  <c r="AAK147"/>
  <c r="AAE149"/>
  <c r="AAK108"/>
  <c r="AAK107"/>
  <c r="AAK106"/>
  <c r="AAK104"/>
  <c r="AAK105"/>
  <c r="AAE335"/>
  <c r="E18"/>
  <c r="E16"/>
  <c r="AAE39"/>
  <c r="AAE38"/>
  <c r="D34"/>
  <c r="E25"/>
  <c r="AAE22"/>
  <c r="AAK385"/>
  <c r="B385" s="1"/>
  <c r="AAK384"/>
  <c r="B384" s="1"/>
  <c r="AAK383"/>
  <c r="B383" s="1"/>
  <c r="AAK382"/>
  <c r="B382" s="1"/>
  <c r="AAH38"/>
  <c r="AAE631"/>
  <c r="AAE630"/>
  <c r="AAE629"/>
  <c r="AAE628"/>
  <c r="AAE627"/>
  <c r="AAE626"/>
  <c r="AAE625"/>
  <c r="AAE611"/>
  <c r="AAE610"/>
  <c r="AAE609"/>
  <c r="AAE590"/>
  <c r="AAE608"/>
  <c r="AAE607"/>
  <c r="AAE606"/>
  <c r="AAE605"/>
  <c r="AAE597"/>
  <c r="AAE596"/>
  <c r="AAE593"/>
  <c r="AAE591"/>
  <c r="AAE589"/>
  <c r="AAE586"/>
  <c r="AAE569"/>
  <c r="AAE568"/>
  <c r="AAE567"/>
  <c r="AAE555"/>
  <c r="AAE545"/>
  <c r="AAE544"/>
  <c r="AAE543"/>
  <c r="AAE542"/>
  <c r="AAE541"/>
  <c r="AAE540"/>
  <c r="AAE539"/>
  <c r="AAE538"/>
  <c r="AAE537"/>
  <c r="AAE536"/>
  <c r="AAE535"/>
  <c r="AAE534"/>
  <c r="AAE533"/>
  <c r="AAE532"/>
  <c r="AAE531"/>
  <c r="AAE530"/>
  <c r="AAE529"/>
  <c r="AAE528"/>
  <c r="AAE527"/>
  <c r="AAE526"/>
  <c r="AAE525"/>
  <c r="AAE524"/>
  <c r="AAE523"/>
  <c r="AAE522"/>
  <c r="AAE520"/>
  <c r="AAE519"/>
  <c r="AAE518"/>
  <c r="AAE517"/>
  <c r="AAE516"/>
  <c r="AAE515"/>
  <c r="AAE514"/>
  <c r="AAE513"/>
  <c r="AAE512"/>
  <c r="AAE511"/>
  <c r="AAE510"/>
  <c r="AAE509"/>
  <c r="AAE508"/>
  <c r="AAE507"/>
  <c r="AAE506"/>
  <c r="AAE505"/>
  <c r="AAE504"/>
  <c r="AAE503"/>
  <c r="AAE502"/>
  <c r="AAE501"/>
  <c r="AAE500"/>
  <c r="AAE499"/>
  <c r="AAE498"/>
  <c r="AAE497"/>
  <c r="AAE496"/>
  <c r="AAE495"/>
  <c r="AAE494"/>
  <c r="AAE493"/>
  <c r="AAE492"/>
  <c r="AAE491"/>
  <c r="AAE490"/>
  <c r="AAE489"/>
  <c r="AAE488"/>
  <c r="AAE487"/>
  <c r="AAE486"/>
  <c r="AAE485"/>
  <c r="AAE484"/>
  <c r="AAE483"/>
  <c r="AAE482"/>
  <c r="AAE481"/>
  <c r="AAE480"/>
  <c r="AAE479"/>
  <c r="AAE478"/>
  <c r="AAE477"/>
  <c r="AAE476"/>
  <c r="AAE475"/>
  <c r="AAE474"/>
  <c r="AAE473"/>
  <c r="AAE472"/>
  <c r="AAE471"/>
  <c r="AAE470"/>
  <c r="AAE469"/>
  <c r="AAE468"/>
  <c r="AAE467"/>
  <c r="AAE465"/>
  <c r="AAE464"/>
  <c r="AAE463"/>
  <c r="AAE462"/>
  <c r="AAE461"/>
  <c r="AAE460"/>
  <c r="AAE459"/>
  <c r="AAE458"/>
  <c r="AAE457"/>
  <c r="AAE456"/>
  <c r="AAE455"/>
  <c r="AAE454"/>
  <c r="AAE453"/>
  <c r="AAE452"/>
  <c r="AAE451"/>
  <c r="AAE450"/>
  <c r="AAE448"/>
  <c r="AAE447"/>
  <c r="AAE446"/>
  <c r="AAE445"/>
  <c r="AAE444"/>
  <c r="AAE443"/>
  <c r="AAE442"/>
  <c r="AAE426"/>
  <c r="AAE425"/>
  <c r="AAE424"/>
  <c r="AAE423"/>
  <c r="AAE422"/>
  <c r="AAE421"/>
  <c r="AAE420"/>
  <c r="AAE419"/>
  <c r="AAE418"/>
  <c r="AAE417"/>
  <c r="AAE416"/>
  <c r="AAE415"/>
  <c r="AAE414"/>
  <c r="AAE413"/>
  <c r="AAE412"/>
  <c r="AAE411"/>
  <c r="AAE410"/>
  <c r="AAE409"/>
  <c r="AAE408"/>
  <c r="AAE407"/>
  <c r="AAE405"/>
  <c r="AAE404"/>
  <c r="AAE403"/>
  <c r="AAE402"/>
  <c r="AAE401"/>
  <c r="AAE400"/>
  <c r="AAE399"/>
  <c r="AAE398"/>
  <c r="AAE397"/>
  <c r="AAE396"/>
  <c r="AAE395"/>
  <c r="AAE393"/>
  <c r="AAE392"/>
  <c r="AAE391"/>
  <c r="AAE83"/>
  <c r="AAE81"/>
  <c r="AAE35"/>
  <c r="AAE33"/>
  <c r="AAE30"/>
  <c r="AAE29"/>
  <c r="AAE28"/>
  <c r="AAE31"/>
  <c r="AAK718"/>
  <c r="AAK717"/>
  <c r="AAK716"/>
  <c r="AAE359"/>
  <c r="AAE358"/>
  <c r="AAE357"/>
  <c r="AAE356"/>
  <c r="AAE355"/>
  <c r="AAE354"/>
  <c r="AAE353"/>
  <c r="AAE352"/>
  <c r="AAE351"/>
  <c r="AAE350"/>
  <c r="AAE349"/>
  <c r="AAE348"/>
  <c r="AAE347"/>
  <c r="AAE344"/>
  <c r="AAE343"/>
  <c r="AAE342"/>
  <c r="AAE341"/>
  <c r="AAE340"/>
  <c r="AAK337"/>
  <c r="AAK336"/>
  <c r="AAK48"/>
  <c r="AAE339"/>
  <c r="AAE338"/>
  <c r="AAE337"/>
  <c r="AAE336"/>
  <c r="AAE334"/>
  <c r="AAG18"/>
  <c r="AAE719"/>
  <c r="AAE718"/>
  <c r="AAE717"/>
  <c r="AAE716"/>
  <c r="AAE406"/>
  <c r="AAE361"/>
  <c r="AAE360"/>
  <c r="AAE84"/>
  <c r="AAE48"/>
  <c r="AAE19"/>
  <c r="AAK414"/>
  <c r="AAK653"/>
  <c r="AAK449"/>
  <c r="AAK417"/>
  <c r="AAK398"/>
  <c r="AAK50"/>
  <c r="AAE713"/>
  <c r="AAE712"/>
  <c r="AAE325"/>
  <c r="AAE324"/>
  <c r="AAE323"/>
  <c r="AAE322"/>
  <c r="AAE321"/>
  <c r="AAE320"/>
  <c r="AAE319"/>
  <c r="AAE318"/>
  <c r="AAE317"/>
  <c r="AAE316"/>
  <c r="AAE315"/>
  <c r="AAE314"/>
  <c r="AAE313"/>
  <c r="AAE312"/>
  <c r="AAE311"/>
  <c r="AAE310"/>
  <c r="AAE309"/>
  <c r="AAE308"/>
  <c r="AAE307"/>
  <c r="AAE306"/>
  <c r="AAE305"/>
  <c r="AAE304"/>
  <c r="AAE303"/>
  <c r="AAE302"/>
  <c r="AAE301"/>
  <c r="AAE300"/>
  <c r="AAE299"/>
  <c r="AAE298"/>
  <c r="AAE297"/>
  <c r="AAE296"/>
  <c r="AAE295"/>
  <c r="AAE294"/>
  <c r="AAE293"/>
  <c r="AAE292"/>
  <c r="AAE291"/>
  <c r="AAE290"/>
  <c r="AAE289"/>
  <c r="AAE288"/>
  <c r="AAE287"/>
  <c r="AAE286"/>
  <c r="AAE285"/>
  <c r="AAE284"/>
  <c r="AAE283"/>
  <c r="AAE282"/>
  <c r="AAE281"/>
  <c r="AAE280"/>
  <c r="AAE279"/>
  <c r="AAE278"/>
  <c r="AAE277"/>
  <c r="AAE276"/>
  <c r="AAE275"/>
  <c r="AAE274"/>
  <c r="AAE273"/>
  <c r="AAE272"/>
  <c r="AAE271"/>
  <c r="AAE270"/>
  <c r="AAE269"/>
  <c r="AAE268"/>
  <c r="AAE267"/>
  <c r="AAE266"/>
  <c r="AAE265"/>
  <c r="AAE264"/>
  <c r="AAE263"/>
  <c r="AAE262"/>
  <c r="AAE261"/>
  <c r="AAE260"/>
  <c r="AAE259"/>
  <c r="AAE258"/>
  <c r="AAE257"/>
  <c r="AAE256"/>
  <c r="AAE255"/>
  <c r="AAE254"/>
  <c r="AAE253"/>
  <c r="AAE252"/>
  <c r="AAE251"/>
  <c r="AAE250"/>
  <c r="AAE249"/>
  <c r="AAE248"/>
  <c r="AAE247"/>
  <c r="AAE246"/>
  <c r="AAE245"/>
  <c r="AAE244"/>
  <c r="AAE243"/>
  <c r="AAE242"/>
  <c r="AAE241"/>
  <c r="AAE240"/>
  <c r="AAE239"/>
  <c r="AAE238"/>
  <c r="AAE237"/>
  <c r="AAE236"/>
  <c r="AAE235"/>
  <c r="AAE234"/>
  <c r="AAE233"/>
  <c r="AAE232"/>
  <c r="AAE231"/>
  <c r="AAE230"/>
  <c r="AAE229"/>
  <c r="AAE228"/>
  <c r="AAE227"/>
  <c r="AAE226"/>
  <c r="AAE225"/>
  <c r="AAE224"/>
  <c r="AAE223"/>
  <c r="AAE222"/>
  <c r="AAE221"/>
  <c r="AAE220"/>
  <c r="AAE219"/>
  <c r="AAE218"/>
  <c r="AAE217"/>
  <c r="AAE216"/>
  <c r="AAE215"/>
  <c r="AAE214"/>
  <c r="AAE213"/>
  <c r="AAE212"/>
  <c r="AAE211"/>
  <c r="AAE210"/>
  <c r="AAE209"/>
  <c r="AAE208"/>
  <c r="AAE207"/>
  <c r="AAE206"/>
  <c r="AAE205"/>
  <c r="AAE204"/>
  <c r="AAE203"/>
  <c r="AAE202"/>
  <c r="AAE200"/>
  <c r="AAE198"/>
  <c r="AAE197"/>
  <c r="AAE196"/>
  <c r="AAE195"/>
  <c r="AAE194"/>
  <c r="AAE193"/>
  <c r="AAE186"/>
  <c r="AAE185"/>
  <c r="AAE184"/>
  <c r="AAE183"/>
  <c r="AAE181"/>
  <c r="AAE180"/>
  <c r="AAE179"/>
  <c r="AAE178"/>
  <c r="AAE711"/>
  <c r="AAE653"/>
  <c r="AAE521"/>
  <c r="AAE449"/>
  <c r="AAE165"/>
  <c r="AAE50"/>
  <c r="AAE23"/>
  <c r="AAH59"/>
  <c r="H59" s="1"/>
  <c r="G366"/>
  <c r="AAG466" s="1"/>
  <c r="AAK507"/>
  <c r="AAK509"/>
  <c r="AAK496"/>
  <c r="B496" s="1"/>
  <c r="AAK495"/>
  <c r="B495" s="1"/>
  <c r="AAK494"/>
  <c r="B494" s="1"/>
  <c r="AAK493"/>
  <c r="AAK497"/>
  <c r="B497" s="1"/>
  <c r="AAK570"/>
  <c r="B570" s="1"/>
  <c r="AAH432" l="1"/>
  <c r="AAG432"/>
  <c r="AAH434"/>
  <c r="AAG434"/>
  <c r="AAH436"/>
  <c r="AAG436"/>
  <c r="AAH438"/>
  <c r="AAG438"/>
  <c r="AAH433"/>
  <c r="AAG433"/>
  <c r="AAH435"/>
  <c r="AAG435"/>
  <c r="AAH437"/>
  <c r="AAG437"/>
  <c r="AAH439"/>
  <c r="AAG439"/>
  <c r="AAG413"/>
  <c r="AAG415"/>
  <c r="AAG419"/>
  <c r="AAG421"/>
  <c r="AAG423"/>
  <c r="AAG425"/>
  <c r="AAG442"/>
  <c r="AAH448"/>
  <c r="AAG448"/>
  <c r="AAG461"/>
  <c r="G461" s="1"/>
  <c r="AAG465"/>
  <c r="AAG470"/>
  <c r="AAG472"/>
  <c r="AAG484"/>
  <c r="AAG486"/>
  <c r="AAG488"/>
  <c r="AAG416"/>
  <c r="AAG418"/>
  <c r="AAG420"/>
  <c r="AAG422"/>
  <c r="AAG424"/>
  <c r="AAH447"/>
  <c r="AAG447"/>
  <c r="AAG460"/>
  <c r="AAG462"/>
  <c r="AAG464"/>
  <c r="AAG467"/>
  <c r="AAG471"/>
  <c r="AAG473"/>
  <c r="AAG485"/>
  <c r="AAG489"/>
  <c r="AAG544"/>
  <c r="AAG449"/>
  <c r="AAG417"/>
  <c r="AAG414"/>
  <c r="AAG451"/>
  <c r="AAG450"/>
  <c r="AAG407"/>
  <c r="AAG406"/>
  <c r="AAG408"/>
  <c r="AAG400"/>
  <c r="AAG391"/>
  <c r="AAG401"/>
  <c r="AAG392"/>
  <c r="AAG402"/>
  <c r="AAG393"/>
  <c r="AAG403"/>
  <c r="AAG395"/>
  <c r="AAG398"/>
  <c r="AAG399"/>
  <c r="AAG404"/>
  <c r="AAG396"/>
  <c r="AAG405"/>
  <c r="AAG397"/>
  <c r="E599"/>
  <c r="AAE148"/>
  <c r="AAE132"/>
  <c r="AAE125"/>
  <c r="AAE158"/>
  <c r="AAE160"/>
  <c r="AAE157"/>
  <c r="AAE156"/>
  <c r="AAK477"/>
  <c r="B682"/>
  <c r="AAK681"/>
  <c r="B681" s="1"/>
  <c r="AAE672"/>
  <c r="AAE671"/>
  <c r="AAK671"/>
  <c r="B671" s="1"/>
  <c r="AAK675"/>
  <c r="B675" s="1"/>
  <c r="AAK678"/>
  <c r="B678" s="1"/>
  <c r="AAK674"/>
  <c r="B674" s="1"/>
  <c r="AAE669"/>
  <c r="AAE668"/>
  <c r="AAE667"/>
  <c r="AAE665"/>
  <c r="AAE664"/>
  <c r="AAE663"/>
  <c r="AAE661"/>
  <c r="AAE660"/>
  <c r="AAE659"/>
  <c r="AAE658"/>
  <c r="AAK652"/>
  <c r="B652" s="1"/>
  <c r="AAK651"/>
  <c r="B651" s="1"/>
  <c r="AAK654"/>
  <c r="AAK680"/>
  <c r="B680" s="1"/>
  <c r="AAK679"/>
  <c r="B679" s="1"/>
  <c r="AAK443"/>
  <c r="B443" s="1"/>
  <c r="AAK411"/>
  <c r="AAK410"/>
  <c r="B171" l="1"/>
  <c r="B329"/>
  <c r="B697"/>
  <c r="B615"/>
  <c r="B549"/>
  <c r="B365"/>
  <c r="B54"/>
  <c r="AAK692"/>
  <c r="AAK609"/>
  <c r="B609" s="1"/>
  <c r="AAK472"/>
  <c r="B472" s="1"/>
  <c r="AAK360"/>
  <c r="AAK324"/>
  <c r="AAK166"/>
  <c r="AAK544"/>
  <c r="G472"/>
  <c r="AAK471"/>
  <c r="B476"/>
  <c r="AAK475"/>
  <c r="B475" s="1"/>
  <c r="AAK474"/>
  <c r="AAK465"/>
  <c r="B465" s="1"/>
  <c r="G465"/>
  <c r="B464"/>
  <c r="C11" i="99"/>
  <c r="B11"/>
  <c r="C2"/>
  <c r="B10"/>
  <c r="B9"/>
  <c r="B8"/>
  <c r="B7"/>
  <c r="B6"/>
  <c r="B5"/>
  <c r="C10"/>
  <c r="C9"/>
  <c r="C8"/>
  <c r="C7"/>
  <c r="C6"/>
  <c r="C5"/>
  <c r="B4"/>
  <c r="B23"/>
  <c r="B22"/>
  <c r="B21"/>
  <c r="B20"/>
  <c r="B19"/>
  <c r="B18"/>
  <c r="B16"/>
  <c r="B17"/>
  <c r="G464" i="94"/>
  <c r="G462"/>
  <c r="AAK450"/>
  <c r="G460"/>
  <c r="G451"/>
  <c r="AAK394"/>
  <c r="AAK100"/>
  <c r="B99"/>
  <c r="AAK98"/>
  <c r="B98" s="1"/>
  <c r="AAE99"/>
  <c r="AAK97"/>
  <c r="B97" s="1"/>
  <c r="AAK64"/>
  <c r="AAK586"/>
  <c r="AAK538"/>
  <c r="AAK555"/>
  <c r="B555" s="1"/>
  <c r="AAK334"/>
  <c r="AAK534"/>
  <c r="AAK522"/>
  <c r="AAK515"/>
  <c r="B515" s="1"/>
  <c r="AAK511"/>
  <c r="AAK510"/>
  <c r="B510" s="1"/>
  <c r="B509"/>
  <c r="B507"/>
  <c r="B516"/>
  <c r="AAK500"/>
  <c r="B500" s="1"/>
  <c r="B411"/>
  <c r="B410"/>
  <c r="AAK378"/>
  <c r="B377"/>
  <c r="AAK584" s="1"/>
  <c r="B584" s="1"/>
  <c r="AAG357"/>
  <c r="AAG356"/>
  <c r="AAG355"/>
  <c r="AAK353"/>
  <c r="AAG343"/>
  <c r="AAH343"/>
  <c r="AAH344"/>
  <c r="AAH342"/>
  <c r="AAG342"/>
  <c r="AAK340"/>
  <c r="AAK357"/>
  <c r="B357" s="1"/>
  <c r="AAK356"/>
  <c r="B356" s="1"/>
  <c r="AAK355"/>
  <c r="B355" s="1"/>
  <c r="AAK354"/>
  <c r="B354" s="1"/>
  <c r="AAK448"/>
  <c r="AAK447"/>
  <c r="AAK446"/>
  <c r="AAK445"/>
  <c r="AAK344"/>
  <c r="B344" s="1"/>
  <c r="AAK343"/>
  <c r="B343" s="1"/>
  <c r="AAK341"/>
  <c r="B341" s="1"/>
  <c r="AAK342"/>
  <c r="B342" s="1"/>
  <c r="AAE109"/>
  <c r="AAK103"/>
  <c r="B103" s="1"/>
  <c r="AAE103"/>
  <c r="AAK91"/>
  <c r="AAK320"/>
  <c r="B320" s="1"/>
  <c r="AAK318"/>
  <c r="B318" s="1"/>
  <c r="AAK297"/>
  <c r="B297" s="1"/>
  <c r="AAK295"/>
  <c r="B295" s="1"/>
  <c r="AAK272"/>
  <c r="B272" s="1"/>
  <c r="AAK251"/>
  <c r="B251" s="1"/>
  <c r="AAK249"/>
  <c r="B249" s="1"/>
  <c r="AAK226"/>
  <c r="B226" s="1"/>
  <c r="AAK211" l="1"/>
  <c r="B200"/>
  <c r="AAK199"/>
  <c r="AAK185"/>
  <c r="AAK116"/>
  <c r="B116" s="1"/>
  <c r="B394"/>
  <c r="G397"/>
  <c r="G396"/>
  <c r="AAE666"/>
  <c r="AAE710"/>
  <c r="AAK565"/>
  <c r="B565" s="1"/>
  <c r="AAK564"/>
  <c r="B564" s="1"/>
  <c r="AAK563"/>
  <c r="B563" s="1"/>
  <c r="AAK562"/>
  <c r="B562" s="1"/>
  <c r="AAK561"/>
  <c r="B561" s="1"/>
  <c r="B554"/>
  <c r="AAE128"/>
  <c r="G544" l="1"/>
  <c r="AAK444"/>
  <c r="B444" s="1"/>
  <c r="G442"/>
  <c r="G425"/>
  <c r="B471"/>
  <c r="G470"/>
  <c r="G450"/>
  <c r="AAK532"/>
  <c r="B532" s="1"/>
  <c r="G473"/>
  <c r="G471"/>
  <c r="G467"/>
  <c r="G424"/>
  <c r="G423"/>
  <c r="G422"/>
  <c r="G421"/>
  <c r="G420"/>
  <c r="G419"/>
  <c r="G418"/>
  <c r="G417"/>
  <c r="G416"/>
  <c r="G415"/>
  <c r="G414"/>
  <c r="G413"/>
  <c r="AAK392"/>
  <c r="B511"/>
  <c r="B493"/>
  <c r="AAK492"/>
  <c r="B492" s="1"/>
  <c r="AAK420"/>
  <c r="AAK419"/>
  <c r="AAK418"/>
  <c r="B450"/>
  <c r="G466" l="1"/>
  <c r="G449"/>
  <c r="G408"/>
  <c r="G407"/>
  <c r="G406"/>
  <c r="G405"/>
  <c r="G404"/>
  <c r="G403"/>
  <c r="G402"/>
  <c r="G401"/>
  <c r="G400"/>
  <c r="G399"/>
  <c r="G395"/>
  <c r="G393"/>
  <c r="G392"/>
  <c r="AAK379"/>
  <c r="B108" l="1"/>
  <c r="AAE108"/>
  <c r="AAK393"/>
  <c r="AAK409"/>
  <c r="B409" s="1"/>
  <c r="AAK747"/>
  <c r="AAK743"/>
  <c r="B743" s="1"/>
  <c r="AAK715"/>
  <c r="B715" s="1"/>
  <c r="AAK706"/>
  <c r="B702"/>
  <c r="AAK566" l="1"/>
  <c r="B566" s="1"/>
  <c r="B538"/>
  <c r="AAK391"/>
  <c r="B391" s="1"/>
  <c r="B334"/>
  <c r="AAK333"/>
  <c r="B333" s="1"/>
  <c r="AAE333"/>
  <c r="AAK153"/>
  <c r="B153" s="1"/>
  <c r="AAE153"/>
  <c r="AAK94"/>
  <c r="B94" s="1"/>
  <c r="AAK274"/>
  <c r="AAK303"/>
  <c r="AAK280"/>
  <c r="AAK257"/>
  <c r="AAK234"/>
  <c r="AAK228"/>
  <c r="B199"/>
  <c r="AAE201"/>
  <c r="AAE199"/>
  <c r="AAK165"/>
  <c r="B147"/>
  <c r="AAE147"/>
  <c r="AAK161"/>
  <c r="B748"/>
  <c r="AAK591"/>
  <c r="B591" s="1"/>
  <c r="AAK489" l="1"/>
  <c r="AAK491"/>
  <c r="AAK485"/>
  <c r="AAK482"/>
  <c r="B482" s="1"/>
  <c r="B324"/>
  <c r="B5"/>
  <c r="B621"/>
  <c r="B85"/>
  <c r="AAE747"/>
  <c r="B28" l="1"/>
  <c r="B398"/>
  <c r="B653"/>
  <c r="B670"/>
  <c r="B654"/>
  <c r="B620"/>
  <c r="B622"/>
  <c r="B619"/>
  <c r="G398"/>
  <c r="B414"/>
  <c r="B33"/>
  <c r="B105"/>
  <c r="B104"/>
  <c r="AAE105"/>
  <c r="AAE104"/>
  <c r="AAE167"/>
  <c r="AAE166"/>
  <c r="AAE163"/>
  <c r="AAE162"/>
  <c r="AAE161"/>
  <c r="AAE159"/>
  <c r="AAE155"/>
  <c r="AAE154"/>
  <c r="AAE152"/>
  <c r="AAE118"/>
  <c r="AAE107"/>
  <c r="AAE106"/>
  <c r="AAE102"/>
  <c r="B48" l="1"/>
  <c r="AAK3"/>
  <c r="AAK112" l="1"/>
  <c r="B112" s="1"/>
  <c r="B747" l="1"/>
  <c r="AAK756"/>
  <c r="B756" s="1"/>
  <c r="B751"/>
  <c r="AAK720"/>
  <c r="B720" s="1"/>
  <c r="B713"/>
  <c r="B712"/>
  <c r="B711"/>
  <c r="B692"/>
  <c r="B376"/>
  <c r="AAK582" s="1"/>
  <c r="B582" s="1"/>
  <c r="B375"/>
  <c r="AAK580" s="1"/>
  <c r="B580" s="1"/>
  <c r="B374"/>
  <c r="AAK578" s="1"/>
  <c r="B578" s="1"/>
  <c r="B373"/>
  <c r="AAK576" s="1"/>
  <c r="B576" s="1"/>
  <c r="B372"/>
  <c r="AAK574" s="1"/>
  <c r="B574" s="1"/>
  <c r="B371"/>
  <c r="AAK572" s="1"/>
  <c r="B572" s="1"/>
  <c r="B544"/>
  <c r="B166"/>
  <c r="B360"/>
  <c r="B708"/>
  <c r="B707"/>
  <c r="AAK709"/>
  <c r="B709" s="1"/>
  <c r="B340"/>
  <c r="B636"/>
  <c r="B625"/>
  <c r="B623"/>
  <c r="B586"/>
  <c r="B569"/>
  <c r="AAK553"/>
  <c r="B553" s="1"/>
  <c r="AAK358"/>
  <c r="B358" s="1"/>
  <c r="AAK352"/>
  <c r="B352" s="1"/>
  <c r="B353"/>
  <c r="AAK347"/>
  <c r="B347" s="1"/>
  <c r="B303"/>
  <c r="B280"/>
  <c r="B274"/>
  <c r="B257"/>
  <c r="B234"/>
  <c r="B228"/>
  <c r="B211"/>
  <c r="B185"/>
  <c r="AAK204"/>
  <c r="B204" s="1"/>
  <c r="B197"/>
  <c r="AAK63"/>
  <c r="B63" s="1"/>
  <c r="B90"/>
  <c r="B100"/>
  <c r="AAK86"/>
  <c r="AAK62"/>
  <c r="B165"/>
  <c r="AAK163"/>
  <c r="B163" s="1"/>
  <c r="B161"/>
  <c r="AAK162"/>
  <c r="B162" s="1"/>
  <c r="B107" l="1"/>
  <c r="B106"/>
  <c r="B102"/>
  <c r="B86"/>
  <c r="AAK92"/>
  <c r="B92" s="1"/>
  <c r="B91"/>
  <c r="AAK68"/>
  <c r="B68" s="1"/>
  <c r="AAK69"/>
  <c r="B69" s="1"/>
  <c r="AAK66"/>
  <c r="B66" s="1"/>
  <c r="B64"/>
  <c r="B62"/>
  <c r="AAK61"/>
  <c r="B61" s="1"/>
  <c r="AAK60"/>
  <c r="B60" s="1"/>
  <c r="AAK59"/>
  <c r="B59" s="1"/>
  <c r="B379"/>
  <c r="B543"/>
  <c r="B534"/>
  <c r="B489" l="1"/>
  <c r="B485"/>
  <c r="B477"/>
  <c r="B474"/>
  <c r="B448"/>
  <c r="B447"/>
  <c r="B445"/>
  <c r="B446"/>
  <c r="B420"/>
  <c r="B419"/>
  <c r="B418"/>
  <c r="B417"/>
  <c r="B647" l="1"/>
  <c r="J7" l="1"/>
  <c r="J4" s="1"/>
  <c r="B40"/>
  <c r="AAH377"/>
  <c r="H377" s="1"/>
  <c r="AAH376"/>
  <c r="H376" s="1"/>
  <c r="AAH375"/>
  <c r="H375" s="1"/>
  <c r="AAH374"/>
  <c r="H374" s="1"/>
  <c r="AAH373"/>
  <c r="H373" s="1"/>
  <c r="AAH372"/>
  <c r="H372" s="1"/>
  <c r="AAH371"/>
  <c r="H371" s="1"/>
  <c r="AAG55" l="1"/>
  <c r="G55"/>
  <c r="K7"/>
  <c r="B169"/>
  <c r="B21"/>
  <c r="D15" i="84"/>
  <c r="E15" s="1"/>
  <c r="D16"/>
  <c r="E16" s="1"/>
  <c r="D17"/>
  <c r="E17" s="1"/>
  <c r="D18"/>
  <c r="E18" s="1"/>
  <c r="D19"/>
  <c r="E19" s="1"/>
  <c r="C10"/>
  <c r="C11"/>
  <c r="C12"/>
  <c r="C13"/>
  <c r="C14"/>
  <c r="C15"/>
  <c r="C16"/>
  <c r="C17"/>
  <c r="C18"/>
  <c r="C19"/>
  <c r="C20"/>
  <c r="C9"/>
  <c r="B10"/>
  <c r="B11"/>
  <c r="B12"/>
  <c r="B13"/>
  <c r="B14"/>
  <c r="B15"/>
  <c r="B16"/>
  <c r="B17"/>
  <c r="B18"/>
  <c r="B19"/>
  <c r="B20"/>
  <c r="B9"/>
  <c r="D5"/>
  <c r="E5" s="1"/>
  <c r="D6"/>
  <c r="F7" s="1"/>
  <c r="D7"/>
  <c r="E7" s="1"/>
  <c r="D8"/>
  <c r="E8" s="1"/>
  <c r="D9"/>
  <c r="E9" s="1"/>
  <c r="D10"/>
  <c r="E10" s="1"/>
  <c r="D11"/>
  <c r="E11" s="1"/>
  <c r="D12"/>
  <c r="E12" s="1"/>
  <c r="D13"/>
  <c r="E13" s="1"/>
  <c r="D14"/>
  <c r="F15" s="1"/>
  <c r="D4"/>
  <c r="F5" s="1"/>
  <c r="B547" i="94"/>
  <c r="B35"/>
  <c r="B30"/>
  <c r="B363"/>
  <c r="AAG65" l="1"/>
  <c r="G65" s="1"/>
  <c r="AAH65" s="1"/>
  <c r="H65" s="1"/>
  <c r="AAG166"/>
  <c r="AAG63"/>
  <c r="G63" s="1"/>
  <c r="E14" i="84"/>
  <c r="E6"/>
  <c r="F14"/>
  <c r="F6"/>
  <c r="F13"/>
  <c r="E4"/>
  <c r="F12"/>
  <c r="F19"/>
  <c r="F11"/>
  <c r="F18"/>
  <c r="F10"/>
  <c r="F17"/>
  <c r="F9"/>
  <c r="F16"/>
  <c r="F8"/>
  <c r="B718" i="94"/>
  <c r="B719"/>
  <c r="B717"/>
  <c r="B716"/>
  <c r="B338"/>
  <c r="B339"/>
  <c r="B336"/>
  <c r="B337"/>
  <c r="AAG62"/>
  <c r="G62" s="1"/>
  <c r="AAH62" s="1"/>
  <c r="H62" s="1"/>
  <c r="AAG64"/>
  <c r="G64" s="1"/>
  <c r="AAH64" s="1"/>
  <c r="H64" s="1"/>
  <c r="AAG61"/>
  <c r="G61" s="1"/>
  <c r="AAK327"/>
  <c r="B327" s="1"/>
  <c r="K4"/>
  <c r="L7"/>
  <c r="D20" i="84"/>
  <c r="B37" i="94"/>
  <c r="B29"/>
  <c r="B50"/>
  <c r="B19"/>
  <c r="B31"/>
  <c r="B25"/>
  <c r="B369"/>
  <c r="B34"/>
  <c r="AAH67" l="1"/>
  <c r="AAH68"/>
  <c r="AAH63"/>
  <c r="H63" s="1"/>
  <c r="AAH61"/>
  <c r="H61" s="1"/>
  <c r="L4"/>
  <c r="M7"/>
  <c r="C75" i="84"/>
  <c r="B16" i="94"/>
  <c r="F61" l="1"/>
  <c r="E61"/>
  <c r="N7"/>
  <c r="M4"/>
  <c r="B18"/>
  <c r="F62" l="1"/>
  <c r="E62"/>
  <c r="O7"/>
  <c r="N4"/>
  <c r="B449"/>
  <c r="B393"/>
  <c r="B392"/>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E63" i="94" l="1"/>
  <c r="H67"/>
  <c r="F63"/>
  <c r="P7"/>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F65" i="94" l="1"/>
  <c r="E65"/>
  <c r="F64"/>
  <c r="H68"/>
  <c r="E64"/>
  <c r="Q7"/>
  <c r="P4"/>
  <c r="AAH70" l="1"/>
  <c r="H70" s="1"/>
  <c r="F70" s="1"/>
  <c r="G391"/>
  <c r="R7"/>
  <c r="Q4"/>
  <c r="AAG379"/>
  <c r="G379" l="1"/>
  <c r="S7"/>
  <c r="R4"/>
  <c r="T7" l="1"/>
  <c r="S4"/>
  <c r="U7" l="1"/>
  <c r="T4"/>
  <c r="V7" l="1"/>
  <c r="U4"/>
  <c r="W7" l="1"/>
  <c r="V4"/>
  <c r="X7" l="1"/>
  <c r="W4"/>
  <c r="Y7" l="1"/>
  <c r="X4"/>
  <c r="Z7" l="1"/>
  <c r="Y4"/>
  <c r="AA7" l="1"/>
  <c r="Z4"/>
  <c r="AB7" l="1"/>
  <c r="AA4"/>
  <c r="AC7" l="1"/>
  <c r="AB4"/>
  <c r="AD7" l="1"/>
  <c r="AC4"/>
  <c r="AE7" l="1"/>
  <c r="AD4"/>
  <c r="AF7" l="1"/>
  <c r="AE4"/>
  <c r="AG7" l="1"/>
  <c r="AF4"/>
  <c r="AH7" l="1"/>
  <c r="AG4"/>
  <c r="AI7" l="1"/>
  <c r="AH4"/>
  <c r="AJ7" l="1"/>
  <c r="AI4"/>
  <c r="AK7" l="1"/>
  <c r="AJ4"/>
  <c r="AL7" l="1"/>
  <c r="AK4"/>
  <c r="AM7" l="1"/>
  <c r="AL4"/>
  <c r="AN7" l="1"/>
  <c r="AM4"/>
  <c r="AO7" l="1"/>
  <c r="AN4"/>
  <c r="AP7" l="1"/>
  <c r="AO4"/>
  <c r="AQ7" l="1"/>
  <c r="AP4"/>
  <c r="AR7" l="1"/>
  <c r="AQ4"/>
  <c r="AS7" l="1"/>
  <c r="AR4"/>
  <c r="AT7" l="1"/>
  <c r="AS4"/>
  <c r="AU7" l="1"/>
  <c r="AT4"/>
  <c r="AV7" l="1"/>
  <c r="AU4"/>
  <c r="AW7" l="1"/>
  <c r="AV4"/>
  <c r="AX7" l="1"/>
  <c r="AW4"/>
  <c r="AY7" l="1"/>
  <c r="AX4"/>
  <c r="AZ7" l="1"/>
  <c r="AY4"/>
  <c r="BA7" l="1"/>
  <c r="AZ4"/>
  <c r="BB7" l="1"/>
  <c r="BA4"/>
  <c r="BC7" l="1"/>
  <c r="BB4"/>
  <c r="BD7" l="1"/>
  <c r="BC4"/>
  <c r="BE7" l="1"/>
  <c r="BD4"/>
  <c r="BF7" l="1"/>
  <c r="BE4"/>
  <c r="BG7" l="1"/>
  <c r="BF4"/>
  <c r="BH7" l="1"/>
  <c r="BG4"/>
  <c r="BI7" l="1"/>
  <c r="BH4"/>
  <c r="BJ7" l="1"/>
  <c r="BI4"/>
  <c r="BK7" l="1"/>
  <c r="BJ4"/>
  <c r="BL7" l="1"/>
  <c r="BK4"/>
  <c r="BM7" l="1"/>
  <c r="BL4"/>
  <c r="BN7" l="1"/>
  <c r="BM4"/>
  <c r="BO7" l="1"/>
  <c r="BN4"/>
  <c r="BP7" l="1"/>
  <c r="BO4"/>
  <c r="BQ7" l="1"/>
  <c r="BP4"/>
  <c r="BR7" l="1"/>
  <c r="BQ4"/>
  <c r="BS7" l="1"/>
  <c r="BR4"/>
  <c r="BT7" l="1"/>
  <c r="BS4"/>
  <c r="BU7" l="1"/>
  <c r="BT4"/>
  <c r="BV7" l="1"/>
  <c r="BU4"/>
  <c r="BW7" l="1"/>
  <c r="BV4"/>
  <c r="BX7" l="1"/>
  <c r="BW4"/>
  <c r="BY7" l="1"/>
  <c r="BX4"/>
  <c r="BZ7" l="1"/>
  <c r="BY4"/>
  <c r="CA7" l="1"/>
  <c r="BZ4"/>
  <c r="CB7" l="1"/>
  <c r="CA4"/>
  <c r="CC7" l="1"/>
  <c r="CB4"/>
  <c r="CD7" l="1"/>
  <c r="CC4"/>
  <c r="CE7" l="1"/>
  <c r="CD4"/>
  <c r="CF7" l="1"/>
  <c r="CE4"/>
  <c r="CG7" l="1"/>
  <c r="CF4"/>
  <c r="CH7" l="1"/>
  <c r="CG4"/>
  <c r="CI7" l="1"/>
  <c r="CH4"/>
  <c r="CJ7" l="1"/>
  <c r="CI4"/>
  <c r="CK7" l="1"/>
  <c r="CJ4"/>
  <c r="CL7" l="1"/>
  <c r="CK4"/>
  <c r="CM7" l="1"/>
  <c r="CL4"/>
  <c r="CN7" l="1"/>
  <c r="CM4"/>
  <c r="CO7" l="1"/>
  <c r="CN4"/>
  <c r="CP7" l="1"/>
  <c r="CO4"/>
  <c r="CQ7" l="1"/>
  <c r="CP4"/>
  <c r="CR7" l="1"/>
  <c r="CQ4"/>
  <c r="CS7" l="1"/>
  <c r="CR4"/>
  <c r="CT7" l="1"/>
  <c r="CS4"/>
  <c r="CU7" l="1"/>
  <c r="CT4"/>
  <c r="CV7" l="1"/>
  <c r="CU4"/>
  <c r="CW7" l="1"/>
  <c r="CV4"/>
  <c r="CX7" l="1"/>
  <c r="CW4"/>
  <c r="CY7" l="1"/>
  <c r="CX4"/>
  <c r="CZ7" l="1"/>
  <c r="CY4"/>
  <c r="DA7" l="1"/>
  <c r="CZ4"/>
  <c r="DB7" l="1"/>
  <c r="DA4"/>
  <c r="DC7" l="1"/>
  <c r="DB4"/>
  <c r="DD7" l="1"/>
  <c r="DC4"/>
  <c r="DE7" l="1"/>
  <c r="DD4"/>
  <c r="DF7" l="1"/>
  <c r="DE4"/>
  <c r="DG7" l="1"/>
  <c r="DF4"/>
  <c r="DH7" l="1"/>
  <c r="DG4"/>
  <c r="DI7" l="1"/>
  <c r="DH4"/>
  <c r="DJ7" l="1"/>
  <c r="DI4"/>
  <c r="DK7" l="1"/>
  <c r="DJ4"/>
  <c r="DL7" l="1"/>
  <c r="DK4"/>
  <c r="DM7" l="1"/>
  <c r="DL4"/>
  <c r="DN7" l="1"/>
  <c r="DM4"/>
  <c r="DO7" l="1"/>
  <c r="DN4"/>
  <c r="DP7" l="1"/>
  <c r="DO4"/>
  <c r="DP4" l="1"/>
  <c r="AAG87" l="1"/>
  <c r="G87" s="1"/>
  <c r="AAH87" s="1"/>
  <c r="H87" s="1"/>
  <c r="AAG88"/>
  <c r="G88" s="1"/>
  <c r="AAH88" s="1"/>
  <c r="AAG89"/>
  <c r="G89" s="1"/>
  <c r="AAH89" s="1"/>
  <c r="E87" l="1"/>
  <c r="F87" l="1"/>
  <c r="H89"/>
  <c r="H88"/>
  <c r="F88" l="1"/>
  <c r="E88"/>
  <c r="AAG90"/>
  <c r="G90" s="1"/>
  <c r="AAH90" s="1"/>
  <c r="H90" s="1"/>
  <c r="F89"/>
  <c r="E89"/>
  <c r="F90" l="1"/>
  <c r="AAG91"/>
  <c r="G91" s="1"/>
  <c r="AAG93" s="1"/>
  <c r="G93" s="1"/>
  <c r="E90"/>
  <c r="AAH93" l="1"/>
  <c r="H93" s="1"/>
  <c r="F93" s="1"/>
  <c r="AAG95"/>
  <c r="G95" s="1"/>
  <c r="AAH91"/>
  <c r="H91" s="1"/>
  <c r="E91" s="1"/>
  <c r="AAH97" l="1"/>
  <c r="H97" s="1"/>
  <c r="AAH95"/>
  <c r="H95" s="1"/>
  <c r="F95" s="1"/>
  <c r="AAH96"/>
  <c r="H96" s="1"/>
  <c r="E93"/>
  <c r="F91"/>
  <c r="AAG102" l="1"/>
  <c r="G102" s="1"/>
  <c r="AAG120"/>
  <c r="G120" s="1"/>
  <c r="AAG118"/>
  <c r="G118" s="1"/>
  <c r="AAG115"/>
  <c r="G115" s="1"/>
  <c r="AAG113"/>
  <c r="G113" s="1"/>
  <c r="AAG121"/>
  <c r="G121" s="1"/>
  <c r="AAG119"/>
  <c r="G119" s="1"/>
  <c r="AAG114"/>
  <c r="G114" s="1"/>
  <c r="AAG111"/>
  <c r="AAG165"/>
  <c r="AAG116"/>
  <c r="G116" s="1"/>
  <c r="AAH154"/>
  <c r="AAG16"/>
  <c r="AAG149"/>
  <c r="G149" s="1"/>
  <c r="AAH149" s="1"/>
  <c r="H149" s="1"/>
  <c r="AAG150"/>
  <c r="G150" s="1"/>
  <c r="AAG148"/>
  <c r="G148" s="1"/>
  <c r="AAH148" s="1"/>
  <c r="H148" s="1"/>
  <c r="F148" s="1"/>
  <c r="E95"/>
  <c r="AAH99"/>
  <c r="F96"/>
  <c r="H99" l="1"/>
  <c r="F99" s="1"/>
  <c r="AAH102"/>
  <c r="H102" s="1"/>
  <c r="F149"/>
  <c r="E149"/>
  <c r="AAH150"/>
  <c r="H150" s="1"/>
  <c r="F150" s="1"/>
  <c r="E148"/>
  <c r="F97" l="1"/>
  <c r="E102"/>
  <c r="F102"/>
  <c r="AAH111"/>
  <c r="E150"/>
  <c r="G111" l="1"/>
  <c r="H111" l="1"/>
  <c r="E111" s="1"/>
  <c r="F111" l="1"/>
  <c r="G16" l="1"/>
  <c r="AAG187" s="1"/>
  <c r="G187" s="1"/>
  <c r="G18"/>
  <c r="AAH187" l="1"/>
  <c r="H187" s="1"/>
  <c r="F187" s="1"/>
  <c r="AAG176"/>
  <c r="G176" s="1"/>
  <c r="AAG177"/>
  <c r="G177" s="1"/>
  <c r="AAG144"/>
  <c r="G144" s="1"/>
  <c r="AAG143"/>
  <c r="G143" s="1"/>
  <c r="AAH143" s="1"/>
  <c r="AAG145"/>
  <c r="G145" s="1"/>
  <c r="AAH145" s="1"/>
  <c r="AAG182"/>
  <c r="G182" s="1"/>
  <c r="AAH182" s="1"/>
  <c r="H182" s="1"/>
  <c r="F182" s="1"/>
  <c r="AAG197"/>
  <c r="AAG198"/>
  <c r="AAG324"/>
  <c r="G324" s="1"/>
  <c r="AAG195"/>
  <c r="AAG194"/>
  <c r="AAG186"/>
  <c r="AAG178"/>
  <c r="AAG180"/>
  <c r="AAG183"/>
  <c r="AAG196"/>
  <c r="AAG193"/>
  <c r="AAG179"/>
  <c r="AAG181"/>
  <c r="AAG184"/>
  <c r="AAG208"/>
  <c r="AAG207"/>
  <c r="AAG205"/>
  <c r="G205" s="1"/>
  <c r="AAH205" s="1"/>
  <c r="H205" s="1"/>
  <c r="F205" s="1"/>
  <c r="AAG206"/>
  <c r="G206" s="1"/>
  <c r="AAG172"/>
  <c r="G172"/>
  <c r="AAG330"/>
  <c r="G330" s="1"/>
  <c r="E187" l="1"/>
  <c r="AAH176"/>
  <c r="H176" s="1"/>
  <c r="F176" s="1"/>
  <c r="AAH177"/>
  <c r="H177" s="1"/>
  <c r="F177" s="1"/>
  <c r="AAH114"/>
  <c r="H114" s="1"/>
  <c r="AAH113"/>
  <c r="H113" s="1"/>
  <c r="E113" s="1"/>
  <c r="H598"/>
  <c r="AAH144"/>
  <c r="H144" s="1"/>
  <c r="F144" s="1"/>
  <c r="E182"/>
  <c r="AAG334"/>
  <c r="G334" s="1"/>
  <c r="AAH334" s="1"/>
  <c r="H334" s="1"/>
  <c r="F334" s="1"/>
  <c r="AAG340"/>
  <c r="AAG337"/>
  <c r="G337" s="1"/>
  <c r="AAG338"/>
  <c r="G338" s="1"/>
  <c r="AAG339"/>
  <c r="G339" s="1"/>
  <c r="AAG336"/>
  <c r="G336" s="1"/>
  <c r="E176" l="1"/>
  <c r="E177"/>
  <c r="AAH115"/>
  <c r="H115" s="1"/>
  <c r="F115" s="1"/>
  <c r="E114"/>
  <c r="F114"/>
  <c r="F113"/>
  <c r="G437"/>
  <c r="G429"/>
  <c r="G435"/>
  <c r="G434"/>
  <c r="G433"/>
  <c r="G439"/>
  <c r="G431"/>
  <c r="G438"/>
  <c r="G430"/>
  <c r="E144"/>
  <c r="H145"/>
  <c r="H143"/>
  <c r="AAG371"/>
  <c r="G371" s="1"/>
  <c r="AAG372" s="1"/>
  <c r="E334"/>
  <c r="G340"/>
  <c r="E115" l="1"/>
  <c r="AAH116"/>
  <c r="H116" s="1"/>
  <c r="E116" s="1"/>
  <c r="F145"/>
  <c r="E145"/>
  <c r="F143"/>
  <c r="E143"/>
  <c r="G372"/>
  <c r="AAH572"/>
  <c r="H572" s="1"/>
  <c r="G184"/>
  <c r="G178"/>
  <c r="AAH178" s="1"/>
  <c r="F116" l="1"/>
  <c r="F572"/>
  <c r="AAH574"/>
  <c r="H574" s="1"/>
  <c r="AAG373"/>
  <c r="G373" s="1"/>
  <c r="AAG374" s="1"/>
  <c r="G374" s="1"/>
  <c r="AAH184"/>
  <c r="H178"/>
  <c r="G196"/>
  <c r="AAH196" s="1"/>
  <c r="H196" s="1"/>
  <c r="F196" s="1"/>
  <c r="AAH118" l="1"/>
  <c r="H118" s="1"/>
  <c r="E118" s="1"/>
  <c r="H154"/>
  <c r="F574"/>
  <c r="AAH576"/>
  <c r="H576" s="1"/>
  <c r="AAH578"/>
  <c r="H578" s="1"/>
  <c r="AAG375"/>
  <c r="E178"/>
  <c r="F178"/>
  <c r="H184"/>
  <c r="G186"/>
  <c r="AAH186" s="1"/>
  <c r="H186" s="1"/>
  <c r="G193"/>
  <c r="AAH193" s="1"/>
  <c r="H193" s="1"/>
  <c r="F193" s="1"/>
  <c r="G181"/>
  <c r="G179"/>
  <c r="G183"/>
  <c r="G180"/>
  <c r="E196"/>
  <c r="F154" l="1"/>
  <c r="AAG159"/>
  <c r="F118"/>
  <c r="G159"/>
  <c r="F576"/>
  <c r="F578"/>
  <c r="E186"/>
  <c r="F186"/>
  <c r="E184"/>
  <c r="F184"/>
  <c r="E193"/>
  <c r="AAH183"/>
  <c r="AAH181"/>
  <c r="G342"/>
  <c r="AAH119" l="1"/>
  <c r="H119" s="1"/>
  <c r="AAG161"/>
  <c r="G161" s="1"/>
  <c r="AAH159"/>
  <c r="H159" s="1"/>
  <c r="F159" s="1"/>
  <c r="H183"/>
  <c r="H181"/>
  <c r="H342"/>
  <c r="E159" l="1"/>
  <c r="F119"/>
  <c r="AAG123"/>
  <c r="G123" s="1"/>
  <c r="AAG162"/>
  <c r="G162" s="1"/>
  <c r="AAH161"/>
  <c r="H161" s="1"/>
  <c r="F161" s="1"/>
  <c r="E119"/>
  <c r="E342"/>
  <c r="F342"/>
  <c r="E183"/>
  <c r="F183"/>
  <c r="E181"/>
  <c r="F181"/>
  <c r="G194"/>
  <c r="G343"/>
  <c r="H343" s="1"/>
  <c r="E161" l="1"/>
  <c r="AAH120"/>
  <c r="H120" s="1"/>
  <c r="E120" s="1"/>
  <c r="AAG151"/>
  <c r="G151" s="1"/>
  <c r="AAG163"/>
  <c r="G163" s="1"/>
  <c r="AAH162"/>
  <c r="H162" s="1"/>
  <c r="F162" s="1"/>
  <c r="F343"/>
  <c r="AAG344"/>
  <c r="G344" s="1"/>
  <c r="G355"/>
  <c r="AAH355" s="1"/>
  <c r="H355" s="1"/>
  <c r="AAH194"/>
  <c r="H194" s="1"/>
  <c r="F194" s="1"/>
  <c r="E343"/>
  <c r="E162" l="1"/>
  <c r="F120"/>
  <c r="AAH151"/>
  <c r="H151" s="1"/>
  <c r="F151" s="1"/>
  <c r="AAH163"/>
  <c r="H163" s="1"/>
  <c r="E355"/>
  <c r="F355"/>
  <c r="G195"/>
  <c r="E194"/>
  <c r="G356"/>
  <c r="H344"/>
  <c r="F344" s="1"/>
  <c r="E151" l="1"/>
  <c r="AAH121"/>
  <c r="H121" s="1"/>
  <c r="E121" s="1"/>
  <c r="AAH123"/>
  <c r="H123" s="1"/>
  <c r="G166"/>
  <c r="AAH166" s="1"/>
  <c r="H166" s="1"/>
  <c r="F163"/>
  <c r="E163"/>
  <c r="AAH195"/>
  <c r="H195" s="1"/>
  <c r="AAH356"/>
  <c r="H356" s="1"/>
  <c r="E344"/>
  <c r="G165" l="1"/>
  <c r="AAH165" s="1"/>
  <c r="H165" s="1"/>
  <c r="F165" s="1"/>
  <c r="F123"/>
  <c r="AAG131"/>
  <c r="G131" s="1"/>
  <c r="F121"/>
  <c r="E123"/>
  <c r="F166"/>
  <c r="E195"/>
  <c r="F195"/>
  <c r="F356"/>
  <c r="G357"/>
  <c r="E356"/>
  <c r="E166" l="1"/>
  <c r="AAG132"/>
  <c r="G132" s="1"/>
  <c r="AAH131"/>
  <c r="H131" s="1"/>
  <c r="E131" s="1"/>
  <c r="E165"/>
  <c r="AAH357"/>
  <c r="H357" s="1"/>
  <c r="F357" s="1"/>
  <c r="AAH179"/>
  <c r="H179" s="1"/>
  <c r="F179" s="1"/>
  <c r="F131" l="1"/>
  <c r="AAH132"/>
  <c r="H132" s="1"/>
  <c r="F132" s="1"/>
  <c r="AAG133"/>
  <c r="G133" s="1"/>
  <c r="E357"/>
  <c r="AAH133" l="1"/>
  <c r="H133" s="1"/>
  <c r="E133" s="1"/>
  <c r="AAG134"/>
  <c r="G134" s="1"/>
  <c r="E132"/>
  <c r="G197"/>
  <c r="AAH197" s="1"/>
  <c r="H197" s="1"/>
  <c r="F197" s="1"/>
  <c r="AAH180"/>
  <c r="F133" l="1"/>
  <c r="AAG135"/>
  <c r="G135" s="1"/>
  <c r="AAH134"/>
  <c r="H134" s="1"/>
  <c r="F134" s="1"/>
  <c r="E197"/>
  <c r="AAG200"/>
  <c r="G200" s="1"/>
  <c r="H180"/>
  <c r="F180" s="1"/>
  <c r="E134" l="1"/>
  <c r="AAH135"/>
  <c r="H135" s="1"/>
  <c r="E135" s="1"/>
  <c r="E180"/>
  <c r="AAH200"/>
  <c r="AAG137" l="1"/>
  <c r="G137" s="1"/>
  <c r="F135"/>
  <c r="H200"/>
  <c r="F200" l="1"/>
  <c r="AAG202"/>
  <c r="AAH137"/>
  <c r="H137" s="1"/>
  <c r="E200"/>
  <c r="G198"/>
  <c r="E205"/>
  <c r="AAG138" l="1"/>
  <c r="G138" s="1"/>
  <c r="F137"/>
  <c r="E137"/>
  <c r="AAH198"/>
  <c r="H198" s="1"/>
  <c r="AAH138" l="1"/>
  <c r="H138" s="1"/>
  <c r="E138" s="1"/>
  <c r="E198"/>
  <c r="F198"/>
  <c r="G139" l="1"/>
  <c r="F138"/>
  <c r="G202"/>
  <c r="AAH139" l="1"/>
  <c r="H139" s="1"/>
  <c r="E139" s="1"/>
  <c r="AAH202"/>
  <c r="H202" s="1"/>
  <c r="F202" l="1"/>
  <c r="AAG203"/>
  <c r="G203" s="1"/>
  <c r="G140"/>
  <c r="F139"/>
  <c r="E202"/>
  <c r="AAH140" l="1"/>
  <c r="H140" s="1"/>
  <c r="E140" s="1"/>
  <c r="AAH203"/>
  <c r="H203" s="1"/>
  <c r="G141" l="1"/>
  <c r="F140"/>
  <c r="E203"/>
  <c r="F203"/>
  <c r="G207"/>
  <c r="AAH141" l="1"/>
  <c r="H141" s="1"/>
  <c r="E141" s="1"/>
  <c r="AAH207"/>
  <c r="H207" s="1"/>
  <c r="F141" l="1"/>
  <c r="AAI55"/>
  <c r="AAG209"/>
  <c r="G209" s="1"/>
  <c r="F207"/>
  <c r="E207"/>
  <c r="G208"/>
  <c r="AAG230" l="1"/>
  <c r="G230" s="1"/>
  <c r="AAH230" s="1"/>
  <c r="AAG232"/>
  <c r="G232" s="1"/>
  <c r="AAH229"/>
  <c r="AAG231"/>
  <c r="G231" s="1"/>
  <c r="AAH231" s="1"/>
  <c r="AAG210"/>
  <c r="G210" s="1"/>
  <c r="AAG212" s="1"/>
  <c r="G212" s="1"/>
  <c r="AAK314"/>
  <c r="B314" s="1"/>
  <c r="AAK322"/>
  <c r="B322" s="1"/>
  <c r="AAK268"/>
  <c r="B268" s="1"/>
  <c r="AAK291"/>
  <c r="B291" s="1"/>
  <c r="AAK299"/>
  <c r="B299" s="1"/>
  <c r="AAK253"/>
  <c r="B253" s="1"/>
  <c r="AAK245"/>
  <c r="B245" s="1"/>
  <c r="AAK230"/>
  <c r="B230" s="1"/>
  <c r="AAK305"/>
  <c r="B305" s="1"/>
  <c r="AAK304"/>
  <c r="B304" s="1"/>
  <c r="AAK282"/>
  <c r="B282" s="1"/>
  <c r="AAK281"/>
  <c r="B281" s="1"/>
  <c r="AAK259"/>
  <c r="B259" s="1"/>
  <c r="AAK258"/>
  <c r="B258" s="1"/>
  <c r="AAK236"/>
  <c r="B236" s="1"/>
  <c r="AAK235"/>
  <c r="B235" s="1"/>
  <c r="AAK212"/>
  <c r="B212" s="1"/>
  <c r="AAK213"/>
  <c r="B213" s="1"/>
  <c r="AAK276"/>
  <c r="B276" s="1"/>
  <c r="G277"/>
  <c r="G276"/>
  <c r="AAH276" s="1"/>
  <c r="AAK222"/>
  <c r="B222" s="1"/>
  <c r="AAG213" l="1"/>
  <c r="G213" s="1"/>
  <c r="AAG214" s="1"/>
  <c r="G214" s="1"/>
  <c r="AAH212"/>
  <c r="H212" s="1"/>
  <c r="F212" s="1"/>
  <c r="AAH210"/>
  <c r="H210" s="1"/>
  <c r="F210" s="1"/>
  <c r="AAG233"/>
  <c r="G233" s="1"/>
  <c r="AAG255"/>
  <c r="G255" s="1"/>
  <c r="AAH252"/>
  <c r="AAG254"/>
  <c r="G254" s="1"/>
  <c r="AAH254" s="1"/>
  <c r="H254" s="1"/>
  <c r="F254" s="1"/>
  <c r="AAG253"/>
  <c r="G253" s="1"/>
  <c r="AAH253" s="1"/>
  <c r="H253" s="1"/>
  <c r="F253" s="1"/>
  <c r="AAH277"/>
  <c r="H277" s="1"/>
  <c r="F277" s="1"/>
  <c r="H276"/>
  <c r="E210"/>
  <c r="E212" l="1"/>
  <c r="AAG215"/>
  <c r="G215" s="1"/>
  <c r="AAG216" s="1"/>
  <c r="AAH214"/>
  <c r="H214" s="1"/>
  <c r="AAG235"/>
  <c r="G235" s="1"/>
  <c r="AAH233"/>
  <c r="H233" s="1"/>
  <c r="AAG276"/>
  <c r="AAH275"/>
  <c r="H275" s="1"/>
  <c r="AAG277"/>
  <c r="AAG256"/>
  <c r="G256" s="1"/>
  <c r="AAG278"/>
  <c r="G278" s="1"/>
  <c r="E254"/>
  <c r="E253"/>
  <c r="E276"/>
  <c r="F276"/>
  <c r="E277"/>
  <c r="AAH215" l="1"/>
  <c r="H215" s="1"/>
  <c r="F214"/>
  <c r="E214"/>
  <c r="AAG279"/>
  <c r="G279" s="1"/>
  <c r="AAG281" s="1"/>
  <c r="G281" s="1"/>
  <c r="AAH298"/>
  <c r="AAG299"/>
  <c r="G299" s="1"/>
  <c r="AAH299" s="1"/>
  <c r="H299" s="1"/>
  <c r="AAG300"/>
  <c r="G300" s="1"/>
  <c r="AAG301"/>
  <c r="G301" s="1"/>
  <c r="AAG302" s="1"/>
  <c r="G302" s="1"/>
  <c r="AAG304" s="1"/>
  <c r="G304" s="1"/>
  <c r="AAG305" s="1"/>
  <c r="G305" s="1"/>
  <c r="AAG306" s="1"/>
  <c r="G306" s="1"/>
  <c r="AAG307" s="1"/>
  <c r="AAG258"/>
  <c r="G258" s="1"/>
  <c r="AAH256"/>
  <c r="H256" s="1"/>
  <c r="F256" s="1"/>
  <c r="AAG236"/>
  <c r="G236" s="1"/>
  <c r="AAH235"/>
  <c r="H235" s="1"/>
  <c r="F233"/>
  <c r="E233"/>
  <c r="G216"/>
  <c r="AAH216" s="1"/>
  <c r="H216" s="1"/>
  <c r="F216" s="1"/>
  <c r="AAG323"/>
  <c r="G323" s="1"/>
  <c r="H252"/>
  <c r="E215" l="1"/>
  <c r="F215"/>
  <c r="AAG322"/>
  <c r="G322" s="1"/>
  <c r="AAH322" s="1"/>
  <c r="H322" s="1"/>
  <c r="F322" s="1"/>
  <c r="AAH279"/>
  <c r="H279" s="1"/>
  <c r="AAH321"/>
  <c r="H321" s="1"/>
  <c r="AAG237"/>
  <c r="G237" s="1"/>
  <c r="AAH236"/>
  <c r="H236" s="1"/>
  <c r="F236" s="1"/>
  <c r="E299"/>
  <c r="F299"/>
  <c r="AAG282"/>
  <c r="G282" s="1"/>
  <c r="AAH281"/>
  <c r="H281" s="1"/>
  <c r="F281" s="1"/>
  <c r="F235"/>
  <c r="E235"/>
  <c r="AAG259"/>
  <c r="G259" s="1"/>
  <c r="AAH258"/>
  <c r="H258" s="1"/>
  <c r="F258" s="1"/>
  <c r="AAH300"/>
  <c r="H300" s="1"/>
  <c r="F300" s="1"/>
  <c r="E216"/>
  <c r="E256"/>
  <c r="G307"/>
  <c r="AAG308" s="1"/>
  <c r="G308" s="1"/>
  <c r="AAG217"/>
  <c r="G217" s="1"/>
  <c r="AAH306"/>
  <c r="H306" s="1"/>
  <c r="F306" s="1"/>
  <c r="AAH302"/>
  <c r="H302" s="1"/>
  <c r="F302" s="1"/>
  <c r="AAH323"/>
  <c r="H323" s="1"/>
  <c r="F323" s="1"/>
  <c r="AAH304"/>
  <c r="H304" s="1"/>
  <c r="F304" s="1"/>
  <c r="AAH305"/>
  <c r="H305" s="1"/>
  <c r="H298"/>
  <c r="E236" l="1"/>
  <c r="E281"/>
  <c r="AAH307"/>
  <c r="H307" s="1"/>
  <c r="F307" s="1"/>
  <c r="AAG309"/>
  <c r="G309" s="1"/>
  <c r="AAH309" s="1"/>
  <c r="H309" s="1"/>
  <c r="F309" s="1"/>
  <c r="AAH308"/>
  <c r="H308" s="1"/>
  <c r="F308" s="1"/>
  <c r="F279"/>
  <c r="E279"/>
  <c r="E300"/>
  <c r="E258"/>
  <c r="AAG260"/>
  <c r="G260" s="1"/>
  <c r="AAH259"/>
  <c r="AAG238"/>
  <c r="G238" s="1"/>
  <c r="AAH237"/>
  <c r="H237" s="1"/>
  <c r="F237" s="1"/>
  <c r="AAG283"/>
  <c r="G283" s="1"/>
  <c r="AAH282"/>
  <c r="H282" s="1"/>
  <c r="F282" s="1"/>
  <c r="E306"/>
  <c r="AAG218"/>
  <c r="G218" s="1"/>
  <c r="AAH217"/>
  <c r="H217" s="1"/>
  <c r="F305"/>
  <c r="E305"/>
  <c r="E304"/>
  <c r="E323"/>
  <c r="E302"/>
  <c r="E322"/>
  <c r="E307" l="1"/>
  <c r="E308"/>
  <c r="E309"/>
  <c r="E282"/>
  <c r="E237"/>
  <c r="AAG284"/>
  <c r="G284" s="1"/>
  <c r="AAH283"/>
  <c r="H283" s="1"/>
  <c r="F283" s="1"/>
  <c r="AAG261"/>
  <c r="G261" s="1"/>
  <c r="AAH260"/>
  <c r="H260" s="1"/>
  <c r="F260" s="1"/>
  <c r="AAG239"/>
  <c r="G239" s="1"/>
  <c r="AAH238"/>
  <c r="H238" s="1"/>
  <c r="F238" s="1"/>
  <c r="H259"/>
  <c r="E259" s="1"/>
  <c r="AAG310"/>
  <c r="AAG219"/>
  <c r="G219" s="1"/>
  <c r="AAH218"/>
  <c r="H218" s="1"/>
  <c r="F218" s="1"/>
  <c r="E217"/>
  <c r="F217"/>
  <c r="E218" l="1"/>
  <c r="F259"/>
  <c r="E260"/>
  <c r="E238"/>
  <c r="E283"/>
  <c r="AAH239"/>
  <c r="H239" s="1"/>
  <c r="F239" s="1"/>
  <c r="AAG240"/>
  <c r="G240" s="1"/>
  <c r="AAG285"/>
  <c r="G285" s="1"/>
  <c r="AAH284"/>
  <c r="H284" s="1"/>
  <c r="F284" s="1"/>
  <c r="AAG262"/>
  <c r="G262" s="1"/>
  <c r="AAH261"/>
  <c r="H261" s="1"/>
  <c r="F261" s="1"/>
  <c r="G310"/>
  <c r="AAG311" s="1"/>
  <c r="G311" s="1"/>
  <c r="AAG222"/>
  <c r="G222" s="1"/>
  <c r="AAH219"/>
  <c r="H219" s="1"/>
  <c r="F219" s="1"/>
  <c r="E239" l="1"/>
  <c r="E219"/>
  <c r="E261"/>
  <c r="AAG263"/>
  <c r="G263" s="1"/>
  <c r="AAH262"/>
  <c r="H262" s="1"/>
  <c r="F262" s="1"/>
  <c r="AAG241"/>
  <c r="G241" s="1"/>
  <c r="AAH240"/>
  <c r="H240" s="1"/>
  <c r="F240" s="1"/>
  <c r="AAG286"/>
  <c r="G286" s="1"/>
  <c r="AAH285"/>
  <c r="H285" s="1"/>
  <c r="F285" s="1"/>
  <c r="E284"/>
  <c r="AAH311"/>
  <c r="H311" s="1"/>
  <c r="F311" s="1"/>
  <c r="AAG314"/>
  <c r="G314" s="1"/>
  <c r="AAH310"/>
  <c r="H310" s="1"/>
  <c r="F310" s="1"/>
  <c r="AAG224"/>
  <c r="G224" s="1"/>
  <c r="AAH222"/>
  <c r="H222" s="1"/>
  <c r="F222" s="1"/>
  <c r="E311" l="1"/>
  <c r="E240"/>
  <c r="E222"/>
  <c r="E285"/>
  <c r="E262"/>
  <c r="AAG287"/>
  <c r="G287" s="1"/>
  <c r="AAH286"/>
  <c r="H286" s="1"/>
  <c r="F286" s="1"/>
  <c r="AAG264"/>
  <c r="G264" s="1"/>
  <c r="AAH263"/>
  <c r="H263" s="1"/>
  <c r="F263" s="1"/>
  <c r="E310"/>
  <c r="AAG242"/>
  <c r="G242" s="1"/>
  <c r="AAH241"/>
  <c r="H241" s="1"/>
  <c r="F241" s="1"/>
  <c r="AAG316"/>
  <c r="G316" s="1"/>
  <c r="AAH314"/>
  <c r="H314" s="1"/>
  <c r="F314" s="1"/>
  <c r="AAG225"/>
  <c r="G225" s="1"/>
  <c r="AAH224"/>
  <c r="H224" s="1"/>
  <c r="F224" s="1"/>
  <c r="AAH213"/>
  <c r="E263" l="1"/>
  <c r="E224"/>
  <c r="E286"/>
  <c r="AAG288"/>
  <c r="G288" s="1"/>
  <c r="AAH287"/>
  <c r="H287" s="1"/>
  <c r="F287" s="1"/>
  <c r="AAG245"/>
  <c r="G245" s="1"/>
  <c r="AAH242"/>
  <c r="H242" s="1"/>
  <c r="F242" s="1"/>
  <c r="AAG265"/>
  <c r="G265" s="1"/>
  <c r="AAH264"/>
  <c r="H264" s="1"/>
  <c r="F264" s="1"/>
  <c r="E314"/>
  <c r="E241"/>
  <c r="AAH316"/>
  <c r="H316" s="1"/>
  <c r="F316" s="1"/>
  <c r="AAG317"/>
  <c r="G317" s="1"/>
  <c r="AAG226"/>
  <c r="G226" s="1"/>
  <c r="AAH225"/>
  <c r="H225" s="1"/>
  <c r="F225" s="1"/>
  <c r="H213"/>
  <c r="F213" s="1"/>
  <c r="E316" l="1"/>
  <c r="E287"/>
  <c r="AAG268"/>
  <c r="G268" s="1"/>
  <c r="AAH265"/>
  <c r="H265" s="1"/>
  <c r="F265" s="1"/>
  <c r="AAG291"/>
  <c r="G291" s="1"/>
  <c r="AAH288"/>
  <c r="H288" s="1"/>
  <c r="F288" s="1"/>
  <c r="E225"/>
  <c r="E264"/>
  <c r="E242"/>
  <c r="AAH245"/>
  <c r="H245" s="1"/>
  <c r="F245" s="1"/>
  <c r="AAG247"/>
  <c r="G247" s="1"/>
  <c r="AAH317"/>
  <c r="H317" s="1"/>
  <c r="F317" s="1"/>
  <c r="AAG318"/>
  <c r="G318" s="1"/>
  <c r="AAG227"/>
  <c r="G227" s="1"/>
  <c r="AAH226"/>
  <c r="H226" s="1"/>
  <c r="E213"/>
  <c r="E245" l="1"/>
  <c r="E317"/>
  <c r="E288"/>
  <c r="E265"/>
  <c r="AAH247"/>
  <c r="H247" s="1"/>
  <c r="F247" s="1"/>
  <c r="AAG248"/>
  <c r="G248" s="1"/>
  <c r="AAG270"/>
  <c r="G270" s="1"/>
  <c r="AAH268"/>
  <c r="H268" s="1"/>
  <c r="F268" s="1"/>
  <c r="AAG293"/>
  <c r="G293" s="1"/>
  <c r="AAH291"/>
  <c r="H291" s="1"/>
  <c r="F291" s="1"/>
  <c r="AAG319"/>
  <c r="G319" s="1"/>
  <c r="AAH318"/>
  <c r="H318" s="1"/>
  <c r="F318" s="1"/>
  <c r="AAG228"/>
  <c r="AAH227"/>
  <c r="H227" s="1"/>
  <c r="E226"/>
  <c r="F226"/>
  <c r="E247" l="1"/>
  <c r="E291"/>
  <c r="AAG294"/>
  <c r="G294" s="1"/>
  <c r="AAH293"/>
  <c r="H293" s="1"/>
  <c r="F293" s="1"/>
  <c r="AAG271"/>
  <c r="G271" s="1"/>
  <c r="AAH270"/>
  <c r="H270" s="1"/>
  <c r="F270" s="1"/>
  <c r="AAH248"/>
  <c r="H248" s="1"/>
  <c r="F248" s="1"/>
  <c r="AAG249"/>
  <c r="G249" s="1"/>
  <c r="E318"/>
  <c r="E268"/>
  <c r="AAG320"/>
  <c r="G320" s="1"/>
  <c r="AAH319"/>
  <c r="H319" s="1"/>
  <c r="F319" s="1"/>
  <c r="G228"/>
  <c r="AAH228" s="1"/>
  <c r="H228" s="1"/>
  <c r="F228" s="1"/>
  <c r="F227"/>
  <c r="E227"/>
  <c r="H229"/>
  <c r="E248" l="1"/>
  <c r="E319"/>
  <c r="E270"/>
  <c r="E293"/>
  <c r="AAG295"/>
  <c r="G295" s="1"/>
  <c r="AAH294"/>
  <c r="H294" s="1"/>
  <c r="AAG250"/>
  <c r="G250" s="1"/>
  <c r="AAH249"/>
  <c r="H249" s="1"/>
  <c r="F249" s="1"/>
  <c r="AAG272"/>
  <c r="G272" s="1"/>
  <c r="AAH271"/>
  <c r="H271" s="1"/>
  <c r="AAH320"/>
  <c r="H320" s="1"/>
  <c r="F320" s="1"/>
  <c r="E228"/>
  <c r="H230"/>
  <c r="E249" l="1"/>
  <c r="E320"/>
  <c r="E271"/>
  <c r="F271"/>
  <c r="AAH250"/>
  <c r="H250" s="1"/>
  <c r="F250" s="1"/>
  <c r="AAG251"/>
  <c r="G251" s="1"/>
  <c r="AAG296"/>
  <c r="G296" s="1"/>
  <c r="AAH295"/>
  <c r="H295" s="1"/>
  <c r="F295" s="1"/>
  <c r="AAG273"/>
  <c r="G273" s="1"/>
  <c r="AAH272"/>
  <c r="H272" s="1"/>
  <c r="F272" s="1"/>
  <c r="E294"/>
  <c r="F294"/>
  <c r="E230"/>
  <c r="F230"/>
  <c r="H231"/>
  <c r="E250" l="1"/>
  <c r="E272"/>
  <c r="AAG274"/>
  <c r="G274" s="1"/>
  <c r="AAH273"/>
  <c r="H273" s="1"/>
  <c r="F273" s="1"/>
  <c r="AAG297"/>
  <c r="G297" s="1"/>
  <c r="AAH296"/>
  <c r="H296" s="1"/>
  <c r="F296" s="1"/>
  <c r="AAH251"/>
  <c r="H251" s="1"/>
  <c r="F251" s="1"/>
  <c r="E295"/>
  <c r="E231"/>
  <c r="F231"/>
  <c r="E251" l="1"/>
  <c r="E296"/>
  <c r="E273"/>
  <c r="AAH274"/>
  <c r="H274" s="1"/>
  <c r="F274" s="1"/>
  <c r="AAH297"/>
  <c r="H297" s="1"/>
  <c r="F297" s="1"/>
  <c r="B706"/>
  <c r="E274" l="1"/>
  <c r="E297"/>
  <c r="AAH550" l="1"/>
  <c r="H550" s="1"/>
  <c r="G375"/>
  <c r="AAG376" s="1"/>
  <c r="G377" s="1"/>
  <c r="G376" l="1"/>
  <c r="AAH580"/>
  <c r="H580" s="1"/>
  <c r="AAH584" l="1"/>
  <c r="H584" s="1"/>
  <c r="AAH582"/>
  <c r="H582" s="1"/>
  <c r="F580"/>
  <c r="F584" l="1"/>
  <c r="F582"/>
  <c r="G428" l="1"/>
  <c r="G432"/>
  <c r="G436" l="1"/>
  <c r="G447" l="1"/>
  <c r="H447" l="1"/>
  <c r="G448" l="1"/>
  <c r="F447"/>
  <c r="E447"/>
  <c r="H448" l="1"/>
  <c r="F448" s="1"/>
  <c r="E448" l="1"/>
  <c r="D45" l="1"/>
  <c r="E44" s="1"/>
  <c r="E45" l="1"/>
  <c r="AAH7"/>
  <c r="H7" s="1"/>
  <c r="AAH43"/>
  <c r="AAH47" l="1"/>
  <c r="H47" s="1"/>
  <c r="AAH50"/>
  <c r="AAG40"/>
  <c r="G40" s="1"/>
  <c r="AAH40" s="1"/>
  <c r="AAH691"/>
  <c r="H691" s="1"/>
  <c r="AAG692" s="1"/>
  <c r="G692" s="1"/>
  <c r="AAH30"/>
  <c r="H30" s="1"/>
  <c r="AAG38"/>
  <c r="AAG39"/>
  <c r="G39" s="1"/>
  <c r="AAH39" s="1"/>
  <c r="AAH16"/>
  <c r="H16" s="1"/>
  <c r="F7"/>
  <c r="AAH690"/>
  <c r="H690" s="1"/>
  <c r="F690" s="1"/>
  <c r="AAG691"/>
  <c r="G691" s="1"/>
  <c r="F43"/>
  <c r="AAH684"/>
  <c r="H684" s="1"/>
  <c r="F684" s="1"/>
  <c r="AAI49"/>
  <c r="AAH687"/>
  <c r="H687" s="1"/>
  <c r="F687" s="1"/>
  <c r="AAH688"/>
  <c r="H688" s="1"/>
  <c r="F688" s="1"/>
  <c r="AAK705"/>
  <c r="B705" s="1"/>
  <c r="AAH48"/>
  <c r="H48" s="1"/>
  <c r="F48" s="1"/>
  <c r="AAH616"/>
  <c r="H616" s="1"/>
  <c r="AAH689"/>
  <c r="H689" s="1"/>
  <c r="F689" s="1"/>
  <c r="AAH748"/>
  <c r="H748" s="1"/>
  <c r="F748" s="1"/>
  <c r="AAG748"/>
  <c r="G748" s="1"/>
  <c r="AAH686"/>
  <c r="H686" s="1"/>
  <c r="F686" s="1"/>
  <c r="AAH42"/>
  <c r="H42" s="1"/>
  <c r="AAH671" s="1"/>
  <c r="AAI38"/>
  <c r="AAG698"/>
  <c r="G698" s="1"/>
  <c r="H50"/>
  <c r="F50" s="1"/>
  <c r="AAH685"/>
  <c r="H685" s="1"/>
  <c r="F685" s="1"/>
  <c r="AAH714" l="1"/>
  <c r="AAH712"/>
  <c r="AAH710"/>
  <c r="H710" s="1"/>
  <c r="F710" s="1"/>
  <c r="AAH708"/>
  <c r="AAH706"/>
  <c r="AAH704"/>
  <c r="AAH713"/>
  <c r="AAH711"/>
  <c r="AAH709"/>
  <c r="AAH707"/>
  <c r="AAH705"/>
  <c r="AAH703"/>
  <c r="AAH718"/>
  <c r="AAH719"/>
  <c r="AAH716"/>
  <c r="AAH717"/>
  <c r="AAH741"/>
  <c r="H741" s="1"/>
  <c r="F741" s="1"/>
  <c r="AAH721"/>
  <c r="H721" s="1"/>
  <c r="F721" s="1"/>
  <c r="AAH49"/>
  <c r="H49" s="1"/>
  <c r="AAH727" s="1"/>
  <c r="H727" s="1"/>
  <c r="F727" s="1"/>
  <c r="AAI40"/>
  <c r="AAI39"/>
  <c r="AAH692"/>
  <c r="H692" s="1"/>
  <c r="F692" s="1"/>
  <c r="AAH324"/>
  <c r="H324" s="1"/>
  <c r="E324" s="1"/>
  <c r="AAH208"/>
  <c r="H208" s="1"/>
  <c r="F16"/>
  <c r="AAH206"/>
  <c r="H206" s="1"/>
  <c r="H172"/>
  <c r="F172"/>
  <c r="AAH172"/>
  <c r="AAH643"/>
  <c r="H643" s="1"/>
  <c r="F643" s="1"/>
  <c r="AAH649"/>
  <c r="H649" s="1"/>
  <c r="F649" s="1"/>
  <c r="AAH621"/>
  <c r="H621" s="1"/>
  <c r="F621" s="1"/>
  <c r="AAH654"/>
  <c r="H654" s="1"/>
  <c r="F654" s="1"/>
  <c r="AAH619"/>
  <c r="H619" s="1"/>
  <c r="F619" s="1"/>
  <c r="AAH568"/>
  <c r="H568" s="1"/>
  <c r="F568" s="1"/>
  <c r="AAH634"/>
  <c r="H634" s="1"/>
  <c r="F634" s="1"/>
  <c r="AAH624"/>
  <c r="H624" s="1"/>
  <c r="F624" s="1"/>
  <c r="AAH620"/>
  <c r="H620" s="1"/>
  <c r="F620" s="1"/>
  <c r="F42"/>
  <c r="AAH589"/>
  <c r="H589" s="1"/>
  <c r="F589" s="1"/>
  <c r="AAH567"/>
  <c r="H567" s="1"/>
  <c r="F567" s="1"/>
  <c r="AAH655"/>
  <c r="H655" s="1"/>
  <c r="F655" s="1"/>
  <c r="AAH645"/>
  <c r="H645" s="1"/>
  <c r="F645" s="1"/>
  <c r="AAH657"/>
  <c r="H657" s="1"/>
  <c r="F657" s="1"/>
  <c r="AAH622"/>
  <c r="H622" s="1"/>
  <c r="F622" s="1"/>
  <c r="AAH642"/>
  <c r="H642" s="1"/>
  <c r="F642" s="1"/>
  <c r="H671"/>
  <c r="F671" s="1"/>
  <c r="AAH653"/>
  <c r="H653" s="1"/>
  <c r="F653" s="1"/>
  <c r="AAH647"/>
  <c r="H647" s="1"/>
  <c r="AAG658" s="1"/>
  <c r="AAH648"/>
  <c r="H648" s="1"/>
  <c r="F648" s="1"/>
  <c r="AAH625"/>
  <c r="H625" s="1"/>
  <c r="F625" s="1"/>
  <c r="AAH641"/>
  <c r="H641" s="1"/>
  <c r="F641" s="1"/>
  <c r="AAH652"/>
  <c r="H652" s="1"/>
  <c r="F652" s="1"/>
  <c r="AAH656"/>
  <c r="H656" s="1"/>
  <c r="F656" s="1"/>
  <c r="AAH639"/>
  <c r="H639" s="1"/>
  <c r="F639" s="1"/>
  <c r="AAH623"/>
  <c r="H623" s="1"/>
  <c r="F623" s="1"/>
  <c r="AAH638"/>
  <c r="H638" s="1"/>
  <c r="F638" s="1"/>
  <c r="AAH675"/>
  <c r="H675" s="1"/>
  <c r="AAH651"/>
  <c r="H651" s="1"/>
  <c r="AAH674"/>
  <c r="H674" s="1"/>
  <c r="F674" s="1"/>
  <c r="AAH640"/>
  <c r="H640" s="1"/>
  <c r="F640" s="1"/>
  <c r="AAH698"/>
  <c r="H698" s="1"/>
  <c r="F698" s="1"/>
  <c r="AAI30"/>
  <c r="AAG567"/>
  <c r="G567" s="1"/>
  <c r="AAG589"/>
  <c r="G589" s="1"/>
  <c r="F30"/>
  <c r="AAG568"/>
  <c r="G568" s="1"/>
  <c r="AAH29"/>
  <c r="H29" s="1"/>
  <c r="AAH733"/>
  <c r="H733" s="1"/>
  <c r="F733" s="1"/>
  <c r="AAH728"/>
  <c r="H728" s="1"/>
  <c r="F728" s="1"/>
  <c r="F47"/>
  <c r="AAG749"/>
  <c r="G749" s="1"/>
  <c r="AAG744"/>
  <c r="G744" s="1"/>
  <c r="AAH746"/>
  <c r="E748"/>
  <c r="E567" l="1"/>
  <c r="E589"/>
  <c r="AAG541"/>
  <c r="G541" s="1"/>
  <c r="AAH541" s="1"/>
  <c r="AAG539"/>
  <c r="G539" s="1"/>
  <c r="AAH539" s="1"/>
  <c r="AAG540"/>
  <c r="G540" s="1"/>
  <c r="AAH540" s="1"/>
  <c r="F651"/>
  <c r="E568"/>
  <c r="E692"/>
  <c r="H717"/>
  <c r="F717" s="1"/>
  <c r="H703"/>
  <c r="F703" s="1"/>
  <c r="G658"/>
  <c r="F647"/>
  <c r="H712"/>
  <c r="F712" s="1"/>
  <c r="H713"/>
  <c r="F713" s="1"/>
  <c r="AAH744"/>
  <c r="H744" s="1"/>
  <c r="F744" s="1"/>
  <c r="F324"/>
  <c r="E208"/>
  <c r="F208"/>
  <c r="AAH749"/>
  <c r="AAH330"/>
  <c r="H330" s="1"/>
  <c r="F29"/>
  <c r="AAH33"/>
  <c r="H33" s="1"/>
  <c r="AAH466" s="1"/>
  <c r="AAG616"/>
  <c r="G616" s="1"/>
  <c r="H705"/>
  <c r="F705" s="1"/>
  <c r="H718"/>
  <c r="F718" s="1"/>
  <c r="F49"/>
  <c r="H714"/>
  <c r="F714" s="1"/>
  <c r="H709"/>
  <c r="F709" s="1"/>
  <c r="AAG746"/>
  <c r="G746" s="1"/>
  <c r="H746"/>
  <c r="H708"/>
  <c r="F708" s="1"/>
  <c r="H716"/>
  <c r="F716" s="1"/>
  <c r="H704"/>
  <c r="F704" s="1"/>
  <c r="AAH676"/>
  <c r="H676" s="1"/>
  <c r="F675"/>
  <c r="H707"/>
  <c r="F707" s="1"/>
  <c r="E206"/>
  <c r="F206"/>
  <c r="H711"/>
  <c r="F711" s="1"/>
  <c r="AAH754"/>
  <c r="H754" s="1"/>
  <c r="AAH755"/>
  <c r="H755" s="1"/>
  <c r="AAH753"/>
  <c r="H753" s="1"/>
  <c r="F753" s="1"/>
  <c r="AAH760"/>
  <c r="H760" s="1"/>
  <c r="F760" s="1"/>
  <c r="H706"/>
  <c r="F706" s="1"/>
  <c r="H719"/>
  <c r="F719" s="1"/>
  <c r="AAG686" l="1"/>
  <c r="G686" s="1"/>
  <c r="E686" s="1"/>
  <c r="AAG625"/>
  <c r="G625" s="1"/>
  <c r="E625" s="1"/>
  <c r="AAH22"/>
  <c r="H22" s="1"/>
  <c r="F22" s="1"/>
  <c r="AAH461"/>
  <c r="H461" s="1"/>
  <c r="AAH465"/>
  <c r="H465" s="1"/>
  <c r="AAG525"/>
  <c r="AAG527"/>
  <c r="AAG533"/>
  <c r="AAH453"/>
  <c r="H453" s="1"/>
  <c r="C17" i="99" s="1"/>
  <c r="AAH457" i="94"/>
  <c r="H457" s="1"/>
  <c r="C21" i="99" s="1"/>
  <c r="AAH523" i="94"/>
  <c r="H523" s="1"/>
  <c r="AAH460"/>
  <c r="H460" s="1"/>
  <c r="AAH462"/>
  <c r="AAH471"/>
  <c r="H471" s="1"/>
  <c r="AAH473"/>
  <c r="H473" s="1"/>
  <c r="AAG528"/>
  <c r="AAH454"/>
  <c r="H454" s="1"/>
  <c r="C18" i="99" s="1"/>
  <c r="AAH458" i="94"/>
  <c r="H458" s="1"/>
  <c r="C22" i="99" s="1"/>
  <c r="AAH450" i="94"/>
  <c r="H450" s="1"/>
  <c r="AAH470"/>
  <c r="H470" s="1"/>
  <c r="AAH472"/>
  <c r="H472" s="1"/>
  <c r="AAG543"/>
  <c r="AAH455"/>
  <c r="H455" s="1"/>
  <c r="C19" i="99" s="1"/>
  <c r="AAH459" i="94"/>
  <c r="AAH464"/>
  <c r="H464" s="1"/>
  <c r="AAG524"/>
  <c r="AAG526"/>
  <c r="AAH452"/>
  <c r="H452" s="1"/>
  <c r="C16" i="99" s="1"/>
  <c r="AAH456" i="94"/>
  <c r="H456" s="1"/>
  <c r="C20" i="99" s="1"/>
  <c r="AAH451" i="94"/>
  <c r="H451" s="1"/>
  <c r="AAH501"/>
  <c r="H501" s="1"/>
  <c r="AAG685"/>
  <c r="G685" s="1"/>
  <c r="E685" s="1"/>
  <c r="AAG653"/>
  <c r="G653" s="1"/>
  <c r="E653" s="1"/>
  <c r="AAI366"/>
  <c r="AAH449"/>
  <c r="H449" s="1"/>
  <c r="AAG657"/>
  <c r="G657" s="1"/>
  <c r="E657" s="1"/>
  <c r="AAG655"/>
  <c r="G655" s="1"/>
  <c r="E655" s="1"/>
  <c r="AAG634"/>
  <c r="G634" s="1"/>
  <c r="E634" s="1"/>
  <c r="AAG642"/>
  <c r="G642" s="1"/>
  <c r="E642" s="1"/>
  <c r="AAG640"/>
  <c r="G640" s="1"/>
  <c r="E640" s="1"/>
  <c r="AAG638"/>
  <c r="G638" s="1"/>
  <c r="E638" s="1"/>
  <c r="AAG649"/>
  <c r="G649" s="1"/>
  <c r="E649" s="1"/>
  <c r="AAG647"/>
  <c r="G647" s="1"/>
  <c r="E647" s="1"/>
  <c r="AAG651"/>
  <c r="G651" s="1"/>
  <c r="E651" s="1"/>
  <c r="AAG656"/>
  <c r="G656" s="1"/>
  <c r="E656" s="1"/>
  <c r="AAG654"/>
  <c r="AAG643"/>
  <c r="G643" s="1"/>
  <c r="E643" s="1"/>
  <c r="AAG641"/>
  <c r="AAG639"/>
  <c r="G639" s="1"/>
  <c r="E639" s="1"/>
  <c r="AAG645"/>
  <c r="G645" s="1"/>
  <c r="E645" s="1"/>
  <c r="AAG648"/>
  <c r="G648" s="1"/>
  <c r="E648" s="1"/>
  <c r="AAG652"/>
  <c r="G652" s="1"/>
  <c r="E652" s="1"/>
  <c r="AAH669"/>
  <c r="H669" s="1"/>
  <c r="F669" s="1"/>
  <c r="AAH667"/>
  <c r="H667" s="1"/>
  <c r="F667" s="1"/>
  <c r="AAH665"/>
  <c r="H665" s="1"/>
  <c r="F665" s="1"/>
  <c r="AAH663"/>
  <c r="H663" s="1"/>
  <c r="F663" s="1"/>
  <c r="AAH661"/>
  <c r="H661" s="1"/>
  <c r="F661" s="1"/>
  <c r="AAH659"/>
  <c r="H659" s="1"/>
  <c r="F659" s="1"/>
  <c r="AAG660"/>
  <c r="G660" s="1"/>
  <c r="AAH668"/>
  <c r="H668" s="1"/>
  <c r="F668" s="1"/>
  <c r="AAH666"/>
  <c r="AAH664"/>
  <c r="H664" s="1"/>
  <c r="F664" s="1"/>
  <c r="AAH662"/>
  <c r="AAH660"/>
  <c r="H660" s="1"/>
  <c r="F660" s="1"/>
  <c r="AAH658"/>
  <c r="H658" s="1"/>
  <c r="AAG661"/>
  <c r="G661" s="1"/>
  <c r="AAG659"/>
  <c r="G659" s="1"/>
  <c r="AAH28"/>
  <c r="H28" s="1"/>
  <c r="F28" s="1"/>
  <c r="AAH23"/>
  <c r="H23" s="1"/>
  <c r="F23" s="1"/>
  <c r="AAH55"/>
  <c r="H55" s="1"/>
  <c r="F55" s="1"/>
  <c r="AAH345"/>
  <c r="H345" s="1"/>
  <c r="F746"/>
  <c r="AAG747"/>
  <c r="G747" s="1"/>
  <c r="F755"/>
  <c r="AAG756"/>
  <c r="G756" s="1"/>
  <c r="AAG753"/>
  <c r="G753" s="1"/>
  <c r="E753" s="1"/>
  <c r="H749"/>
  <c r="AAG760"/>
  <c r="G760" s="1"/>
  <c r="E760" s="1"/>
  <c r="H462"/>
  <c r="AAH463" s="1"/>
  <c r="G533"/>
  <c r="AAH533" s="1"/>
  <c r="AAH31"/>
  <c r="H31" s="1"/>
  <c r="H466"/>
  <c r="G543"/>
  <c r="AAH34"/>
  <c r="H34" s="1"/>
  <c r="H459"/>
  <c r="C23" i="99" s="1"/>
  <c r="F33" i="94"/>
  <c r="H540"/>
  <c r="F540" s="1"/>
  <c r="E744"/>
  <c r="H539"/>
  <c r="F539" s="1"/>
  <c r="AAG624"/>
  <c r="G624" s="1"/>
  <c r="E624" s="1"/>
  <c r="AAG622"/>
  <c r="G622" s="1"/>
  <c r="E622" s="1"/>
  <c r="AAG621"/>
  <c r="G621" s="1"/>
  <c r="E621" s="1"/>
  <c r="AAG619"/>
  <c r="G619" s="1"/>
  <c r="E619" s="1"/>
  <c r="G654"/>
  <c r="E654" s="1"/>
  <c r="AAG620"/>
  <c r="G620" s="1"/>
  <c r="E620" s="1"/>
  <c r="AAG674"/>
  <c r="G674" s="1"/>
  <c r="E674" s="1"/>
  <c r="AAG623"/>
  <c r="G623" s="1"/>
  <c r="E623" s="1"/>
  <c r="AAG688"/>
  <c r="G688" s="1"/>
  <c r="AAG675"/>
  <c r="G675" s="1"/>
  <c r="E675" s="1"/>
  <c r="AAG687"/>
  <c r="G687" s="1"/>
  <c r="E687" s="1"/>
  <c r="G641"/>
  <c r="E641" s="1"/>
  <c r="AAG684"/>
  <c r="G684" s="1"/>
  <c r="E684" s="1"/>
  <c r="F616"/>
  <c r="F754"/>
  <c r="H541"/>
  <c r="F541" s="1"/>
  <c r="AAH341"/>
  <c r="H341" s="1"/>
  <c r="F341" s="1"/>
  <c r="AAH337"/>
  <c r="H337" s="1"/>
  <c r="AAH340"/>
  <c r="H340" s="1"/>
  <c r="F330"/>
  <c r="AAH339"/>
  <c r="H339" s="1"/>
  <c r="AAH338"/>
  <c r="H338" s="1"/>
  <c r="AAH18"/>
  <c r="H18" s="1"/>
  <c r="F18" s="1"/>
  <c r="AAH336"/>
  <c r="H336" s="1"/>
  <c r="E746"/>
  <c r="E661" l="1"/>
  <c r="E659"/>
  <c r="E660"/>
  <c r="AAH521"/>
  <c r="H521" s="1"/>
  <c r="F521" s="1"/>
  <c r="AAH484"/>
  <c r="AAH486"/>
  <c r="H486" s="1"/>
  <c r="AAH498"/>
  <c r="H498" s="1"/>
  <c r="AAH487"/>
  <c r="H487" s="1"/>
  <c r="AAH495"/>
  <c r="H495" s="1"/>
  <c r="AAH488"/>
  <c r="H488" s="1"/>
  <c r="AAH520"/>
  <c r="H520" s="1"/>
  <c r="F520" s="1"/>
  <c r="AAH485"/>
  <c r="H485" s="1"/>
  <c r="AAH489"/>
  <c r="H489" s="1"/>
  <c r="AAH493"/>
  <c r="H493" s="1"/>
  <c r="AAH475"/>
  <c r="H475" s="1"/>
  <c r="AAH410" s="1"/>
  <c r="E658"/>
  <c r="AAG662"/>
  <c r="G662" s="1"/>
  <c r="AAK23"/>
  <c r="B23" s="1"/>
  <c r="AAK22"/>
  <c r="B22" s="1"/>
  <c r="AAG28"/>
  <c r="G28" s="1"/>
  <c r="E541"/>
  <c r="F658"/>
  <c r="F473"/>
  <c r="E473"/>
  <c r="F466"/>
  <c r="E466"/>
  <c r="G528"/>
  <c r="AAH528" s="1"/>
  <c r="H528"/>
  <c r="F528" s="1"/>
  <c r="AAH553"/>
  <c r="H553" s="1"/>
  <c r="F553" s="1"/>
  <c r="AAG370"/>
  <c r="G370" s="1"/>
  <c r="AAG378" s="1"/>
  <c r="G378" s="1"/>
  <c r="AAG594"/>
  <c r="G594" s="1"/>
  <c r="AAG596"/>
  <c r="G596" s="1"/>
  <c r="AAG595"/>
  <c r="G595" s="1"/>
  <c r="F34"/>
  <c r="C4" i="99"/>
  <c r="AAH570" i="94"/>
  <c r="H570" s="1"/>
  <c r="F570" s="1"/>
  <c r="AAG377"/>
  <c r="F449"/>
  <c r="E449"/>
  <c r="E471"/>
  <c r="F471"/>
  <c r="AAH747"/>
  <c r="H747" s="1"/>
  <c r="F747" s="1"/>
  <c r="E451"/>
  <c r="F451"/>
  <c r="G527"/>
  <c r="AAH527" s="1"/>
  <c r="H527"/>
  <c r="F527" s="1"/>
  <c r="E337"/>
  <c r="F337"/>
  <c r="F472"/>
  <c r="E472"/>
  <c r="E464"/>
  <c r="F464"/>
  <c r="G526"/>
  <c r="AAH526" s="1"/>
  <c r="H526"/>
  <c r="F526" s="1"/>
  <c r="E539"/>
  <c r="AAG341"/>
  <c r="G341" s="1"/>
  <c r="E341" s="1"/>
  <c r="F340"/>
  <c r="E340"/>
  <c r="E450"/>
  <c r="F450"/>
  <c r="E465"/>
  <c r="F465"/>
  <c r="F462"/>
  <c r="H463"/>
  <c r="E462"/>
  <c r="AAH756"/>
  <c r="H756" s="1"/>
  <c r="F756" s="1"/>
  <c r="E336"/>
  <c r="F336"/>
  <c r="AAG689"/>
  <c r="G689" s="1"/>
  <c r="E688"/>
  <c r="E460"/>
  <c r="F460"/>
  <c r="E470"/>
  <c r="F470"/>
  <c r="E461"/>
  <c r="F461"/>
  <c r="E540"/>
  <c r="H533"/>
  <c r="F533" s="1"/>
  <c r="F749"/>
  <c r="E749"/>
  <c r="F339"/>
  <c r="E339"/>
  <c r="E338"/>
  <c r="F338"/>
  <c r="H524"/>
  <c r="F524" s="1"/>
  <c r="G524"/>
  <c r="AAH524" s="1"/>
  <c r="G525"/>
  <c r="AAH525" s="1"/>
  <c r="H525"/>
  <c r="F525" s="1"/>
  <c r="F31"/>
  <c r="AAH348"/>
  <c r="H348" s="1"/>
  <c r="F348" s="1"/>
  <c r="AAG348"/>
  <c r="G348" s="1"/>
  <c r="AAH491" l="1"/>
  <c r="H491" s="1"/>
  <c r="AAH413"/>
  <c r="AAH415"/>
  <c r="H415" s="1"/>
  <c r="AAH419"/>
  <c r="AAH421"/>
  <c r="H421" s="1"/>
  <c r="AAH423"/>
  <c r="AAH425"/>
  <c r="H425" s="1"/>
  <c r="AAH444"/>
  <c r="AAH443"/>
  <c r="H443" s="1"/>
  <c r="AAH417"/>
  <c r="AAH414"/>
  <c r="H414" s="1"/>
  <c r="AAH442"/>
  <c r="AAH411"/>
  <c r="H411" s="1"/>
  <c r="AAH478"/>
  <c r="H478" s="1"/>
  <c r="AAH416"/>
  <c r="H416" s="1"/>
  <c r="AAH418"/>
  <c r="H418" s="1"/>
  <c r="AAH420"/>
  <c r="H420" s="1"/>
  <c r="AAH422"/>
  <c r="H422" s="1"/>
  <c r="AAH424"/>
  <c r="H424" s="1"/>
  <c r="H410"/>
  <c r="AAG665"/>
  <c r="G665" s="1"/>
  <c r="E665" s="1"/>
  <c r="AAG663"/>
  <c r="G663" s="1"/>
  <c r="E663" s="1"/>
  <c r="AAG664"/>
  <c r="G664" s="1"/>
  <c r="E664" s="1"/>
  <c r="AAH382"/>
  <c r="H382" s="1"/>
  <c r="F382" s="1"/>
  <c r="AAH385"/>
  <c r="H385" s="1"/>
  <c r="F385" s="1"/>
  <c r="AAH383"/>
  <c r="H383" s="1"/>
  <c r="F383" s="1"/>
  <c r="AAH384"/>
  <c r="H384" s="1"/>
  <c r="F384" s="1"/>
  <c r="H413"/>
  <c r="H435"/>
  <c r="H433"/>
  <c r="H419"/>
  <c r="H417"/>
  <c r="H434"/>
  <c r="H432"/>
  <c r="H438"/>
  <c r="H444"/>
  <c r="AAG445" s="1"/>
  <c r="H428"/>
  <c r="H437"/>
  <c r="H442"/>
  <c r="AAG444" s="1"/>
  <c r="H439"/>
  <c r="H429"/>
  <c r="H423"/>
  <c r="H436"/>
  <c r="H431"/>
  <c r="H430"/>
  <c r="E747"/>
  <c r="E756"/>
  <c r="E533"/>
  <c r="AAH595"/>
  <c r="H595" s="1"/>
  <c r="F595" s="1"/>
  <c r="H662"/>
  <c r="E528"/>
  <c r="E526"/>
  <c r="E524"/>
  <c r="E348"/>
  <c r="AAG351"/>
  <c r="G351" s="1"/>
  <c r="E525"/>
  <c r="F488"/>
  <c r="H484"/>
  <c r="F484" s="1"/>
  <c r="F485"/>
  <c r="E527"/>
  <c r="AAG588"/>
  <c r="G588" s="1"/>
  <c r="AAH35"/>
  <c r="H35" s="1"/>
  <c r="AAG592"/>
  <c r="G592" s="1"/>
  <c r="AAG587"/>
  <c r="G587" s="1"/>
  <c r="AAH379"/>
  <c r="H379" s="1"/>
  <c r="AAG690"/>
  <c r="G690" s="1"/>
  <c r="E690" s="1"/>
  <c r="E689"/>
  <c r="AAH594"/>
  <c r="H594" s="1"/>
  <c r="F594" s="1"/>
  <c r="AAH596"/>
  <c r="H596" s="1"/>
  <c r="AAH398" l="1"/>
  <c r="H398" s="1"/>
  <c r="F398" s="1"/>
  <c r="AAG412"/>
  <c r="AAH467"/>
  <c r="H467" s="1"/>
  <c r="AAH481"/>
  <c r="H481" s="1"/>
  <c r="AAH483"/>
  <c r="H483" s="1"/>
  <c r="F483" s="1"/>
  <c r="E662"/>
  <c r="AAG666"/>
  <c r="G666" s="1"/>
  <c r="AAG26"/>
  <c r="G26" s="1"/>
  <c r="AAH406"/>
  <c r="H406" s="1"/>
  <c r="E436"/>
  <c r="F436"/>
  <c r="E416"/>
  <c r="F416"/>
  <c r="E434"/>
  <c r="F434"/>
  <c r="G489"/>
  <c r="AAH408"/>
  <c r="H408" s="1"/>
  <c r="G412"/>
  <c r="AAH396"/>
  <c r="H396" s="1"/>
  <c r="AAH392"/>
  <c r="H392" s="1"/>
  <c r="G488"/>
  <c r="E488" s="1"/>
  <c r="AAH400"/>
  <c r="H400" s="1"/>
  <c r="AAH407"/>
  <c r="H407" s="1"/>
  <c r="AAH399"/>
  <c r="H399" s="1"/>
  <c r="AAH395"/>
  <c r="H395" s="1"/>
  <c r="AAH403"/>
  <c r="H403" s="1"/>
  <c r="G484"/>
  <c r="E484" s="1"/>
  <c r="AAH402"/>
  <c r="H402" s="1"/>
  <c r="AAH391"/>
  <c r="H391" s="1"/>
  <c r="AAH405"/>
  <c r="H405" s="1"/>
  <c r="G485"/>
  <c r="G486"/>
  <c r="E486" s="1"/>
  <c r="AAH393"/>
  <c r="H393" s="1"/>
  <c r="F478"/>
  <c r="AAH404"/>
  <c r="H404" s="1"/>
  <c r="AAH397"/>
  <c r="H397" s="1"/>
  <c r="AAH401"/>
  <c r="H401" s="1"/>
  <c r="F431"/>
  <c r="E431"/>
  <c r="E437"/>
  <c r="F437"/>
  <c r="F414"/>
  <c r="E414"/>
  <c r="F413"/>
  <c r="E413"/>
  <c r="F415"/>
  <c r="E415"/>
  <c r="G444"/>
  <c r="E444" s="1"/>
  <c r="F442"/>
  <c r="E442"/>
  <c r="E432"/>
  <c r="F432"/>
  <c r="E435"/>
  <c r="F435"/>
  <c r="F424"/>
  <c r="E424"/>
  <c r="E438"/>
  <c r="F438"/>
  <c r="E430"/>
  <c r="F430"/>
  <c r="F439"/>
  <c r="E439"/>
  <c r="E425"/>
  <c r="F425"/>
  <c r="E433"/>
  <c r="F433"/>
  <c r="E429"/>
  <c r="F429"/>
  <c r="F444"/>
  <c r="G445"/>
  <c r="E419"/>
  <c r="F419"/>
  <c r="F418"/>
  <c r="E418"/>
  <c r="F423"/>
  <c r="E423"/>
  <c r="F421"/>
  <c r="E421"/>
  <c r="E422"/>
  <c r="F422"/>
  <c r="E420"/>
  <c r="F420"/>
  <c r="E428"/>
  <c r="F428"/>
  <c r="F417"/>
  <c r="E417"/>
  <c r="E594"/>
  <c r="E595"/>
  <c r="AAH351"/>
  <c r="H351" s="1"/>
  <c r="E351" s="1"/>
  <c r="F379"/>
  <c r="E379"/>
  <c r="F489"/>
  <c r="F493"/>
  <c r="F486"/>
  <c r="F596"/>
  <c r="AAG604"/>
  <c r="G604" s="1"/>
  <c r="AAH592"/>
  <c r="H592" s="1"/>
  <c r="AAH366"/>
  <c r="H366" s="1"/>
  <c r="AAH587"/>
  <c r="H587" s="1"/>
  <c r="F587" s="1"/>
  <c r="AAG550"/>
  <c r="G550" s="1"/>
  <c r="AAH588"/>
  <c r="H588" s="1"/>
  <c r="F588" s="1"/>
  <c r="AAG590"/>
  <c r="AAH590"/>
  <c r="H590" s="1"/>
  <c r="AAG610" s="1"/>
  <c r="G610" s="1"/>
  <c r="F35"/>
  <c r="AAG597"/>
  <c r="G597" s="1"/>
  <c r="F662"/>
  <c r="E596"/>
  <c r="E398" l="1"/>
  <c r="E489"/>
  <c r="AAG493"/>
  <c r="G493" s="1"/>
  <c r="E493" s="1"/>
  <c r="AAH543"/>
  <c r="H543" s="1"/>
  <c r="AAH544"/>
  <c r="H544" s="1"/>
  <c r="AAH445"/>
  <c r="H445" s="1"/>
  <c r="F445" s="1"/>
  <c r="AAH26"/>
  <c r="H26" s="1"/>
  <c r="F26" s="1"/>
  <c r="AAH412"/>
  <c r="H412" s="1"/>
  <c r="F412" s="1"/>
  <c r="AAG669"/>
  <c r="G669" s="1"/>
  <c r="E669" s="1"/>
  <c r="AAG667"/>
  <c r="G667" s="1"/>
  <c r="E667" s="1"/>
  <c r="AAG668"/>
  <c r="G668" s="1"/>
  <c r="E668" s="1"/>
  <c r="E406"/>
  <c r="F406"/>
  <c r="F405"/>
  <c r="E405"/>
  <c r="E399"/>
  <c r="F399"/>
  <c r="E467"/>
  <c r="F467"/>
  <c r="F481"/>
  <c r="E393"/>
  <c r="F393"/>
  <c r="E403"/>
  <c r="F403"/>
  <c r="F392"/>
  <c r="E392"/>
  <c r="E395"/>
  <c r="F395"/>
  <c r="E404"/>
  <c r="F404"/>
  <c r="E400"/>
  <c r="F400"/>
  <c r="F396"/>
  <c r="E396"/>
  <c r="F397"/>
  <c r="E397"/>
  <c r="E402"/>
  <c r="F402"/>
  <c r="E407"/>
  <c r="F407"/>
  <c r="E401"/>
  <c r="F401"/>
  <c r="F391"/>
  <c r="E391"/>
  <c r="F408"/>
  <c r="E408"/>
  <c r="F366"/>
  <c r="H666"/>
  <c r="AAG352"/>
  <c r="G352" s="1"/>
  <c r="F351"/>
  <c r="E588"/>
  <c r="E587"/>
  <c r="AAH597"/>
  <c r="H597" s="1"/>
  <c r="E597" s="1"/>
  <c r="AAG598"/>
  <c r="F592"/>
  <c r="AAH610"/>
  <c r="H610" s="1"/>
  <c r="F610" s="1"/>
  <c r="AAG557"/>
  <c r="G557" s="1"/>
  <c r="AAG553"/>
  <c r="G553" s="1"/>
  <c r="E553" s="1"/>
  <c r="AAG559"/>
  <c r="G559" s="1"/>
  <c r="AAG556"/>
  <c r="G556" s="1"/>
  <c r="AAG560"/>
  <c r="G560" s="1"/>
  <c r="F550"/>
  <c r="AAG558"/>
  <c r="G558" s="1"/>
  <c r="AAH604"/>
  <c r="H604" s="1"/>
  <c r="F604" s="1"/>
  <c r="E592"/>
  <c r="E445" l="1"/>
  <c r="AAG446"/>
  <c r="G446" s="1"/>
  <c r="E666"/>
  <c r="AAG671"/>
  <c r="G671" s="1"/>
  <c r="E671" s="1"/>
  <c r="E412"/>
  <c r="E604"/>
  <c r="E610"/>
  <c r="F543"/>
  <c r="E543"/>
  <c r="AAH558"/>
  <c r="H558" s="1"/>
  <c r="F558" s="1"/>
  <c r="F544"/>
  <c r="E544"/>
  <c r="AAH557"/>
  <c r="H557" s="1"/>
  <c r="F557" s="1"/>
  <c r="F597"/>
  <c r="AAG605"/>
  <c r="G605" s="1"/>
  <c r="AAH559"/>
  <c r="H559" s="1"/>
  <c r="F559" s="1"/>
  <c r="F666"/>
  <c r="AAH556"/>
  <c r="AAH560"/>
  <c r="H560" s="1"/>
  <c r="F560" s="1"/>
  <c r="AAH352"/>
  <c r="H352" s="1"/>
  <c r="AAH446" l="1"/>
  <c r="H446" s="1"/>
  <c r="AAG564"/>
  <c r="AAG563"/>
  <c r="AAG565"/>
  <c r="E558"/>
  <c r="E557"/>
  <c r="E560"/>
  <c r="AAH605"/>
  <c r="H605" s="1"/>
  <c r="E605" s="1"/>
  <c r="F352"/>
  <c r="AAG358"/>
  <c r="G358" s="1"/>
  <c r="AAG353"/>
  <c r="G353" s="1"/>
  <c r="E352"/>
  <c r="E559"/>
  <c r="AAG561"/>
  <c r="H556"/>
  <c r="F446" l="1"/>
  <c r="E446"/>
  <c r="AAH564"/>
  <c r="H564" s="1"/>
  <c r="F564" s="1"/>
  <c r="G564"/>
  <c r="AAH563"/>
  <c r="H563" s="1"/>
  <c r="F563" s="1"/>
  <c r="G563"/>
  <c r="AAH565"/>
  <c r="H565" s="1"/>
  <c r="F565" s="1"/>
  <c r="G565"/>
  <c r="G561"/>
  <c r="AAH561"/>
  <c r="H561" s="1"/>
  <c r="F556"/>
  <c r="E556"/>
  <c r="AAG606"/>
  <c r="G606" s="1"/>
  <c r="F605"/>
  <c r="AAH358"/>
  <c r="H358" s="1"/>
  <c r="F358" s="1"/>
  <c r="AAH353"/>
  <c r="H353" s="1"/>
  <c r="E353" s="1"/>
  <c r="E561" l="1"/>
  <c r="E564"/>
  <c r="E565"/>
  <c r="E563"/>
  <c r="E358"/>
  <c r="F353"/>
  <c r="AAG354"/>
  <c r="G354" s="1"/>
  <c r="AAG562"/>
  <c r="F561"/>
  <c r="AAH606"/>
  <c r="H606" s="1"/>
  <c r="E606" s="1"/>
  <c r="AAH354" l="1"/>
  <c r="H354" s="1"/>
  <c r="F354" s="1"/>
  <c r="G562"/>
  <c r="AAH562"/>
  <c r="H562" s="1"/>
  <c r="F562" s="1"/>
  <c r="F606"/>
  <c r="AAG607"/>
  <c r="G607" s="1"/>
  <c r="E354" l="1"/>
  <c r="E562"/>
  <c r="AAH607"/>
  <c r="H607" s="1"/>
  <c r="F607" l="1"/>
  <c r="AAG608"/>
  <c r="G608" s="1"/>
  <c r="E607"/>
  <c r="AAH608" l="1"/>
  <c r="H608" s="1"/>
  <c r="F608" s="1"/>
  <c r="E608" l="1"/>
</calcChain>
</file>

<file path=xl/sharedStrings.xml><?xml version="1.0" encoding="utf-8"?>
<sst xmlns="http://schemas.openxmlformats.org/spreadsheetml/2006/main" count="1999" uniqueCount="539">
  <si>
    <t xml:space="preserve"> </t>
  </si>
  <si>
    <t>Veterans</t>
  </si>
  <si>
    <t>Thanksgiving</t>
  </si>
  <si>
    <t>furlough</t>
  </si>
  <si>
    <t>Christmas</t>
  </si>
  <si>
    <t>New Year</t>
  </si>
  <si>
    <t xml:space="preserve">MLK Jr. </t>
  </si>
  <si>
    <t>Presidents</t>
  </si>
  <si>
    <t xml:space="preserve">Memorial </t>
  </si>
  <si>
    <t>Independence</t>
  </si>
  <si>
    <t>Labor</t>
  </si>
  <si>
    <t>DDL_EQCMeeting</t>
  </si>
  <si>
    <t>Task</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</si>
  <si>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</si>
  <si>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</si>
  <si>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</si>
  <si>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</si>
  <si>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</si>
  <si>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</si>
  <si>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</si>
  <si>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</si>
  <si>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</si>
  <si>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</si>
  <si>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CLOSE PUBLIC COMMENT</t>
  </si>
  <si>
    <t>Meeting 3</t>
  </si>
  <si>
    <t>Meeting 2</t>
  </si>
  <si>
    <t>Meeting 1</t>
  </si>
  <si>
    <t>Closed</t>
  </si>
  <si>
    <t>Weekend</t>
  </si>
  <si>
    <t>Workday</t>
  </si>
  <si>
    <t>Fiscal staff</t>
  </si>
  <si>
    <t>Overview of Key Dates</t>
  </si>
  <si>
    <t>White on Teal</t>
  </si>
  <si>
    <t>Meeting 4</t>
  </si>
  <si>
    <t>Date has past</t>
  </si>
  <si>
    <t>Schedule of Tasks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</si>
  <si>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</si>
  <si>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</si>
  <si>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</si>
  <si>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</si>
  <si>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</si>
  <si>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</si>
  <si>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</si>
  <si>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</si>
  <si>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</si>
  <si>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</si>
  <si>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</si>
  <si>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</si>
  <si>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</si>
  <si>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</si>
  <si>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</si>
  <si>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</si>
  <si>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</si>
  <si>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</si>
  <si>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</si>
  <si>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</si>
  <si>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</si>
  <si>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</si>
  <si>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</si>
  <si>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</si>
  <si>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</si>
  <si>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</si>
  <si>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</si>
  <si>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</si>
  <si>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</si>
  <si>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</si>
  <si>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</si>
  <si>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</si>
  <si>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</si>
  <si>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</si>
  <si>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</si>
  <si>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</si>
  <si>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</si>
  <si>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</si>
  <si>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</si>
  <si>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</si>
  <si>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</si>
  <si>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</si>
  <si>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</si>
  <si>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</si>
  <si>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</si>
  <si>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</si>
  <si>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</si>
  <si>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</si>
  <si>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</si>
  <si>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r>
      <t>↓</t>
    </r>
    <r>
      <rPr>
        <sz val="9"/>
        <color theme="1"/>
        <rFont val="Calibri"/>
        <family val="2"/>
      </rPr>
      <t xml:space="preserve"> Adjust start date</t>
    </r>
  </si>
  <si>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</si>
  <si>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</si>
  <si>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</si>
  <si>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</si>
  <si>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</si>
  <si>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</si>
  <si>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</si>
  <si>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</si>
  <si>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</si>
  <si>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</si>
  <si>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</si>
  <si>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</si>
  <si>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</si>
  <si>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</si>
  <si>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</si>
  <si>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</si>
  <si>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</si>
  <si>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</si>
  <si>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</si>
  <si>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</si>
  <si>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</si>
  <si>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 xml:space="preserve">Noticing sequence </t>
  </si>
  <si>
    <t>Web Master</t>
  </si>
  <si>
    <t>EQC Assistant</t>
  </si>
  <si>
    <t>Division Administrator</t>
  </si>
  <si>
    <t>Maggie</t>
  </si>
  <si>
    <t>Stephanie</t>
  </si>
  <si>
    <t xml:space="preserve">FIRST hearing </t>
  </si>
  <si>
    <t xml:space="preserve">2nd hearing </t>
  </si>
  <si>
    <t xml:space="preserve">3rd hearing </t>
  </si>
  <si>
    <t xml:space="preserve">4th hearing </t>
  </si>
  <si>
    <t xml:space="preserve">5th hearing </t>
  </si>
  <si>
    <t xml:space="preserve">6th hearing </t>
  </si>
  <si>
    <t xml:space="preserve">7th hearing </t>
  </si>
  <si>
    <t>Assistant Attorney General</t>
  </si>
  <si>
    <t>Cc…to contributing and affected staff</t>
  </si>
  <si>
    <t>Enter first name</t>
  </si>
  <si>
    <t>OCO Communications</t>
  </si>
  <si>
    <t>Division Rules Coordinator</t>
  </si>
  <si>
    <t>Agency Rules Coordinator</t>
  </si>
  <si>
    <t>Lead manager</t>
  </si>
  <si>
    <t>Support staff</t>
  </si>
  <si>
    <t>SavvySupport</t>
  </si>
  <si>
    <t>Time Accounting</t>
  </si>
  <si>
    <t>* establishes SharePoint &amp; Rule_Development sites</t>
  </si>
  <si>
    <t>* RESOUCES workbook</t>
  </si>
  <si>
    <t>* CONSIDERATIONS workbook</t>
  </si>
  <si>
    <t>* maintaining rulemaking record</t>
  </si>
  <si>
    <t>* rulemaking SharePoint</t>
  </si>
  <si>
    <t>- INVITATION.TO.COMMENT (blank in folder 4)</t>
  </si>
  <si>
    <t>- RULES.REDLINE</t>
  </si>
  <si>
    <t>- NOTICE (blank in folder 4)</t>
  </si>
  <si>
    <t>- FEE.ANALYSIS (blank in folder 3)</t>
  </si>
  <si>
    <t>* shared Rule _Development drive</t>
  </si>
  <si>
    <t>- initial draft CONSIDERATIONS workbook</t>
  </si>
  <si>
    <t>- initial draft RESOURCES workbook</t>
  </si>
  <si>
    <t>* Overview of Key Dates at top of this SCHEDULE</t>
  </si>
  <si>
    <t>Director</t>
  </si>
  <si>
    <t>Dick</t>
  </si>
  <si>
    <t>CONCEPT DEVELOPMENT</t>
  </si>
  <si>
    <t>A</t>
  </si>
  <si>
    <t>Managers discuss adding concept to DEQ Rulemaking Plan</t>
  </si>
  <si>
    <t>* Public Meeting Laws</t>
  </si>
  <si>
    <t>* Meeting notice requirements</t>
  </si>
  <si>
    <t>* Potential committee members</t>
  </si>
  <si>
    <t>* Potential meeting dates and venues</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</si>
  <si>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</si>
  <si>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</si>
  <si>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</si>
  <si>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</si>
  <si>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</si>
  <si>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</si>
  <si>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</si>
  <si>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</si>
  <si>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</si>
  <si>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</si>
  <si>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</si>
  <si>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</si>
  <si>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</si>
  <si>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</si>
  <si>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</si>
  <si>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</si>
  <si>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</si>
  <si>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</si>
  <si>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</si>
  <si>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Rule_Development|4-PublicNotice|EMAILS.Notice.pdf</t>
  </si>
  <si>
    <t>Rule_Development|6-EQCPreparation|EMAILS.EQC.Prep.pdf</t>
  </si>
  <si>
    <t>Rule_Development|7-PostEQC|EMAILS.PostEQC.pdf</t>
  </si>
  <si>
    <t>* prepares and e-files ADOPTED RULES with Secretary of State</t>
  </si>
  <si>
    <t>* saves proof as Rule_Development|7-PostEQC|PROOF.OF.FILING.pdf</t>
  </si>
  <si>
    <t>1 CERTIFICATE.pdf</t>
  </si>
  <si>
    <t>2 ADOPTED.RULES.pdf</t>
  </si>
  <si>
    <t>2a 340-### TABLES.pdf</t>
  </si>
  <si>
    <t>2b 340-### TABLES.pdf</t>
  </si>
  <si>
    <t>3 AUTHORIZATION.pdf</t>
  </si>
  <si>
    <t>4 ADOPTED.REDLINE.RULES.pdf</t>
  </si>
  <si>
    <t>5 LC-SHUTTLE.RECEIPT.pdf</t>
  </si>
  <si>
    <t>TEAM CELEBRATES</t>
  </si>
  <si>
    <t>* shuttles ADOPTED REDLINE.RULES to Legislative Counsel (return receipt)</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</si>
  <si>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</si>
  <si>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</si>
  <si>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</si>
  <si>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</si>
  <si>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</si>
  <si>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</si>
  <si>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</si>
  <si>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</si>
  <si>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</si>
  <si>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</si>
  <si>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</si>
  <si>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</si>
  <si>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</si>
  <si>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</si>
  <si>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</si>
  <si>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</si>
  <si>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</si>
  <si>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</si>
  <si>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</si>
  <si>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</si>
  <si>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</si>
  <si>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</si>
  <si>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</si>
  <si>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</si>
  <si>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</si>
  <si>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</si>
  <si>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</si>
  <si>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</si>
  <si>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STARTS </t>
    </r>
    <r>
      <rPr>
        <sz val="10"/>
        <color theme="4" tint="-0.499984740745262"/>
        <rFont val="Cambria"/>
        <family val="1"/>
        <scheme val="minor"/>
      </rPr>
      <t>preview period for</t>
    </r>
    <r>
      <rPr>
        <b/>
        <sz val="10"/>
        <color theme="4" tint="-0.499984740745262"/>
        <rFont val="Cambria"/>
        <family val="1"/>
        <scheme val="minor"/>
      </rPr>
      <t xml:space="preserve"> </t>
    </r>
    <r>
      <rPr>
        <sz val="10"/>
        <color rgb="FF396950"/>
        <rFont val="Cambria"/>
        <family val="1"/>
        <scheme val="minor"/>
      </rPr>
      <t>Notice Packet by</t>
    </r>
  </si>
  <si>
    <r>
      <t xml:space="preserve">END </t>
    </r>
    <r>
      <rPr>
        <sz val="10"/>
        <color theme="4" tint="-0.499984740745262"/>
        <rFont val="Cambria"/>
        <family val="1"/>
        <scheme val="minor"/>
      </rPr>
      <t>preview period for</t>
    </r>
    <r>
      <rPr>
        <sz val="10"/>
        <color rgb="FF396950"/>
        <rFont val="Cambria"/>
        <family val="1"/>
        <scheme val="minor"/>
      </rPr>
      <t xml:space="preserve"> Notice Packet</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</si>
  <si>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</si>
  <si>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</si>
  <si>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Fill</t>
  </si>
  <si>
    <t>- CERTIFICATE.pdf</t>
  </si>
  <si>
    <t>- ADOPTED.RULES.pdf</t>
  </si>
  <si>
    <t>- AUTHORIZATION.pdf</t>
  </si>
  <si>
    <t>- 340-### TABLES.pdf</t>
  </si>
  <si>
    <t>- ADOPTED.REDLINE.RULES.pdf</t>
  </si>
  <si>
    <t xml:space="preserve">Meeting 5 </t>
  </si>
  <si>
    <t>EQC Preparation</t>
  </si>
  <si>
    <t>Networkdays</t>
  </si>
  <si>
    <t>From today</t>
  </si>
  <si>
    <t>End</t>
  </si>
  <si>
    <t>For Task</t>
  </si>
  <si>
    <t>Budget analyst</t>
  </si>
  <si>
    <t>- Enter custom resource here</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</si>
  <si>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</si>
  <si>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</si>
  <si>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</si>
  <si>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</si>
  <si>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</si>
  <si>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</si>
  <si>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</si>
  <si>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</si>
  <si>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</si>
  <si>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</si>
  <si>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</si>
  <si>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submits Web Request to initiate optional Committee Web page</t>
  </si>
  <si>
    <t>* submits Web Request at anytime when Web page needs updating</t>
  </si>
  <si>
    <t>* reviews materials on SharePoint"</t>
  </si>
  <si>
    <t>* decides whether to add concept to DEQ Rulemaking Plan</t>
  </si>
  <si>
    <t>* obtains starting rules from Oregon State Archives</t>
  </si>
  <si>
    <t xml:space="preserve">Planning </t>
  </si>
  <si>
    <t>Fee Approval Packet includes:</t>
  </si>
  <si>
    <t>* submits rules and notice to EPA</t>
  </si>
  <si>
    <t>- advisory committee</t>
  </si>
  <si>
    <t>- program-specific list</t>
  </si>
  <si>
    <t>- Implementation - draft</t>
  </si>
  <si>
    <t xml:space="preserve">- Public Involvement - update to reflect actual </t>
  </si>
  <si>
    <t>- Summary of comments and DEQ responses</t>
  </si>
  <si>
    <t>- Commenters</t>
  </si>
  <si>
    <t>* finalizes draft of EQC Packet:</t>
  </si>
  <si>
    <t>- PROPOSED.RULES</t>
  </si>
  <si>
    <t>- SUPPORTING.DOCUMENTS</t>
  </si>
  <si>
    <t>Presentation team ATTENDS EQC MEETING</t>
  </si>
  <si>
    <t>* prepares/saves documents to Rule_Development|7-PostEQC</t>
  </si>
  <si>
    <t>- ADDENDUM.TO.STAFF.RPT (if presented to EQC)</t>
  </si>
  <si>
    <t xml:space="preserve">- CERTIFICATE.pdf </t>
  </si>
  <si>
    <t>- self-addressed envelope, fold underside of flap over a 2nd certificate"</t>
  </si>
  <si>
    <t>write "Please date stamp certificate and return." on underside of flap</t>
  </si>
  <si>
    <t>* verifies accuracy of rules published in Oregon Bulletin</t>
  </si>
  <si>
    <t>* submits Web Request to post program Web page</t>
  </si>
  <si>
    <t>- optional section, Background as part of the story</t>
  </si>
  <si>
    <t xml:space="preserve">- section, Overview tells rulemaking story </t>
  </si>
  <si>
    <t xml:space="preserve">- section, Statement of Need </t>
  </si>
  <si>
    <t>- section, Federal Relationship</t>
  </si>
  <si>
    <t>- section, Rules affected, authorities…</t>
  </si>
  <si>
    <t>- section, Statement of fiscal and economic impact</t>
  </si>
  <si>
    <t xml:space="preserve">- section, Land use </t>
  </si>
  <si>
    <t>d. SUPPORTING.DOCS - optional</t>
  </si>
  <si>
    <t>* broad overview of work products for future phases</t>
  </si>
  <si>
    <t xml:space="preserve">Post EQC </t>
  </si>
  <si>
    <t xml:space="preserve">Team participates in kickoff training/work session (future iLearn) about: </t>
  </si>
  <si>
    <r>
      <t xml:space="preserve">PREPARE TO DRAFT RULES </t>
    </r>
    <r>
      <rPr>
        <sz val="10"/>
        <color theme="4" tint="-0.499984740745262"/>
        <rFont val="Cambria"/>
        <family val="1"/>
        <scheme val="minor"/>
      </rPr>
      <t>(future iLearn)</t>
    </r>
  </si>
  <si>
    <t>* reviews responsibilities of hearings officer</t>
  </si>
  <si>
    <t xml:space="preserve">- Rulemaking Activities Web page </t>
  </si>
  <si>
    <t>WilliamK</t>
  </si>
  <si>
    <t>- Affected staff for contributions</t>
  </si>
  <si>
    <t>- Contributing staff for validation</t>
  </si>
  <si>
    <t>sending email To...EMT &amp; EQC assistant with</t>
  </si>
  <si>
    <t>* modifies documents as needed</t>
  </si>
  <si>
    <t>PROOF.OF.KEY.LEG.NOTICE.pdf</t>
  </si>
  <si>
    <t>* verifies newspaper advertisements are correct</t>
  </si>
  <si>
    <t>- integrates FEE.ANALYSIS section</t>
  </si>
  <si>
    <t>c. NOTICE preloaded in SharePoint folder 4</t>
  </si>
  <si>
    <t>* identifies hearings officer(s)</t>
  </si>
  <si>
    <t xml:space="preserve">* requests Outlook Receipt </t>
  </si>
  <si>
    <t>* saves combined emails/receipts under Rule_Development|4-Notice as:</t>
  </si>
  <si>
    <t>* opens public comment by notifying agency rulemaking list that includes:</t>
  </si>
  <si>
    <t>Set under Overview of Key Dates</t>
  </si>
  <si>
    <t>- Fees</t>
  </si>
  <si>
    <t>- Land use</t>
  </si>
  <si>
    <t xml:space="preserve">* asks RESOURCES for input, especially: </t>
  </si>
  <si>
    <t>- reviews ORS 183.335(5), determines key legislators to notice</t>
  </si>
  <si>
    <t>* prepares for key legislator notification</t>
  </si>
  <si>
    <t xml:space="preserve">* adapts Notice packet to address input from RESOURCES </t>
  </si>
  <si>
    <t>* finalizes Notice packet</t>
  </si>
  <si>
    <t>* develops introductory and logistics script</t>
  </si>
  <si>
    <t>N</t>
  </si>
  <si>
    <t>* emails optional STAKEHOLDER.NOTIFICATION of EQC action</t>
  </si>
  <si>
    <t>- statutes implemented are correct for each rules</t>
  </si>
  <si>
    <t>* reviews workbook summaries and key dates on SharePoint</t>
  </si>
  <si>
    <t>* provides managers with scope of work to potentially add to work plans</t>
  </si>
  <si>
    <t>* saves rules as Rule_Development|1-Planning|STARTING.RULES</t>
  </si>
  <si>
    <t>* uploads STARTING.RULES to SharePoint|1-Planning</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</si>
  <si>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</si>
  <si>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</si>
  <si>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</si>
  <si>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</si>
  <si>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</si>
  <si>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</si>
  <si>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 EQC quorum notification requirements (ORS 192.630)</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</si>
  <si>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</si>
  <si>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</si>
  <si>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</si>
  <si>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</si>
  <si>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</si>
  <si>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</si>
  <si>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</si>
  <si>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Set above at Meeting 1 title</t>
  </si>
  <si>
    <t>- statutory authorities are correct for each rule</t>
  </si>
  <si>
    <t>(The rolling plan/process takes the place of the old annual plan/process.)</t>
  </si>
  <si>
    <t>* following up on status about 15 days after sending</t>
  </si>
  <si>
    <t>8th hearing</t>
  </si>
  <si>
    <t>LAST</t>
  </si>
  <si>
    <t>- time on DA calendar to review Notice during Preview week</t>
  </si>
  <si>
    <t>- establishing Rulemaking Activities Web page for proposed rule</t>
  </si>
  <si>
    <t>- establishing online public comment form</t>
  </si>
  <si>
    <t>- adding hearings to DEQ online calendar</t>
  </si>
  <si>
    <t>- saving proof on Rule_development|4.Notice|NOTICE.WITH.PROOF.pdf</t>
  </si>
  <si>
    <t>- emailing DAS notification of fees that don't require DAS approval</t>
  </si>
  <si>
    <t>- saving Rule_Development|4.Notice|PROOF.DAS.NOTIFICATION</t>
  </si>
  <si>
    <t>* relaxes while RulePublications does its work that includes:</t>
  </si>
  <si>
    <t>- CONTENT.pdf</t>
  </si>
  <si>
    <t>- LIST.pdf</t>
  </si>
  <si>
    <t>* develops INFO.MEETING.TEXT</t>
  </si>
  <si>
    <t>* develops INFO.PRESENTATION</t>
  </si>
  <si>
    <t>* practices presentation</t>
  </si>
  <si>
    <t>* makes presentation adjustments</t>
  </si>
  <si>
    <t>* stamps DEQ receipt date on mailed comments</t>
  </si>
  <si>
    <t>* scans and links comments by ID###.pdf - optional</t>
  </si>
  <si>
    <t>Robin</t>
  </si>
  <si>
    <t>Carol</t>
  </si>
  <si>
    <t>* file naming conventions for common rulemaking documents and emails</t>
  </si>
  <si>
    <t>CodeName</t>
  </si>
  <si>
    <t>* work products for this phase (templates preloaded to SharePoint folder 1):</t>
  </si>
  <si>
    <t>* ensures core team members have approval from their managers</t>
  </si>
  <si>
    <t>Enter publication date &gt;</t>
  </si>
  <si>
    <t>`</t>
  </si>
  <si>
    <t>- identifies publications and publication dates</t>
  </si>
  <si>
    <t>Newspaper Advertisements</t>
  </si>
  <si>
    <t>Hearings</t>
  </si>
  <si>
    <t>Notes</t>
  </si>
  <si>
    <t>S.RulemakingTitle</t>
  </si>
  <si>
    <t>- follows instructions in template</t>
  </si>
  <si>
    <t>* verifies PROPOSED.RULES based on current compilation</t>
  </si>
  <si>
    <t>* saves EMAIL.PREVIEW.pdf to Rule_Development|4-Notice</t>
  </si>
  <si>
    <t>* obtains copy of affidavit of publication from Accounting</t>
  </si>
  <si>
    <t>* saves them as Rule_Development|5-PublicComment...|EMAIL.Comment.pdf</t>
  </si>
  <si>
    <t xml:space="preserve"> * gathers emails about post EQC activities for the Rule Record and saves as:</t>
  </si>
  <si>
    <t>- PROOF.OF.NOTICE.pdf  (includes delivery confirmations)</t>
  </si>
  <si>
    <t xml:space="preserve">* completes preview EMAIL.PREVIEW </t>
  </si>
  <si>
    <t xml:space="preserve">- adapts EMAIL.NOTICE.TO.KEY.LEGISLATORS </t>
  </si>
  <si>
    <t>* obtains EMAIL.BUDGET.SIGNOFF</t>
  </si>
  <si>
    <t>* emails RulePublications@deq.state.or.us that EQC Packet is ready</t>
  </si>
  <si>
    <t xml:space="preserve">* leads team development of EQC presentation </t>
  </si>
  <si>
    <t>* makes any presentation adjustments</t>
  </si>
  <si>
    <t>* coordinates presentation practices</t>
  </si>
  <si>
    <t>* submits draft EQC Packet review to:</t>
  </si>
  <si>
    <t>- Enter custom reviewer and perspective</t>
  </si>
  <si>
    <t>- Enter custom reviewer and action</t>
  </si>
  <si>
    <t xml:space="preserve">* enter custom action word and reviewer </t>
  </si>
  <si>
    <t>* obtains final EQC Packet approval from:</t>
  </si>
  <si>
    <t>Enter custom review loop 1</t>
  </si>
  <si>
    <t xml:space="preserve">Name initiator and subject for custom review loop 2 </t>
  </si>
  <si>
    <t>Name initiator and subject for custom review loop 3</t>
  </si>
  <si>
    <t xml:space="preserve">        Enter staff who will brief each commissioner individually </t>
  </si>
  <si>
    <t xml:space="preserve">- key stakeholders </t>
  </si>
  <si>
    <t xml:space="preserve">- advisory committee members </t>
  </si>
  <si>
    <t>- commenters</t>
  </si>
  <si>
    <t>- interested parties (optional)</t>
  </si>
  <si>
    <t>- Robin for sufficiency of fiscal analysis</t>
  </si>
  <si>
    <t>NOTICE.AD05.[INSERT NAME PUBLICATION]</t>
  </si>
  <si>
    <t>NOTICE.AD06.[INSERT NAME PUBLICATION]</t>
  </si>
  <si>
    <t>NOTICE.AD07.[INSERT NAME PUBLICATION]</t>
  </si>
  <si>
    <t>NOTICE.AD08.[INSERT NAME PUBLICATION]</t>
  </si>
  <si>
    <t>[ENTER NAME OF PERSON SUBMITTING AD]:</t>
  </si>
  <si>
    <t>[ENTER NAME OF STAFF PERSON HERE]:</t>
  </si>
  <si>
    <t>AFFIDAVIT.AD01, AFFIDAVIT.AD02, etc.</t>
  </si>
  <si>
    <r>
      <t xml:space="preserve">          </t>
    </r>
    <r>
      <rPr>
        <b/>
        <sz val="10"/>
        <color theme="4" tint="-0.499984740745262"/>
        <rFont val="Cambria"/>
        <family val="1"/>
        <scheme val="minor"/>
      </rPr>
      <t xml:space="preserve">ONLY </t>
    </r>
    <r>
      <rPr>
        <sz val="10"/>
        <color theme="4" tint="-0.499984740745262"/>
        <rFont val="Cambria"/>
        <family val="1"/>
        <scheme val="minor"/>
      </rPr>
      <t xml:space="preserve">the rule writer works on rules at this location to ensure the </t>
    </r>
  </si>
  <si>
    <t xml:space="preserve">         from other locations or turned off track changes</t>
  </si>
  <si>
    <t xml:space="preserve">         redline/strikethrough remains consitent and that no reviewer copied test from</t>
  </si>
  <si>
    <t>EQC quorum notification requirements (ORS 192.630)</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</si>
  <si>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</si>
  <si>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</si>
  <si>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</si>
  <si>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</si>
  <si>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</si>
  <si>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</si>
  <si>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</si>
  <si>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</si>
  <si>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</si>
  <si>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</si>
  <si>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proof of delivery under Rule_Development|4-Notice</t>
  </si>
  <si>
    <t>- NONDELIVERABLE.Notice.pdf (combined into 1 .pdf, scanned envelopes)</t>
  </si>
  <si>
    <t>* saves email as Rule_Development|4-Notice|MGR.APPROVAL.Notice.pdf</t>
  </si>
  <si>
    <t>* saves Budget response as Rule_Development|4.Notice|BUDGET.SIGNOFF</t>
  </si>
  <si>
    <t xml:space="preserve">* submits AD to contractor </t>
  </si>
  <si>
    <t>- saves as NOTICE.AD.Hearing1, etc. in SharePoint folder 4</t>
  </si>
  <si>
    <t xml:space="preserve">* emails approval to RulePublications@deq.state.or.us </t>
  </si>
  <si>
    <t>URL to online public comment form</t>
  </si>
  <si>
    <t>URL for Outlook Comment box</t>
  </si>
  <si>
    <t xml:space="preserve">- inserting URLs into Invitation to Comment </t>
  </si>
  <si>
    <t>DA briefing meeting</t>
  </si>
  <si>
    <t>Rule publication</t>
  </si>
  <si>
    <t>* saves affidavit under Rule_Development|4-Notice as:</t>
  </si>
  <si>
    <t>- determines when ADs need to be submitted to contractor</t>
  </si>
  <si>
    <t>Submit to Ad contractor &gt;</t>
  </si>
  <si>
    <t>Set above</t>
  </si>
  <si>
    <t xml:space="preserve">          All contributors/reviewers work on draft rules on SharePoint</t>
  </si>
  <si>
    <t>* identify land use rules</t>
  </si>
  <si>
    <t>* Need for optional committee charter</t>
  </si>
  <si>
    <t>* Need for optional committee Web page</t>
  </si>
  <si>
    <t>* emails RulePublications@deq.state.or.us for plain English, style guide</t>
  </si>
  <si>
    <t xml:space="preserve">START COMMUNICATIONS OPTION </t>
  </si>
  <si>
    <t>* leads communication option review/approval loops</t>
  </si>
  <si>
    <t>1st loop - team modifies content to get to approval</t>
  </si>
  <si>
    <t>2nd loop - team modifies content to get to approval</t>
  </si>
  <si>
    <t>3rd loop - team modifies content to get to approval</t>
  </si>
  <si>
    <t>* verifies Web content meets team expectations</t>
  </si>
  <si>
    <t xml:space="preserve">* soliciting communications content </t>
  </si>
  <si>
    <t>Final loop - team modifies content to get to approval</t>
  </si>
  <si>
    <t>JoanieS</t>
  </si>
  <si>
    <t>* modifies MESSAGE.MAP</t>
  </si>
  <si>
    <t>- Message Map                                                                                               'Y' to develop</t>
  </si>
  <si>
    <t>- Program Web page                                                                                   'Y' to develop</t>
  </si>
  <si>
    <t>- Communications Plan                                                                             'Y' to develop</t>
  </si>
  <si>
    <t>* leads team work finalizing DEQ responses to public comment</t>
  </si>
  <si>
    <t xml:space="preserve">* emails comment/responses link to RulePublications@deq.state.or.us </t>
  </si>
  <si>
    <t>since this will become part of the EQC Packet</t>
  </si>
  <si>
    <t>Rule Publications:</t>
  </si>
  <si>
    <t xml:space="preserve">* edits for plain English, style guide and tone </t>
  </si>
  <si>
    <t>Management notice approval</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</si>
  <si>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</si>
  <si>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</si>
  <si>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</si>
  <si>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</si>
  <si>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</si>
  <si>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</si>
  <si>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</si>
  <si>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</si>
  <si>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</si>
  <si>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 xml:space="preserve">&gt; Overview - update as needed to tell current story or insert message above </t>
  </si>
  <si>
    <t>&gt; Background (optional) - update as needed to tell current story</t>
  </si>
  <si>
    <t>&gt; Rules affected, authorities, supporting docs- update as needed</t>
  </si>
  <si>
    <t>- updates to current story, inserts message above if unchanged since notice:</t>
  </si>
  <si>
    <t>Rule Publications inserts Web page &amp; online public comment URLs later</t>
  </si>
  <si>
    <t>* reach consensus with communication plan</t>
  </si>
  <si>
    <t>* reach consensus with Message Map</t>
  </si>
  <si>
    <t>- Information Meetings before hearing                                               'Y' to develop</t>
  </si>
  <si>
    <t>TEAM REFINEMENT CONSENSUS</t>
  </si>
  <si>
    <t>COMMUNICATIONS PLANNING</t>
  </si>
  <si>
    <t>START RULEMAKING</t>
  </si>
  <si>
    <t xml:space="preserve">* RESOURCES workbook to identify rulemaking and implementation needs </t>
  </si>
  <si>
    <t xml:space="preserve">* CONSIDERATIONS workbook to expand understanding of scope of work </t>
  </si>
  <si>
    <t>* CONSIDERATIONS workbook to expand understanding of potential risks</t>
  </si>
  <si>
    <t>* SCHEDULE workbook to reach consensus on timeline</t>
  </si>
  <si>
    <t>Name initiator and subject for custom review loop 1</t>
  </si>
  <si>
    <t>* labels the box by SOS certificate and order number "DEQ ##-yyyy"</t>
  </si>
  <si>
    <r>
      <t xml:space="preserve">Start
 </t>
    </r>
    <r>
      <rPr>
        <b/>
        <sz val="12"/>
        <color theme="0"/>
        <rFont val="Courier New"/>
        <family val="3"/>
      </rPr>
      <t>↓</t>
    </r>
  </si>
  <si>
    <t>* obtains Q-Time number unique to this rulemaking</t>
  </si>
  <si>
    <t xml:space="preserve">  </t>
  </si>
  <si>
    <t>Days added</t>
  </si>
  <si>
    <t xml:space="preserve"> calendar days added &gt;      </t>
  </si>
  <si>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</si>
  <si>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P</t>
  </si>
  <si>
    <t xml:space="preserve"> calendar days adjustment +/-   &gt;      </t>
  </si>
  <si>
    <t>* notifies the following  according to division's best practice</t>
  </si>
  <si>
    <t>Title</t>
  </si>
  <si>
    <t>&lt;&lt;&lt;&lt;&lt;&lt;&lt;&lt;</t>
  </si>
  <si>
    <t>If support staff is not available, include Lead staff's name</t>
  </si>
  <si>
    <t>Identify EQC facilitated hearing, coordinate with commissioner:</t>
  </si>
  <si>
    <t>* creates an autoreply to Outlook comment box for University students</t>
  </si>
  <si>
    <t>- develops an AD.STANDARD for each hearing if required</t>
  </si>
  <si>
    <t>- develops AD.LEGAL for each hearing if required</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</si>
  <si>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</si>
  <si>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</si>
  <si>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</si>
  <si>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 retires SharePoint to Rule_Development|SharePointAtClose</t>
  </si>
  <si>
    <t>FROM: \\deqhq1\Rule_Development</t>
  </si>
  <si>
    <t>TO:        \\deqhq1\Rule_Archives</t>
  </si>
  <si>
    <t xml:space="preserve">inserting message into header of each reviewed and noticed section:                 </t>
  </si>
  <si>
    <t>* Review advisory committee Q-Card                                                                    &gt;</t>
  </si>
  <si>
    <t>- drafted rules are current compared to Oregon State Archives</t>
  </si>
  <si>
    <t xml:space="preserve">   compared to Oregon State Archives</t>
  </si>
  <si>
    <t>* verifies PROPOSED.RULES use latest compilation compared</t>
  </si>
  <si>
    <t>organized by SOS certificate and order number "DEQ ##-yyyy"</t>
  </si>
  <si>
    <t>and tone review since this will become part of Notice and EQC packets</t>
  </si>
  <si>
    <t>- sending you a confirmation email that includes:</t>
  </si>
  <si>
    <t>URL to Rulemaking Activities Web page for this proposal</t>
  </si>
  <si>
    <t>&gt; inserts message above to indicate previous reviews</t>
  </si>
  <si>
    <t>Michele</t>
  </si>
  <si>
    <t>Work shifts from SharePoint to Rule_Development</t>
  </si>
  <si>
    <t>&lt;</t>
  </si>
  <si>
    <t>LarryK</t>
  </si>
  <si>
    <t>Review version history and maintaining the rulemaking record                 &gt;</t>
  </si>
  <si>
    <t xml:space="preserve">Bill@WRB-consulting.com                                      </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</si>
  <si>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</si>
  <si>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</si>
  <si>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</si>
  <si>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</si>
  <si>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</si>
  <si>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ONBOARD TEAM RESOURCES</t>
  </si>
  <si>
    <t>Review version history and maintaining the rulemaking record                      &gt;</t>
  </si>
  <si>
    <t>Andy</t>
  </si>
  <si>
    <t>AndreaRW</t>
  </si>
  <si>
    <t>AndreaDRC</t>
  </si>
  <si>
    <t>AndreaSIP</t>
  </si>
  <si>
    <t>MargaretMGR</t>
  </si>
  <si>
    <t>MargaretBGT</t>
  </si>
  <si>
    <t>MargaretLEG</t>
  </si>
  <si>
    <t>CarrieAnn</t>
  </si>
  <si>
    <t>DA Assistant</t>
  </si>
  <si>
    <t>Names entered on this worksheet will become part of the Schedule of Tasks</t>
  </si>
  <si>
    <t>State Implementation Plan Coordinator</t>
  </si>
  <si>
    <t xml:space="preserve">Legislative liaison </t>
  </si>
  <si>
    <t>LRAPA</t>
  </si>
  <si>
    <t>Incorporate Lane Regional Air Protection Agency Rules into State Implementation Plan</t>
  </si>
  <si>
    <t>NOTICE.AD01.OREGONIAN</t>
  </si>
  <si>
    <t>NOTICE.AD02.REGISTERGUARD</t>
  </si>
  <si>
    <t>\\deqhq1\Rule_Development\2013 Plan\AQ-RM-IncorporateLRAPArulesIntoSIP-Andrea Curtis</t>
  </si>
  <si>
    <t>6 p.m.</t>
  </si>
  <si>
    <t>NOTICE.AD04.[Beacon]</t>
  </si>
  <si>
    <t>NOTICE.AD03.[Cottage Grove Sentinel]</t>
  </si>
</sst>
</file>

<file path=xl/styles.xml><?xml version="1.0" encoding="utf-8"?>
<styleSheet xmlns="http://schemas.openxmlformats.org/spreadsheetml/2006/main">
  <numFmts count="9">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yy"/>
  </numFmts>
  <fonts count="147">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color theme="1"/>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1"/>
      <color rgb="FFFFFFFF"/>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vertAlign val="superscript"/>
      <sz val="9"/>
      <color theme="4" tint="-0.499984740745262"/>
      <name val="Cambria"/>
      <family val="1"/>
      <scheme val="minor"/>
    </font>
    <font>
      <b/>
      <sz val="11"/>
      <color theme="0"/>
      <name val="Cambria"/>
      <family val="1"/>
      <scheme val="minor"/>
    </font>
    <font>
      <sz val="11"/>
      <color theme="1"/>
      <name val="Calibri"/>
      <family val="2"/>
    </font>
    <font>
      <sz val="9"/>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b/>
      <i/>
      <sz val="11"/>
      <color rgb="FFA24200"/>
      <name val="Century"/>
      <family val="1"/>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b/>
      <sz val="10"/>
      <color rgb="FFCC6600"/>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color rgb="FF39695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46A08"/>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0"/>
      <color theme="7" tint="-0.249977111117893"/>
      <name val="Arial"/>
      <family val="2"/>
    </font>
    <font>
      <sz val="10"/>
      <color theme="7" tint="-0.249977111117893"/>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sz val="20"/>
      <color theme="1"/>
      <name val="Cambria"/>
      <family val="2"/>
      <scheme val="minor"/>
    </font>
    <font>
      <b/>
      <i/>
      <sz val="11"/>
      <color rgb="FFC00000"/>
      <name val="Calibri"/>
      <family val="2"/>
    </font>
    <font>
      <sz val="10"/>
      <color rgb="FF663300"/>
      <name val="Cambria"/>
      <family val="1"/>
      <scheme val="minor"/>
    </font>
    <font>
      <b/>
      <sz val="12"/>
      <color theme="0"/>
      <name val="Courier New"/>
      <family val="3"/>
    </font>
    <font>
      <b/>
      <sz val="6"/>
      <color theme="3" tint="-0.499984740745262"/>
      <name val="Cambria"/>
      <family val="1"/>
      <scheme val="minor"/>
    </font>
    <font>
      <sz val="6"/>
      <color theme="1"/>
      <name val="Cambria"/>
      <family val="2"/>
      <scheme val="minor"/>
    </font>
    <font>
      <sz val="6"/>
      <color theme="3" tint="-0.499984740745262"/>
      <name val="Tahoma"/>
      <family val="2"/>
    </font>
    <font>
      <b/>
      <sz val="6"/>
      <color theme="1"/>
      <name val="Cambria"/>
      <family val="1"/>
      <scheme val="minor"/>
    </font>
    <font>
      <sz val="7"/>
      <color theme="3" tint="-0.499984740745262"/>
      <name val="Cambria"/>
      <family val="1"/>
      <scheme val="minor"/>
    </font>
    <font>
      <sz val="7"/>
      <color theme="1"/>
      <name val="Cambria"/>
      <family val="1"/>
      <scheme val="minor"/>
    </font>
    <font>
      <b/>
      <i/>
      <u/>
      <sz val="11"/>
      <color rgb="FFC00000"/>
      <name val="Calibri"/>
      <family val="2"/>
      <scheme val="major"/>
    </font>
    <font>
      <b/>
      <i/>
      <sz val="11"/>
      <color rgb="FFC00000"/>
      <name val="Calibri"/>
      <family val="2"/>
      <scheme val="major"/>
    </font>
    <font>
      <sz val="10"/>
      <color rgb="FFCC6600"/>
      <name val="Cambria"/>
      <family val="1"/>
      <scheme val="minor"/>
    </font>
    <font>
      <b/>
      <sz val="9"/>
      <color theme="4" tint="-0.499984740745262"/>
      <name val="Cambria"/>
      <family val="2"/>
      <scheme val="minor"/>
    </font>
    <font>
      <sz val="9"/>
      <color rgb="FFC00000"/>
      <name val="Cambria"/>
      <family val="2"/>
      <scheme val="minor"/>
    </font>
    <font>
      <sz val="9"/>
      <color rgb="FF32525C"/>
      <name val="Cambria"/>
      <family val="2"/>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4" tint="0.59999389629810485"/>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39997558519241921"/>
        <bgColor theme="5" tint="0.39994506668294322"/>
      </patternFill>
    </fill>
    <fill>
      <patternFill patternType="solid">
        <fgColor theme="0"/>
        <bgColor theme="5" tint="0.39994506668294322"/>
      </patternFill>
    </fill>
    <fill>
      <patternFill patternType="solid">
        <fgColor theme="7" tint="0.39997558519241921"/>
        <bgColor indexed="64"/>
      </patternFill>
    </fill>
    <fill>
      <patternFill patternType="solid">
        <fgColor theme="5" tint="0.59999389629810485"/>
        <bgColor theme="5" tint="0.39994506668294322"/>
      </patternFill>
    </fill>
  </fills>
  <borders count="5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indexed="64"/>
      </right>
      <top/>
      <bottom/>
      <diagonal/>
    </border>
    <border>
      <left style="thin">
        <color theme="0" tint="-0.249977111117893"/>
      </left>
      <right style="thin">
        <color indexed="64"/>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34998626667073579"/>
      </right>
      <top/>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hair">
        <color theme="0" tint="-0.249977111117893"/>
      </bottom>
      <diagonal/>
    </border>
    <border>
      <left/>
      <right style="hair">
        <color theme="0" tint="-0.249977111117893"/>
      </right>
      <top style="hair">
        <color theme="0" tint="-0.249977111117893"/>
      </top>
      <bottom/>
      <diagonal/>
    </border>
    <border>
      <left/>
      <right style="hair">
        <color theme="0" tint="-0.249977111117893"/>
      </right>
      <top/>
      <bottom/>
      <diagonal/>
    </border>
    <border>
      <left style="thin">
        <color theme="0" tint="-0.34998626667073579"/>
      </left>
      <right style="thin">
        <color theme="0" tint="-0.34998626667073579"/>
      </right>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style="medium">
        <color theme="4" tint="-0.499984740745262"/>
      </left>
      <right/>
      <top/>
      <bottom/>
      <diagonal/>
    </border>
    <border>
      <left/>
      <right/>
      <top/>
      <bottom style="thick">
        <color theme="0" tint="-0.249977111117893"/>
      </bottom>
      <diagonal/>
    </border>
    <border>
      <left/>
      <right/>
      <top style="double">
        <color theme="0" tint="-0.249977111117893"/>
      </top>
      <bottom/>
      <diagonal/>
    </border>
    <border>
      <left/>
      <right/>
      <top style="thin">
        <color theme="0" tint="-0.249977111117893"/>
      </top>
      <bottom style="double">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11">
    <xf numFmtId="164" fontId="0" fillId="0" borderId="0"/>
    <xf numFmtId="0" fontId="141" fillId="38" borderId="52"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7" fillId="0" borderId="0" applyNumberFormat="0" applyFill="0" applyBorder="0" applyAlignment="0" applyProtection="0">
      <alignment vertical="top"/>
      <protection locked="0"/>
    </xf>
    <xf numFmtId="0" fontId="5" fillId="0" borderId="0"/>
  </cellStyleXfs>
  <cellXfs count="913">
    <xf numFmtId="164" fontId="0" fillId="0" borderId="0" xfId="0"/>
    <xf numFmtId="164" fontId="14" fillId="0" borderId="0" xfId="0" applyFont="1"/>
    <xf numFmtId="164" fontId="14" fillId="12" borderId="0" xfId="0" applyFont="1" applyFill="1"/>
    <xf numFmtId="164" fontId="14" fillId="12" borderId="0" xfId="0" applyFont="1" applyFill="1" applyBorder="1"/>
    <xf numFmtId="164" fontId="18" fillId="7" borderId="0" xfId="0" applyFont="1" applyFill="1" applyBorder="1" applyAlignment="1"/>
    <xf numFmtId="167" fontId="21" fillId="19" borderId="0" xfId="4" applyNumberFormat="1" applyFont="1" applyFill="1" applyBorder="1" applyAlignment="1">
      <alignment horizontal="right"/>
    </xf>
    <xf numFmtId="167" fontId="21" fillId="13" borderId="0" xfId="4" applyNumberFormat="1" applyFont="1" applyFill="1" applyBorder="1" applyAlignment="1">
      <alignment horizontal="right"/>
    </xf>
    <xf numFmtId="164" fontId="23" fillId="13" borderId="0" xfId="4" applyFont="1" applyFill="1" applyBorder="1" applyAlignment="1">
      <alignment horizontal="right"/>
    </xf>
    <xf numFmtId="167" fontId="22" fillId="13" borderId="0" xfId="4" applyNumberFormat="1" applyFont="1" applyFill="1" applyBorder="1" applyAlignment="1">
      <alignment vertical="top" wrapText="1"/>
    </xf>
    <xf numFmtId="0" fontId="24" fillId="12" borderId="0" xfId="0" applyNumberFormat="1" applyFont="1" applyFill="1" applyBorder="1" applyProtection="1">
      <protection locked="0"/>
    </xf>
    <xf numFmtId="167" fontId="18" fillId="15" borderId="0" xfId="4" applyNumberFormat="1" applyFont="1" applyFill="1" applyBorder="1" applyAlignment="1">
      <alignment vertical="center"/>
    </xf>
    <xf numFmtId="167" fontId="16" fillId="13" borderId="0" xfId="4" applyNumberFormat="1" applyFont="1" applyFill="1" applyBorder="1"/>
    <xf numFmtId="164" fontId="25" fillId="13" borderId="0" xfId="4" applyFont="1" applyFill="1" applyBorder="1"/>
    <xf numFmtId="1" fontId="14" fillId="12" borderId="0" xfId="0" applyNumberFormat="1" applyFont="1" applyFill="1"/>
    <xf numFmtId="167" fontId="21" fillId="13" borderId="0" xfId="4" applyNumberFormat="1" applyFont="1" applyFill="1" applyBorder="1"/>
    <xf numFmtId="164" fontId="23" fillId="13" borderId="0" xfId="4" applyFont="1" applyFill="1" applyBorder="1"/>
    <xf numFmtId="164" fontId="19" fillId="12" borderId="0" xfId="0" applyFont="1" applyFill="1" applyBorder="1"/>
    <xf numFmtId="164" fontId="14" fillId="0" borderId="0" xfId="0" applyFont="1" applyBorder="1"/>
    <xf numFmtId="167" fontId="24" fillId="19" borderId="0" xfId="4" applyNumberFormat="1" applyFont="1" applyFill="1" applyBorder="1" applyAlignment="1">
      <alignment horizontal="right"/>
    </xf>
    <xf numFmtId="167" fontId="24" fillId="13" borderId="0" xfId="4" applyNumberFormat="1" applyFont="1" applyFill="1" applyBorder="1" applyAlignment="1">
      <alignment horizontal="right"/>
    </xf>
    <xf numFmtId="167" fontId="24" fillId="18" borderId="0" xfId="4" applyNumberFormat="1" applyFont="1" applyFill="1" applyBorder="1" applyAlignment="1">
      <alignment horizontal="left" vertical="top"/>
    </xf>
    <xf numFmtId="167" fontId="18" fillId="15" borderId="0" xfId="3" applyNumberFormat="1" applyFont="1" applyFill="1" applyBorder="1" applyAlignment="1" applyProtection="1">
      <alignment vertical="top"/>
    </xf>
    <xf numFmtId="166" fontId="24" fillId="16" borderId="0" xfId="4" applyNumberFormat="1" applyFont="1" applyFill="1" applyBorder="1" applyAlignment="1">
      <alignment horizontal="left"/>
    </xf>
    <xf numFmtId="164" fontId="0" fillId="0" borderId="0" xfId="0"/>
    <xf numFmtId="168" fontId="29" fillId="21" borderId="3" xfId="0" applyNumberFormat="1" applyFont="1" applyFill="1" applyBorder="1" applyAlignment="1" applyProtection="1">
      <alignment horizontal="center" vertical="center"/>
    </xf>
    <xf numFmtId="168" fontId="29" fillId="22"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4" fillId="18" borderId="0" xfId="4" applyNumberFormat="1" applyFont="1" applyFill="1" applyBorder="1" applyAlignment="1">
      <alignment horizontal="left"/>
    </xf>
    <xf numFmtId="166" fontId="24" fillId="10" borderId="0" xfId="0" applyNumberFormat="1" applyFont="1" applyFill="1" applyBorder="1" applyAlignment="1" applyProtection="1">
      <alignment horizontal="left"/>
      <protection locked="0"/>
    </xf>
    <xf numFmtId="164" fontId="0" fillId="0" borderId="0" xfId="0" applyAlignment="1">
      <alignment horizontal="center"/>
    </xf>
    <xf numFmtId="167" fontId="14" fillId="12" borderId="0" xfId="0" applyNumberFormat="1" applyFont="1" applyFill="1"/>
    <xf numFmtId="164" fontId="0" fillId="9" borderId="0" xfId="0" applyFill="1" applyBorder="1" applyProtection="1"/>
    <xf numFmtId="167" fontId="24" fillId="12" borderId="0" xfId="0" applyNumberFormat="1" applyFont="1" applyFill="1" applyBorder="1" applyProtection="1">
      <protection locked="0"/>
    </xf>
    <xf numFmtId="0" fontId="36" fillId="12" borderId="52" xfId="1" applyFont="1" applyFill="1" applyAlignment="1" applyProtection="1"/>
    <xf numFmtId="0" fontId="30" fillId="2" borderId="0" xfId="0" applyNumberFormat="1" applyFont="1" applyFill="1" applyBorder="1" applyProtection="1"/>
    <xf numFmtId="169" fontId="11" fillId="0" borderId="0" xfId="0" applyNumberFormat="1" applyFont="1" applyFill="1" applyBorder="1" applyAlignment="1" applyProtection="1">
      <alignment vertical="top" wrapText="1"/>
    </xf>
    <xf numFmtId="167" fontId="23" fillId="13" borderId="0" xfId="4" applyNumberFormat="1" applyFont="1" applyFill="1" applyBorder="1" applyAlignment="1">
      <alignment horizontal="right"/>
    </xf>
    <xf numFmtId="164" fontId="37" fillId="0" borderId="8" xfId="0" applyFont="1" applyBorder="1"/>
    <xf numFmtId="164" fontId="12" fillId="13" borderId="0" xfId="4" applyFont="1" applyFill="1" applyBorder="1" applyAlignment="1" applyProtection="1">
      <alignment horizontal="center" vertical="center"/>
    </xf>
    <xf numFmtId="164" fontId="10" fillId="13" borderId="0" xfId="4" applyFont="1" applyFill="1" applyBorder="1" applyAlignment="1" applyProtection="1">
      <alignment horizontal="center" vertical="center"/>
    </xf>
    <xf numFmtId="164" fontId="26"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28" fillId="0" borderId="7" xfId="0" applyNumberFormat="1" applyFont="1" applyFill="1" applyBorder="1" applyAlignment="1" applyProtection="1">
      <alignment vertical="top" wrapText="1"/>
    </xf>
    <xf numFmtId="164" fontId="0" fillId="7" borderId="7" xfId="0" applyFill="1" applyBorder="1" applyProtection="1"/>
    <xf numFmtId="169" fontId="13" fillId="0" borderId="7" xfId="0" applyNumberFormat="1" applyFont="1" applyFill="1" applyBorder="1" applyAlignment="1" applyProtection="1">
      <alignment vertical="top" wrapText="1"/>
    </xf>
    <xf numFmtId="169" fontId="11" fillId="0" borderId="7" xfId="0" applyNumberFormat="1" applyFont="1" applyFill="1" applyBorder="1" applyAlignment="1" applyProtection="1">
      <alignment vertical="top" wrapText="1"/>
    </xf>
    <xf numFmtId="169" fontId="11" fillId="0" borderId="7" xfId="0" applyNumberFormat="1" applyFont="1" applyFill="1" applyBorder="1" applyAlignment="1" applyProtection="1">
      <alignment horizontal="left" vertical="top" wrapText="1"/>
    </xf>
    <xf numFmtId="169" fontId="11" fillId="0" borderId="7" xfId="0" applyNumberFormat="1" applyFont="1" applyFill="1" applyBorder="1" applyAlignment="1" applyProtection="1">
      <alignment horizontal="left" vertical="top" wrapText="1" indent="2"/>
    </xf>
    <xf numFmtId="164" fontId="0" fillId="0" borderId="0" xfId="0" applyBorder="1"/>
    <xf numFmtId="164" fontId="27" fillId="13" borderId="0" xfId="4" applyFont="1" applyFill="1" applyBorder="1" applyAlignment="1" applyProtection="1">
      <alignment horizontal="center" vertical="center"/>
    </xf>
    <xf numFmtId="166" fontId="12" fillId="13" borderId="0" xfId="4" applyNumberFormat="1" applyFont="1" applyFill="1" applyBorder="1" applyAlignment="1" applyProtection="1">
      <alignment horizontal="left" vertical="center"/>
    </xf>
    <xf numFmtId="164" fontId="12" fillId="13" borderId="0" xfId="4" applyFont="1" applyFill="1" applyBorder="1" applyAlignment="1" applyProtection="1">
      <alignment horizontal="left" vertical="center"/>
    </xf>
    <xf numFmtId="164" fontId="10" fillId="13" borderId="0" xfId="4" applyFont="1" applyFill="1" applyBorder="1" applyAlignment="1" applyProtection="1">
      <alignment horizontal="left" vertical="center"/>
    </xf>
    <xf numFmtId="0" fontId="10" fillId="12" borderId="0" xfId="0" applyNumberFormat="1" applyFont="1" applyFill="1" applyBorder="1" applyAlignment="1" applyProtection="1">
      <alignment horizontal="left" vertical="center"/>
    </xf>
    <xf numFmtId="164" fontId="26" fillId="13" borderId="0" xfId="4" applyFont="1" applyFill="1" applyBorder="1" applyAlignment="1" applyProtection="1">
      <alignment horizontal="left" vertical="center"/>
    </xf>
    <xf numFmtId="167" fontId="12" fillId="13" borderId="0" xfId="4" applyNumberFormat="1" applyFont="1" applyFill="1" applyBorder="1" applyProtection="1"/>
    <xf numFmtId="167" fontId="12"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4" fillId="8" borderId="0" xfId="0" applyNumberFormat="1" applyFont="1" applyFill="1" applyBorder="1" applyAlignment="1">
      <alignment horizontal="center"/>
    </xf>
    <xf numFmtId="164" fontId="14" fillId="12" borderId="0" xfId="0" applyFont="1" applyFill="1" applyAlignment="1">
      <alignment horizontal="left"/>
    </xf>
    <xf numFmtId="164" fontId="14" fillId="0" borderId="0" xfId="0" applyFont="1" applyAlignment="1">
      <alignment horizontal="left"/>
    </xf>
    <xf numFmtId="164" fontId="14" fillId="12" borderId="0" xfId="0" applyFont="1" applyFill="1" applyAlignment="1">
      <alignment horizontal="left" indent="3"/>
    </xf>
    <xf numFmtId="164" fontId="14" fillId="0" borderId="0" xfId="0" applyFont="1" applyAlignment="1">
      <alignment horizontal="left" indent="3"/>
    </xf>
    <xf numFmtId="0" fontId="24" fillId="12" borderId="0" xfId="0" applyNumberFormat="1" applyFont="1" applyFill="1" applyBorder="1" applyAlignment="1" applyProtection="1">
      <alignment horizontal="left"/>
      <protection locked="0"/>
    </xf>
    <xf numFmtId="164" fontId="23" fillId="13" borderId="0" xfId="4" applyFont="1" applyFill="1" applyBorder="1" applyAlignment="1">
      <alignment horizontal="left"/>
    </xf>
    <xf numFmtId="164" fontId="25" fillId="13" borderId="0" xfId="4" applyFont="1" applyFill="1" applyBorder="1" applyAlignment="1">
      <alignment horizontal="left"/>
    </xf>
    <xf numFmtId="164" fontId="35" fillId="12" borderId="0" xfId="0" applyFont="1" applyFill="1" applyBorder="1" applyAlignment="1" applyProtection="1">
      <alignment horizontal="center" vertical="center"/>
    </xf>
    <xf numFmtId="164" fontId="0" fillId="12" borderId="0" xfId="0" applyFill="1" applyBorder="1"/>
    <xf numFmtId="166" fontId="12"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5" fillId="12" borderId="0" xfId="0" applyFont="1" applyFill="1" applyBorder="1" applyAlignment="1" applyProtection="1">
      <alignment horizontal="left" vertical="center"/>
    </xf>
    <xf numFmtId="164" fontId="12" fillId="11" borderId="0" xfId="4" applyFont="1" applyFill="1" applyBorder="1" applyAlignment="1" applyProtection="1">
      <alignment horizontal="left" vertical="center" wrapText="1"/>
    </xf>
    <xf numFmtId="164" fontId="0" fillId="12" borderId="0" xfId="0" applyFill="1" applyBorder="1" applyProtection="1"/>
    <xf numFmtId="1" fontId="12"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12" fillId="11" borderId="0" xfId="4" applyNumberFormat="1" applyFont="1" applyFill="1" applyBorder="1" applyAlignment="1" applyProtection="1">
      <alignment horizontal="left" vertical="center"/>
    </xf>
    <xf numFmtId="0" fontId="39" fillId="12" borderId="0" xfId="1" applyFont="1" applyFill="1" applyBorder="1" applyAlignment="1" applyProtection="1">
      <alignment horizontal="left" vertical="center"/>
    </xf>
    <xf numFmtId="164" fontId="35" fillId="12" borderId="0" xfId="0" quotePrefix="1" applyFont="1" applyFill="1" applyBorder="1" applyAlignment="1" applyProtection="1">
      <alignment horizontal="left" vertical="center"/>
    </xf>
    <xf numFmtId="164" fontId="40" fillId="12" borderId="0" xfId="0" applyFont="1" applyFill="1" applyBorder="1" applyProtection="1"/>
    <xf numFmtId="164" fontId="0" fillId="12" borderId="0" xfId="0" applyFill="1" applyBorder="1" applyAlignment="1" applyProtection="1">
      <alignment horizontal="center" vertical="center"/>
    </xf>
    <xf numFmtId="1" fontId="10" fillId="13" borderId="0" xfId="4" applyNumberFormat="1" applyFont="1" applyFill="1" applyBorder="1" applyAlignment="1" applyProtection="1">
      <alignment horizontal="left" vertical="center"/>
    </xf>
    <xf numFmtId="167" fontId="12" fillId="11" borderId="0" xfId="4" applyNumberFormat="1" applyFont="1" applyFill="1" applyBorder="1" applyAlignment="1" applyProtection="1">
      <alignment horizontal="left" vertical="center" wrapText="1"/>
    </xf>
    <xf numFmtId="165" fontId="10" fillId="13" borderId="0" xfId="4" applyNumberFormat="1" applyFont="1" applyFill="1" applyBorder="1" applyAlignment="1" applyProtection="1">
      <alignment horizontal="left" vertical="center"/>
    </xf>
    <xf numFmtId="164" fontId="0" fillId="2" borderId="0" xfId="0" applyFill="1"/>
    <xf numFmtId="167" fontId="42" fillId="13" borderId="0" xfId="4" applyNumberFormat="1" applyFont="1" applyFill="1" applyBorder="1" applyAlignment="1" applyProtection="1">
      <alignment horizontal="center" wrapText="1"/>
    </xf>
    <xf numFmtId="166" fontId="12" fillId="13" borderId="0" xfId="4" applyNumberFormat="1" applyFont="1" applyFill="1" applyBorder="1" applyAlignment="1" applyProtection="1">
      <alignment horizontal="center" vertical="center"/>
    </xf>
    <xf numFmtId="164" fontId="12" fillId="13" borderId="0" xfId="4" applyFont="1" applyFill="1" applyBorder="1" applyAlignment="1" applyProtection="1">
      <alignment horizontal="left" vertical="center" wrapText="1"/>
    </xf>
    <xf numFmtId="164" fontId="12" fillId="11" borderId="0" xfId="4" applyFont="1" applyFill="1" applyBorder="1" applyAlignment="1" applyProtection="1">
      <alignment horizontal="left" vertical="center"/>
    </xf>
    <xf numFmtId="164" fontId="12" fillId="13" borderId="0" xfId="4" applyFont="1" applyFill="1" applyBorder="1" applyAlignment="1" applyProtection="1">
      <alignment horizontal="center" vertical="center" wrapText="1"/>
    </xf>
    <xf numFmtId="166" fontId="35" fillId="12" borderId="0" xfId="0" applyNumberFormat="1" applyFont="1" applyFill="1" applyBorder="1" applyAlignment="1" applyProtection="1">
      <alignment horizontal="center" vertical="center"/>
    </xf>
    <xf numFmtId="164" fontId="49" fillId="2" borderId="0" xfId="0" applyFont="1" applyFill="1" applyBorder="1" applyProtection="1"/>
    <xf numFmtId="164" fontId="49" fillId="2" borderId="0" xfId="0" applyFont="1" applyFill="1" applyBorder="1" applyAlignment="1" applyProtection="1"/>
    <xf numFmtId="164" fontId="49" fillId="2" borderId="0" xfId="0" applyFont="1" applyFill="1" applyBorder="1" applyAlignment="1" applyProtection="1">
      <alignment horizontal="right"/>
    </xf>
    <xf numFmtId="0" fontId="51" fillId="17" borderId="0" xfId="0" applyNumberFormat="1" applyFont="1" applyFill="1" applyBorder="1" applyAlignment="1" applyProtection="1">
      <alignment horizontal="left" wrapText="1"/>
    </xf>
    <xf numFmtId="169" fontId="44" fillId="7" borderId="0" xfId="0" applyNumberFormat="1" applyFont="1" applyFill="1" applyBorder="1" applyAlignment="1" applyProtection="1">
      <alignment horizontal="center"/>
    </xf>
    <xf numFmtId="0" fontId="44" fillId="17" borderId="0" xfId="0" applyNumberFormat="1" applyFont="1" applyFill="1" applyBorder="1" applyAlignment="1" applyProtection="1">
      <alignment horizontal="left" wrapText="1"/>
    </xf>
    <xf numFmtId="164" fontId="56" fillId="0" borderId="0" xfId="0" applyFont="1" applyFill="1" applyBorder="1" applyAlignment="1" applyProtection="1">
      <alignment horizontal="right"/>
    </xf>
    <xf numFmtId="164" fontId="48" fillId="0" borderId="0" xfId="0" applyFont="1" applyFill="1" applyBorder="1" applyAlignment="1" applyProtection="1"/>
    <xf numFmtId="164" fontId="49" fillId="0" borderId="0" xfId="0" applyFont="1" applyFill="1" applyBorder="1" applyAlignment="1" applyProtection="1">
      <alignment horizontal="right"/>
    </xf>
    <xf numFmtId="164" fontId="49" fillId="0" borderId="0" xfId="0" applyFont="1" applyFill="1" applyBorder="1" applyAlignment="1" applyProtection="1"/>
    <xf numFmtId="0" fontId="59" fillId="2" borderId="0" xfId="0" applyNumberFormat="1" applyFont="1" applyFill="1" applyBorder="1" applyAlignment="1" applyProtection="1"/>
    <xf numFmtId="0" fontId="59" fillId="2" borderId="0" xfId="0" applyNumberFormat="1" applyFont="1" applyFill="1" applyBorder="1" applyAlignment="1" applyProtection="1">
      <alignment horizontal="right"/>
    </xf>
    <xf numFmtId="0" fontId="48" fillId="2" borderId="0" xfId="1" applyNumberFormat="1" applyFont="1" applyFill="1" applyBorder="1" applyAlignment="1" applyProtection="1">
      <alignment horizontal="center" vertical="center" wrapText="1"/>
    </xf>
    <xf numFmtId="0" fontId="48" fillId="2" borderId="0" xfId="1" applyNumberFormat="1" applyFont="1" applyFill="1" applyBorder="1" applyAlignment="1" applyProtection="1">
      <alignment wrapText="1"/>
    </xf>
    <xf numFmtId="0" fontId="48" fillId="2" borderId="0" xfId="1" applyNumberFormat="1" applyFont="1" applyFill="1" applyBorder="1" applyAlignment="1" applyProtection="1">
      <alignment horizontal="right" wrapText="1"/>
    </xf>
    <xf numFmtId="164" fontId="49" fillId="0" borderId="0" xfId="0" applyFont="1" applyBorder="1" applyAlignment="1" applyProtection="1"/>
    <xf numFmtId="0" fontId="48" fillId="0" borderId="0" xfId="0" applyNumberFormat="1" applyFont="1" applyFill="1" applyBorder="1" applyAlignment="1" applyProtection="1">
      <alignment horizontal="left" wrapText="1"/>
    </xf>
    <xf numFmtId="164" fontId="49" fillId="9" borderId="0" xfId="0" applyFont="1" applyFill="1" applyBorder="1" applyAlignment="1" applyProtection="1"/>
    <xf numFmtId="164" fontId="49" fillId="9" borderId="0" xfId="0" applyFont="1" applyFill="1" applyBorder="1" applyAlignment="1" applyProtection="1">
      <alignment horizontal="right"/>
    </xf>
    <xf numFmtId="0" fontId="60" fillId="2" borderId="0" xfId="0" applyNumberFormat="1" applyFont="1" applyFill="1" applyBorder="1" applyAlignment="1" applyProtection="1">
      <alignment horizontal="left" wrapText="1"/>
    </xf>
    <xf numFmtId="0" fontId="61" fillId="0" borderId="0" xfId="0" applyNumberFormat="1" applyFont="1" applyBorder="1" applyAlignment="1" applyProtection="1">
      <alignment horizontal="center" vertical="center" wrapText="1"/>
    </xf>
    <xf numFmtId="0" fontId="61" fillId="0" borderId="0" xfId="0" applyNumberFormat="1" applyFont="1" applyBorder="1" applyAlignment="1" applyProtection="1">
      <alignment horizontal="left" wrapText="1"/>
    </xf>
    <xf numFmtId="1" fontId="62" fillId="0" borderId="0" xfId="0" applyNumberFormat="1" applyFont="1" applyBorder="1" applyAlignment="1" applyProtection="1">
      <alignment horizontal="right" wrapText="1"/>
    </xf>
    <xf numFmtId="0" fontId="45" fillId="7" borderId="0" xfId="0" applyNumberFormat="1" applyFont="1" applyFill="1" applyBorder="1" applyAlignment="1" applyProtection="1">
      <alignment horizontal="left"/>
    </xf>
    <xf numFmtId="0" fontId="64" fillId="17" borderId="0" xfId="0" applyNumberFormat="1" applyFont="1" applyFill="1" applyBorder="1" applyAlignment="1" applyProtection="1">
      <alignment horizontal="left" vertical="center" wrapText="1"/>
    </xf>
    <xf numFmtId="164" fontId="49" fillId="9" borderId="0" xfId="0" applyFont="1" applyFill="1" applyBorder="1" applyProtection="1"/>
    <xf numFmtId="166" fontId="24" fillId="14" borderId="0" xfId="4" applyNumberFormat="1" applyFont="1" applyFill="1" applyBorder="1" applyAlignment="1">
      <alignment horizontal="left"/>
    </xf>
    <xf numFmtId="164" fontId="0" fillId="12" borderId="0" xfId="0" applyFill="1" applyBorder="1" applyAlignment="1">
      <alignment horizontal="right"/>
    </xf>
    <xf numFmtId="166" fontId="24" fillId="27" borderId="0" xfId="4" applyNumberFormat="1" applyFont="1" applyFill="1" applyBorder="1" applyAlignment="1">
      <alignment horizontal="left"/>
    </xf>
    <xf numFmtId="164" fontId="18" fillId="7" borderId="10" xfId="0" applyFont="1" applyFill="1" applyBorder="1" applyAlignment="1"/>
    <xf numFmtId="1" fontId="24" fillId="19" borderId="0" xfId="4" applyNumberFormat="1" applyFont="1" applyFill="1" applyBorder="1" applyAlignment="1">
      <alignment horizontal="left"/>
    </xf>
    <xf numFmtId="1" fontId="14" fillId="8" borderId="0" xfId="0" applyNumberFormat="1" applyFont="1" applyFill="1" applyAlignment="1">
      <alignment horizontal="center"/>
    </xf>
    <xf numFmtId="0" fontId="53" fillId="7" borderId="0" xfId="0" applyNumberFormat="1" applyFont="1" applyFill="1" applyBorder="1" applyAlignment="1" applyProtection="1">
      <alignment horizontal="left" vertical="center" wrapText="1" indent="1"/>
    </xf>
    <xf numFmtId="0" fontId="53" fillId="7" borderId="0" xfId="0" applyNumberFormat="1" applyFont="1" applyFill="1" applyBorder="1" applyAlignment="1" applyProtection="1">
      <alignment horizontal="center" vertical="center" wrapText="1"/>
    </xf>
    <xf numFmtId="0" fontId="54" fillId="17" borderId="0" xfId="0" applyNumberFormat="1" applyFont="1" applyFill="1" applyBorder="1" applyAlignment="1" applyProtection="1">
      <alignment horizontal="center"/>
    </xf>
    <xf numFmtId="164" fontId="53" fillId="7" borderId="0" xfId="0" applyNumberFormat="1" applyFont="1" applyFill="1" applyBorder="1" applyAlignment="1" applyProtection="1">
      <alignment horizontal="left" vertical="center" wrapText="1" indent="3"/>
    </xf>
    <xf numFmtId="0" fontId="48" fillId="2" borderId="0" xfId="1" applyNumberFormat="1" applyFont="1" applyFill="1" applyBorder="1" applyAlignment="1" applyProtection="1">
      <alignment vertical="center" wrapText="1"/>
    </xf>
    <xf numFmtId="164" fontId="53" fillId="7" borderId="0" xfId="0" applyNumberFormat="1" applyFont="1" applyFill="1" applyBorder="1" applyAlignment="1" applyProtection="1">
      <alignment horizontal="center" vertical="center" wrapText="1"/>
    </xf>
    <xf numFmtId="164" fontId="53" fillId="7" borderId="0" xfId="0" applyNumberFormat="1" applyFont="1" applyFill="1" applyBorder="1" applyAlignment="1" applyProtection="1">
      <alignment horizontal="left" wrapText="1"/>
    </xf>
    <xf numFmtId="164" fontId="53" fillId="7" borderId="0" xfId="0" applyNumberFormat="1" applyFont="1" applyFill="1" applyBorder="1" applyAlignment="1" applyProtection="1">
      <alignment horizontal="right" wrapText="1"/>
    </xf>
    <xf numFmtId="0" fontId="60" fillId="2" borderId="0"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center" vertical="center" wrapText="1"/>
    </xf>
    <xf numFmtId="166" fontId="60" fillId="2" borderId="0" xfId="0" applyNumberFormat="1" applyFont="1" applyFill="1" applyBorder="1" applyAlignment="1" applyProtection="1"/>
    <xf numFmtId="166" fontId="60" fillId="5" borderId="0" xfId="0" applyNumberFormat="1" applyFont="1" applyFill="1" applyBorder="1" applyAlignment="1" applyProtection="1">
      <alignment horizontal="right"/>
    </xf>
    <xf numFmtId="0" fontId="59" fillId="9" borderId="0" xfId="0" applyNumberFormat="1" applyFont="1" applyFill="1" applyBorder="1" applyAlignment="1" applyProtection="1">
      <alignment wrapText="1"/>
    </xf>
    <xf numFmtId="1" fontId="57" fillId="7" borderId="0" xfId="0" applyNumberFormat="1" applyFont="1" applyFill="1" applyBorder="1" applyAlignment="1" applyProtection="1">
      <alignment horizontal="right" wrapText="1"/>
    </xf>
    <xf numFmtId="0" fontId="44" fillId="17" borderId="0" xfId="0" applyNumberFormat="1" applyFont="1" applyFill="1" applyBorder="1" applyAlignment="1" applyProtection="1">
      <alignment horizontal="center"/>
    </xf>
    <xf numFmtId="166" fontId="53" fillId="17" borderId="0" xfId="0" applyNumberFormat="1" applyFont="1" applyFill="1" applyBorder="1" applyAlignment="1" applyProtection="1">
      <alignment horizontal="right"/>
    </xf>
    <xf numFmtId="166" fontId="62" fillId="0" borderId="0" xfId="0" applyNumberFormat="1" applyFont="1" applyBorder="1" applyAlignment="1" applyProtection="1"/>
    <xf numFmtId="166" fontId="60" fillId="20" borderId="0" xfId="0" applyNumberFormat="1" applyFont="1" applyFill="1" applyBorder="1" applyAlignment="1" applyProtection="1">
      <alignment horizontal="right"/>
    </xf>
    <xf numFmtId="0" fontId="63" fillId="17" borderId="0" xfId="0" applyNumberFormat="1" applyFont="1" applyFill="1" applyBorder="1" applyAlignment="1" applyProtection="1">
      <alignment horizontal="center"/>
    </xf>
    <xf numFmtId="1" fontId="24" fillId="28" borderId="0" xfId="4" applyNumberFormat="1" applyFont="1" applyFill="1" applyBorder="1" applyAlignment="1">
      <alignment horizontal="left"/>
    </xf>
    <xf numFmtId="164" fontId="0" fillId="0" borderId="0" xfId="0" applyAlignment="1">
      <alignment horizontal="left" vertical="top" wrapText="1"/>
    </xf>
    <xf numFmtId="164" fontId="37" fillId="0" borderId="0" xfId="0" applyFont="1" applyFill="1" applyBorder="1"/>
    <xf numFmtId="164" fontId="34" fillId="7" borderId="0" xfId="0" applyFont="1" applyFill="1"/>
    <xf numFmtId="0" fontId="46" fillId="0" borderId="0" xfId="0" applyNumberFormat="1" applyFont="1" applyFill="1" applyBorder="1" applyAlignment="1" applyProtection="1">
      <alignment horizontal="left" wrapText="1"/>
    </xf>
    <xf numFmtId="168" fontId="46" fillId="0" borderId="0" xfId="0" applyNumberFormat="1" applyFont="1" applyFill="1" applyBorder="1" applyAlignment="1" applyProtection="1">
      <alignment horizontal="right" wrapText="1"/>
    </xf>
    <xf numFmtId="164" fontId="50" fillId="0" borderId="0" xfId="0" applyFont="1" applyBorder="1" applyAlignment="1"/>
    <xf numFmtId="164" fontId="50" fillId="0" borderId="0" xfId="0" applyFont="1" applyBorder="1" applyAlignment="1">
      <alignment horizontal="right"/>
    </xf>
    <xf numFmtId="164" fontId="68" fillId="0" borderId="0" xfId="0" applyFont="1" applyFill="1" applyBorder="1" applyAlignment="1" applyProtection="1">
      <alignment horizontal="right"/>
    </xf>
    <xf numFmtId="164" fontId="69" fillId="0" borderId="0" xfId="0" applyFont="1" applyFill="1" applyBorder="1" applyAlignment="1" applyProtection="1">
      <alignment horizontal="right"/>
    </xf>
    <xf numFmtId="164" fontId="69" fillId="0" borderId="0" xfId="0" applyFont="1" applyFill="1" applyBorder="1" applyAlignment="1" applyProtection="1"/>
    <xf numFmtId="164" fontId="50" fillId="0" borderId="0" xfId="0" applyFont="1" applyFill="1" applyBorder="1" applyAlignment="1" applyProtection="1"/>
    <xf numFmtId="0" fontId="46" fillId="0" borderId="0" xfId="0" applyNumberFormat="1" applyFont="1" applyFill="1" applyBorder="1" applyAlignment="1" applyProtection="1">
      <alignment horizontal="center" vertical="center" wrapText="1"/>
    </xf>
    <xf numFmtId="0" fontId="70"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50" fillId="0" borderId="0" xfId="0" applyFont="1" applyFill="1" applyBorder="1" applyAlignment="1" applyProtection="1">
      <alignment horizontal="right"/>
    </xf>
    <xf numFmtId="1" fontId="51" fillId="7" borderId="0" xfId="0" applyNumberFormat="1" applyFont="1" applyFill="1" applyBorder="1" applyAlignment="1" applyProtection="1">
      <alignment horizontal="right" wrapText="1"/>
    </xf>
    <xf numFmtId="164" fontId="43" fillId="13" borderId="0" xfId="4" applyFont="1" applyFill="1" applyBorder="1" applyAlignment="1" applyProtection="1">
      <alignment horizontal="center" vertical="center" wrapText="1"/>
    </xf>
    <xf numFmtId="168" fontId="65" fillId="7" borderId="0" xfId="0" applyNumberFormat="1" applyFont="1" applyFill="1" applyBorder="1" applyAlignment="1" applyProtection="1">
      <alignment horizontal="right" wrapText="1"/>
    </xf>
    <xf numFmtId="164" fontId="0" fillId="0" borderId="0" xfId="0" applyAlignment="1">
      <alignment horizontal="center"/>
    </xf>
    <xf numFmtId="164" fontId="5" fillId="0" borderId="0" xfId="0" applyFont="1"/>
    <xf numFmtId="1" fontId="12" fillId="12" borderId="0" xfId="0" applyNumberFormat="1" applyFont="1" applyFill="1" applyBorder="1" applyAlignment="1" applyProtection="1">
      <alignment horizontal="center" vertical="center"/>
    </xf>
    <xf numFmtId="164" fontId="35" fillId="2" borderId="0" xfId="0" applyFont="1" applyFill="1" applyBorder="1" applyAlignment="1">
      <alignment horizontal="center"/>
    </xf>
    <xf numFmtId="164" fontId="35"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4"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9" fillId="29"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38" fillId="2" borderId="11" xfId="0" applyFont="1" applyFill="1" applyBorder="1" applyAlignment="1">
      <alignment horizontal="center"/>
    </xf>
    <xf numFmtId="164" fontId="73" fillId="7" borderId="0" xfId="0" applyFont="1" applyFill="1" applyAlignment="1">
      <alignment vertical="center"/>
    </xf>
    <xf numFmtId="164" fontId="73" fillId="7" borderId="0" xfId="0" applyFont="1" applyFill="1" applyAlignment="1">
      <alignment horizontal="left" vertical="center" indent="1"/>
    </xf>
    <xf numFmtId="164" fontId="73" fillId="25" borderId="11" xfId="0" applyFont="1" applyFill="1" applyBorder="1" applyAlignment="1">
      <alignment horizontal="center"/>
    </xf>
    <xf numFmtId="164" fontId="41" fillId="9" borderId="0" xfId="0" applyFont="1" applyFill="1" applyBorder="1"/>
    <xf numFmtId="167" fontId="33" fillId="0" borderId="0" xfId="0" applyNumberFormat="1" applyFont="1"/>
    <xf numFmtId="167" fontId="12" fillId="13" borderId="0" xfId="4" applyNumberFormat="1" applyFont="1" applyFill="1" applyBorder="1" applyAlignment="1" applyProtection="1">
      <alignment horizontal="left" vertical="center"/>
    </xf>
    <xf numFmtId="1" fontId="43"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12" fillId="13" borderId="0" xfId="4" applyNumberFormat="1" applyFont="1" applyFill="1" applyBorder="1" applyAlignment="1" applyProtection="1">
      <alignment horizontal="left" vertical="center"/>
    </xf>
    <xf numFmtId="1" fontId="9" fillId="30" borderId="0" xfId="4" applyNumberFormat="1" applyFont="1" applyFill="1" applyBorder="1" applyAlignment="1" applyProtection="1">
      <alignment horizontal="center" vertical="center" wrapText="1"/>
    </xf>
    <xf numFmtId="164" fontId="72" fillId="9" borderId="0" xfId="0" applyFont="1" applyFill="1" applyAlignment="1">
      <alignment horizontal="center" vertical="center"/>
    </xf>
    <xf numFmtId="164" fontId="72" fillId="12" borderId="0" xfId="0" applyFont="1" applyFill="1" applyAlignment="1">
      <alignment horizontal="center" vertical="center"/>
    </xf>
    <xf numFmtId="164" fontId="32" fillId="2" borderId="0" xfId="0" applyFont="1" applyFill="1" applyBorder="1" applyProtection="1"/>
    <xf numFmtId="169" fontId="28" fillId="0" borderId="17" xfId="0" applyNumberFormat="1" applyFont="1" applyFill="1" applyBorder="1" applyAlignment="1" applyProtection="1">
      <alignment vertical="top" wrapText="1"/>
    </xf>
    <xf numFmtId="169" fontId="11" fillId="0" borderId="17" xfId="0" applyNumberFormat="1" applyFont="1" applyFill="1" applyBorder="1" applyAlignment="1" applyProtection="1">
      <alignment vertical="top" wrapText="1"/>
    </xf>
    <xf numFmtId="164" fontId="0" fillId="7" borderId="17" xfId="0" applyFill="1" applyBorder="1" applyProtection="1"/>
    <xf numFmtId="169" fontId="13" fillId="0" borderId="17" xfId="0" applyNumberFormat="1" applyFont="1" applyFill="1" applyBorder="1" applyAlignment="1" applyProtection="1">
      <alignment vertical="top" wrapText="1"/>
    </xf>
    <xf numFmtId="169" fontId="11" fillId="0" borderId="17" xfId="0" applyNumberFormat="1" applyFont="1" applyFill="1" applyBorder="1" applyAlignment="1" applyProtection="1">
      <alignment horizontal="left" vertical="top" wrapText="1"/>
    </xf>
    <xf numFmtId="169" fontId="11" fillId="0" borderId="17" xfId="0" applyNumberFormat="1" applyFont="1" applyFill="1" applyBorder="1" applyAlignment="1" applyProtection="1">
      <alignment horizontal="left" vertical="top" wrapText="1" indent="2"/>
    </xf>
    <xf numFmtId="164" fontId="0" fillId="0" borderId="17" xfId="0"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8" fillId="2" borderId="0" xfId="0" applyFont="1" applyFill="1" applyBorder="1" applyAlignment="1" applyProtection="1">
      <alignment horizontal="left" indent="1"/>
    </xf>
    <xf numFmtId="164" fontId="9" fillId="2" borderId="9" xfId="0" applyFont="1" applyFill="1" applyBorder="1" applyAlignment="1" applyProtection="1">
      <alignment horizontal="left"/>
    </xf>
    <xf numFmtId="164" fontId="9" fillId="2" borderId="9" xfId="0" applyFont="1" applyFill="1" applyBorder="1" applyAlignment="1" applyProtection="1">
      <alignment horizontal="right"/>
    </xf>
    <xf numFmtId="164" fontId="7" fillId="2" borderId="9" xfId="0" applyFont="1" applyFill="1" applyBorder="1" applyAlignment="1" applyProtection="1">
      <alignment horizontal="right"/>
    </xf>
    <xf numFmtId="167" fontId="9" fillId="2" borderId="9" xfId="0" applyNumberFormat="1" applyFont="1" applyFill="1" applyBorder="1" applyAlignment="1" applyProtection="1">
      <alignment horizontal="center" wrapText="1"/>
    </xf>
    <xf numFmtId="0" fontId="15" fillId="2" borderId="0" xfId="1" applyFont="1" applyFill="1" applyBorder="1" applyAlignment="1" applyProtection="1"/>
    <xf numFmtId="164" fontId="32" fillId="2" borderId="6" xfId="0" applyFont="1" applyFill="1" applyBorder="1" applyProtection="1"/>
    <xf numFmtId="167" fontId="15" fillId="2" borderId="0" xfId="1" applyNumberFormat="1" applyFont="1" applyFill="1" applyBorder="1" applyAlignment="1" applyProtection="1">
      <alignment horizontal="center" wrapText="1"/>
    </xf>
    <xf numFmtId="171" fontId="33" fillId="7" borderId="0" xfId="0" applyNumberFormat="1" applyFont="1" applyFill="1" applyBorder="1" applyAlignment="1" applyProtection="1">
      <alignment horizontal="center" vertical="top"/>
    </xf>
    <xf numFmtId="164" fontId="74" fillId="0" borderId="0" xfId="0" applyFont="1" applyAlignment="1"/>
    <xf numFmtId="166" fontId="12" fillId="31" borderId="0" xfId="4" applyNumberFormat="1" applyFont="1" applyFill="1" applyBorder="1" applyAlignment="1" applyProtection="1">
      <alignment horizontal="center" vertical="center"/>
    </xf>
    <xf numFmtId="164" fontId="12" fillId="8" borderId="0" xfId="0" applyFont="1" applyFill="1" applyAlignment="1">
      <alignment horizontal="center" vertical="center"/>
    </xf>
    <xf numFmtId="164" fontId="0" fillId="8" borderId="0" xfId="0" applyFill="1"/>
    <xf numFmtId="164" fontId="74" fillId="0" borderId="0" xfId="0" applyFont="1" applyBorder="1" applyAlignment="1"/>
    <xf numFmtId="164" fontId="0" fillId="7" borderId="19" xfId="0" applyFill="1" applyBorder="1" applyProtection="1"/>
    <xf numFmtId="164" fontId="0" fillId="7" borderId="16" xfId="0" applyFill="1" applyBorder="1" applyProtection="1"/>
    <xf numFmtId="169" fontId="11" fillId="0" borderId="19" xfId="0" applyNumberFormat="1" applyFont="1" applyFill="1" applyBorder="1" applyAlignment="1" applyProtection="1">
      <alignment vertical="top" wrapText="1"/>
    </xf>
    <xf numFmtId="164" fontId="0" fillId="7" borderId="20" xfId="0" applyFill="1" applyBorder="1" applyProtection="1"/>
    <xf numFmtId="169" fontId="28" fillId="0" borderId="15" xfId="0" applyNumberFormat="1" applyFont="1" applyFill="1" applyBorder="1" applyAlignment="1" applyProtection="1">
      <alignment vertical="top" wrapText="1"/>
    </xf>
    <xf numFmtId="169" fontId="28" fillId="0" borderId="16" xfId="0" applyNumberFormat="1" applyFont="1" applyFill="1" applyBorder="1" applyAlignment="1" applyProtection="1">
      <alignment vertical="top" wrapText="1"/>
    </xf>
    <xf numFmtId="169" fontId="11" fillId="0" borderId="16" xfId="0" applyNumberFormat="1" applyFont="1" applyFill="1" applyBorder="1" applyAlignment="1" applyProtection="1">
      <alignment vertical="top" wrapText="1"/>
    </xf>
    <xf numFmtId="169" fontId="11" fillId="0" borderId="15" xfId="0" applyNumberFormat="1" applyFont="1" applyFill="1" applyBorder="1" applyAlignment="1" applyProtection="1">
      <alignment vertical="top" wrapText="1"/>
    </xf>
    <xf numFmtId="169" fontId="28" fillId="0" borderId="19"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164" fontId="8" fillId="2" borderId="9" xfId="0" applyFont="1" applyFill="1" applyBorder="1" applyAlignment="1" applyProtection="1">
      <alignment horizontal="center" vertical="center"/>
    </xf>
    <xf numFmtId="168" fontId="65" fillId="7" borderId="0" xfId="0" applyNumberFormat="1" applyFont="1" applyFill="1" applyBorder="1" applyAlignment="1" applyProtection="1">
      <alignment horizontal="right" vertical="center" wrapText="1"/>
    </xf>
    <xf numFmtId="164" fontId="49" fillId="9" borderId="0" xfId="0" applyFont="1" applyFill="1" applyBorder="1" applyAlignment="1" applyProtection="1">
      <alignment horizontal="center" vertical="center"/>
    </xf>
    <xf numFmtId="164" fontId="49" fillId="2" borderId="0" xfId="0"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46" fillId="0" borderId="0" xfId="0" applyFont="1" applyFill="1" applyBorder="1" applyAlignment="1" applyProtection="1">
      <alignment horizontal="center" vertical="center"/>
    </xf>
    <xf numFmtId="164" fontId="58" fillId="0" borderId="0" xfId="0" applyFont="1" applyFill="1" applyBorder="1" applyAlignment="1" applyProtection="1">
      <alignment horizontal="center" vertical="center"/>
    </xf>
    <xf numFmtId="164" fontId="60" fillId="0" borderId="0" xfId="0" applyFont="1" applyFill="1" applyBorder="1" applyAlignment="1" applyProtection="1">
      <alignment horizontal="center" vertical="center"/>
    </xf>
    <xf numFmtId="0" fontId="59" fillId="2" borderId="0" xfId="0" applyNumberFormat="1" applyFont="1" applyFill="1" applyBorder="1" applyAlignment="1" applyProtection="1">
      <alignment horizontal="center" vertical="center"/>
    </xf>
    <xf numFmtId="0" fontId="44" fillId="17" borderId="0" xfId="0" applyNumberFormat="1" applyFont="1" applyFill="1" applyBorder="1" applyAlignment="1" applyProtection="1">
      <alignment horizontal="left" vertical="center" wrapText="1"/>
    </xf>
    <xf numFmtId="164" fontId="53" fillId="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45" fillId="7" borderId="0" xfId="0" applyNumberFormat="1" applyFont="1" applyFill="1" applyBorder="1" applyAlignment="1" applyProtection="1">
      <alignment horizontal="left" vertical="center"/>
    </xf>
    <xf numFmtId="164" fontId="0" fillId="8" borderId="0" xfId="0" applyFill="1" applyAlignment="1">
      <alignment horizontal="center" vertical="center"/>
    </xf>
    <xf numFmtId="172" fontId="33" fillId="7" borderId="16" xfId="0" applyNumberFormat="1" applyFont="1" applyFill="1" applyBorder="1" applyAlignment="1" applyProtection="1">
      <alignment horizontal="center"/>
    </xf>
    <xf numFmtId="164" fontId="32" fillId="2" borderId="21" xfId="0" applyFont="1" applyFill="1" applyBorder="1" applyProtection="1"/>
    <xf numFmtId="164" fontId="32" fillId="2" borderId="22" xfId="0" applyFont="1" applyFill="1" applyBorder="1" applyProtection="1"/>
    <xf numFmtId="164" fontId="32" fillId="8" borderId="21" xfId="0" applyFont="1" applyFill="1" applyBorder="1" applyProtection="1"/>
    <xf numFmtId="166" fontId="53" fillId="7" borderId="0" xfId="0" applyNumberFormat="1" applyFont="1" applyFill="1" applyBorder="1" applyAlignment="1" applyProtection="1"/>
    <xf numFmtId="164" fontId="77" fillId="2" borderId="0" xfId="0" applyFont="1" applyFill="1"/>
    <xf numFmtId="164" fontId="0" fillId="2" borderId="24" xfId="0" applyFill="1" applyBorder="1" applyAlignment="1">
      <alignment horizontal="center" vertical="center" wrapText="1"/>
    </xf>
    <xf numFmtId="164" fontId="82" fillId="2" borderId="0" xfId="0" applyFont="1" applyFill="1"/>
    <xf numFmtId="164" fontId="0" fillId="2" borderId="0" xfId="0" applyFill="1" applyAlignment="1">
      <alignment horizontal="center" vertical="top" wrapText="1"/>
    </xf>
    <xf numFmtId="164" fontId="83" fillId="2" borderId="24"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10" fillId="11" borderId="0" xfId="4" applyFont="1" applyFill="1" applyBorder="1" applyAlignment="1" applyProtection="1">
      <alignment horizontal="left" vertical="center"/>
    </xf>
    <xf numFmtId="0" fontId="46" fillId="2" borderId="0" xfId="0" applyNumberFormat="1" applyFont="1" applyFill="1" applyBorder="1" applyAlignment="1" applyProtection="1">
      <alignment horizontal="center" vertical="center" wrapText="1"/>
    </xf>
    <xf numFmtId="0" fontId="48" fillId="0" borderId="0" xfId="0" applyNumberFormat="1" applyFont="1" applyBorder="1" applyAlignment="1" applyProtection="1">
      <alignment horizontal="left" wrapText="1"/>
    </xf>
    <xf numFmtId="164" fontId="48" fillId="2" borderId="0" xfId="0" applyFont="1" applyFill="1" applyBorder="1" applyAlignment="1" applyProtection="1"/>
    <xf numFmtId="166" fontId="53" fillId="7" borderId="0" xfId="0" applyNumberFormat="1" applyFont="1" applyFill="1" applyBorder="1" applyAlignment="1" applyProtection="1">
      <protection locked="0"/>
    </xf>
    <xf numFmtId="0" fontId="46" fillId="2" borderId="3" xfId="0" applyNumberFormat="1" applyFont="1" applyFill="1" applyBorder="1" applyAlignment="1" applyProtection="1">
      <alignment horizontal="center" vertical="center" wrapText="1"/>
      <protection locked="0"/>
    </xf>
    <xf numFmtId="1" fontId="51" fillId="7" borderId="0" xfId="0" applyNumberFormat="1" applyFont="1" applyFill="1" applyBorder="1" applyAlignment="1" applyProtection="1">
      <alignment horizontal="center" vertical="center" wrapText="1"/>
    </xf>
    <xf numFmtId="0" fontId="84" fillId="2" borderId="3" xfId="0" applyNumberFormat="1" applyFont="1" applyFill="1" applyBorder="1" applyAlignment="1" applyProtection="1">
      <alignment horizontal="center" vertical="center" wrapText="1"/>
      <protection locked="0"/>
    </xf>
    <xf numFmtId="0" fontId="85" fillId="0" borderId="0" xfId="0" applyNumberFormat="1" applyFont="1" applyFill="1" applyBorder="1" applyAlignment="1" applyProtection="1">
      <alignment horizontal="left" wrapText="1"/>
    </xf>
    <xf numFmtId="168" fontId="84" fillId="0" borderId="2" xfId="0" applyNumberFormat="1" applyFont="1" applyFill="1" applyBorder="1" applyAlignment="1" applyProtection="1">
      <alignment horizontal="right" wrapText="1"/>
    </xf>
    <xf numFmtId="166" fontId="84" fillId="5" borderId="2" xfId="0" applyNumberFormat="1" applyFont="1" applyFill="1" applyBorder="1" applyAlignment="1" applyProtection="1">
      <alignment horizontal="right"/>
      <protection locked="0"/>
    </xf>
    <xf numFmtId="164" fontId="86" fillId="0" borderId="0" xfId="0" applyFont="1"/>
    <xf numFmtId="164" fontId="86" fillId="0" borderId="0" xfId="0" applyFont="1" applyBorder="1"/>
    <xf numFmtId="164" fontId="86" fillId="0" borderId="0" xfId="0" applyFont="1" applyFill="1" applyBorder="1" applyAlignment="1" applyProtection="1">
      <alignment horizontal="right"/>
    </xf>
    <xf numFmtId="164" fontId="87" fillId="0" borderId="0" xfId="0" applyFont="1" applyFill="1" applyBorder="1" applyAlignment="1" applyProtection="1"/>
    <xf numFmtId="164" fontId="86" fillId="0" borderId="0" xfId="0" applyFont="1" applyFill="1" applyBorder="1" applyAlignment="1" applyProtection="1"/>
    <xf numFmtId="0" fontId="88" fillId="2" borderId="3" xfId="0" applyNumberFormat="1" applyFont="1" applyFill="1" applyBorder="1" applyAlignment="1" applyProtection="1">
      <alignment horizontal="center" vertical="center" wrapText="1"/>
      <protection locked="0"/>
    </xf>
    <xf numFmtId="0" fontId="88" fillId="0" borderId="0" xfId="0" applyNumberFormat="1" applyFont="1" applyFill="1" applyBorder="1" applyAlignment="1" applyProtection="1">
      <alignment horizontal="left" wrapText="1"/>
    </xf>
    <xf numFmtId="164" fontId="88" fillId="0" borderId="0" xfId="0" applyFont="1" applyFill="1" applyBorder="1" applyAlignment="1" applyProtection="1"/>
    <xf numFmtId="0" fontId="89" fillId="0" borderId="23" xfId="0" applyNumberFormat="1" applyFont="1" applyFill="1" applyBorder="1" applyAlignment="1" applyProtection="1">
      <alignment horizontal="center" vertical="center" wrapText="1"/>
    </xf>
    <xf numFmtId="0" fontId="88" fillId="2" borderId="26" xfId="0" applyNumberFormat="1" applyFont="1" applyFill="1" applyBorder="1" applyAlignment="1" applyProtection="1">
      <alignment horizontal="center" vertical="center" wrapText="1"/>
    </xf>
    <xf numFmtId="0" fontId="88" fillId="0" borderId="29" xfId="0" applyNumberFormat="1" applyFont="1" applyFill="1" applyBorder="1" applyAlignment="1" applyProtection="1">
      <alignment horizontal="left" wrapText="1"/>
    </xf>
    <xf numFmtId="166" fontId="53" fillId="7" borderId="0" xfId="0" applyNumberFormat="1" applyFont="1" applyFill="1" applyBorder="1" applyAlignment="1" applyProtection="1">
      <alignment horizontal="right" vertical="center"/>
    </xf>
    <xf numFmtId="168" fontId="51" fillId="7" borderId="0" xfId="0" applyNumberFormat="1" applyFont="1" applyFill="1" applyBorder="1" applyAlignment="1" applyProtection="1">
      <alignment horizontal="right" vertical="center" wrapText="1"/>
    </xf>
    <xf numFmtId="0" fontId="85" fillId="0" borderId="0" xfId="0" applyNumberFormat="1" applyFont="1" applyBorder="1" applyAlignment="1" applyProtection="1">
      <alignment horizontal="left" wrapText="1"/>
    </xf>
    <xf numFmtId="0" fontId="88" fillId="2" borderId="2" xfId="0" applyNumberFormat="1" applyFont="1" applyFill="1" applyBorder="1" applyAlignment="1" applyProtection="1">
      <alignment horizontal="center" vertical="center" wrapText="1"/>
      <protection locked="0"/>
    </xf>
    <xf numFmtId="166" fontId="53" fillId="17" borderId="0" xfId="0" applyNumberFormat="1" applyFont="1" applyFill="1" applyBorder="1" applyAlignment="1" applyProtection="1">
      <alignment horizontal="right"/>
      <protection locked="0"/>
    </xf>
    <xf numFmtId="49" fontId="12" fillId="11" borderId="0" xfId="4" applyNumberFormat="1" applyFont="1" applyFill="1" applyBorder="1" applyAlignment="1" applyProtection="1">
      <alignment horizontal="left" vertical="top"/>
      <protection locked="0"/>
    </xf>
    <xf numFmtId="169" fontId="28" fillId="0" borderId="17" xfId="0" applyNumberFormat="1" applyFont="1" applyFill="1" applyBorder="1" applyAlignment="1" applyProtection="1">
      <alignment vertical="center" wrapText="1"/>
    </xf>
    <xf numFmtId="169" fontId="28" fillId="0" borderId="7" xfId="0" applyNumberFormat="1" applyFont="1" applyFill="1" applyBorder="1" applyAlignment="1" applyProtection="1">
      <alignment vertical="center" wrapText="1"/>
    </xf>
    <xf numFmtId="164" fontId="0" fillId="12" borderId="0" xfId="0" applyFill="1" applyAlignment="1">
      <alignment vertical="center"/>
    </xf>
    <xf numFmtId="164" fontId="33" fillId="12" borderId="0" xfId="0" applyFont="1" applyFill="1" applyBorder="1"/>
    <xf numFmtId="0" fontId="91" fillId="2" borderId="0" xfId="0" applyNumberFormat="1" applyFont="1" applyFill="1" applyBorder="1" applyAlignment="1" applyProtection="1">
      <alignment horizontal="left" vertical="center" wrapText="1" indent="1"/>
    </xf>
    <xf numFmtId="164" fontId="91" fillId="2" borderId="0" xfId="0" applyNumberFormat="1" applyFont="1" applyFill="1" applyBorder="1" applyAlignment="1" applyProtection="1">
      <alignment horizontal="left" vertical="center" wrapText="1" indent="2"/>
    </xf>
    <xf numFmtId="164" fontId="91" fillId="2" borderId="0" xfId="0" applyNumberFormat="1" applyFont="1" applyFill="1" applyBorder="1" applyAlignment="1" applyProtection="1">
      <alignment horizontal="left" vertical="top" wrapText="1"/>
    </xf>
    <xf numFmtId="164" fontId="91" fillId="0" borderId="0" xfId="0" applyNumberFormat="1" applyFont="1" applyBorder="1" applyAlignment="1" applyProtection="1">
      <alignment horizontal="left" vertical="center" wrapText="1" indent="3"/>
    </xf>
    <xf numFmtId="164" fontId="91" fillId="0" borderId="0" xfId="0" applyNumberFormat="1" applyFont="1" applyBorder="1" applyAlignment="1" applyProtection="1">
      <alignment horizontal="left" vertical="center" wrapText="1" indent="4"/>
    </xf>
    <xf numFmtId="164" fontId="91" fillId="2" borderId="0" xfId="0" applyNumberFormat="1" applyFont="1" applyFill="1" applyBorder="1" applyAlignment="1" applyProtection="1">
      <alignment horizontal="left" vertical="center" wrapText="1"/>
    </xf>
    <xf numFmtId="0" fontId="92" fillId="0" borderId="0" xfId="0" applyNumberFormat="1" applyFont="1" applyBorder="1" applyAlignment="1" applyProtection="1">
      <alignment horizontal="left" vertical="center" wrapText="1"/>
    </xf>
    <xf numFmtId="164" fontId="93" fillId="8" borderId="27" xfId="0" applyFont="1" applyFill="1" applyBorder="1" applyProtection="1">
      <protection locked="0"/>
    </xf>
    <xf numFmtId="164" fontId="47" fillId="2" borderId="0" xfId="0" applyFont="1" applyFill="1"/>
    <xf numFmtId="164" fontId="55" fillId="2" borderId="0" xfId="0" applyFont="1" applyFill="1" applyAlignment="1">
      <alignment horizontal="center" vertical="center"/>
    </xf>
    <xf numFmtId="167" fontId="96" fillId="11" borderId="0" xfId="4" applyNumberFormat="1" applyFont="1" applyFill="1" applyBorder="1" applyAlignment="1" applyProtection="1">
      <alignment horizontal="left" vertical="center"/>
    </xf>
    <xf numFmtId="164" fontId="96" fillId="11" borderId="0" xfId="4" applyFont="1" applyFill="1" applyBorder="1" applyAlignment="1" applyProtection="1">
      <alignment horizontal="left" vertical="center"/>
    </xf>
    <xf numFmtId="164" fontId="97" fillId="11" borderId="0" xfId="4" applyFont="1" applyFill="1" applyBorder="1" applyAlignment="1" applyProtection="1">
      <alignment horizontal="left" vertical="center"/>
    </xf>
    <xf numFmtId="0" fontId="95" fillId="9" borderId="0" xfId="0" applyNumberFormat="1" applyFont="1" applyFill="1" applyBorder="1" applyAlignment="1" applyProtection="1">
      <alignment horizontal="left" vertical="center"/>
    </xf>
    <xf numFmtId="0" fontId="91" fillId="0" borderId="0" xfId="0" applyNumberFormat="1" applyFont="1" applyBorder="1" applyAlignment="1" applyProtection="1">
      <alignment horizontal="left" vertical="center" wrapText="1"/>
    </xf>
    <xf numFmtId="167" fontId="96"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91" fillId="0" borderId="0" xfId="0" applyNumberFormat="1" applyFont="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xf>
    <xf numFmtId="164" fontId="98" fillId="0" borderId="0" xfId="0" applyNumberFormat="1" applyFont="1" applyBorder="1" applyAlignment="1" applyProtection="1">
      <alignment horizontal="center" vertical="center" wrapText="1"/>
    </xf>
    <xf numFmtId="164" fontId="0" fillId="2" borderId="32" xfId="0" applyFill="1" applyBorder="1" applyAlignment="1">
      <alignment horizontal="center" vertical="center" wrapText="1"/>
    </xf>
    <xf numFmtId="164" fontId="0" fillId="2" borderId="34" xfId="0" applyFill="1" applyBorder="1" applyAlignment="1">
      <alignment horizontal="center" vertical="center" wrapText="1"/>
    </xf>
    <xf numFmtId="164" fontId="79" fillId="34" borderId="31" xfId="0" applyFont="1" applyFill="1" applyBorder="1" applyAlignment="1">
      <alignment horizontal="center" wrapText="1"/>
    </xf>
    <xf numFmtId="0" fontId="74" fillId="2" borderId="24" xfId="1" applyFont="1" applyFill="1" applyBorder="1" applyAlignment="1" applyProtection="1">
      <alignment horizontal="center" vertical="center" wrapText="1"/>
    </xf>
    <xf numFmtId="164" fontId="83" fillId="2" borderId="0" xfId="0" applyFont="1" applyFill="1" applyBorder="1" applyAlignment="1">
      <alignment vertical="top" wrapText="1"/>
    </xf>
    <xf numFmtId="164" fontId="78" fillId="2" borderId="0" xfId="0" applyFont="1" applyFill="1" applyAlignment="1">
      <alignment horizontal="center" vertical="top"/>
    </xf>
    <xf numFmtId="164" fontId="0" fillId="2" borderId="0" xfId="0" applyFont="1" applyFill="1" applyAlignment="1">
      <alignment horizontal="center" vertical="top" wrapText="1"/>
    </xf>
    <xf numFmtId="164" fontId="80"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80"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101" fillId="2" borderId="0" xfId="0" applyFont="1" applyFill="1" applyAlignment="1">
      <alignment horizontal="center" vertical="center" wrapText="1"/>
    </xf>
    <xf numFmtId="164" fontId="101" fillId="2" borderId="0" xfId="0" applyFont="1" applyFill="1" applyAlignment="1">
      <alignment horizontal="center" vertical="center"/>
    </xf>
    <xf numFmtId="164" fontId="103" fillId="2" borderId="0" xfId="0" applyFont="1" applyFill="1"/>
    <xf numFmtId="164" fontId="104" fillId="2" borderId="0" xfId="0" applyFont="1" applyFill="1" applyAlignment="1">
      <alignment horizontal="center" vertical="top"/>
    </xf>
    <xf numFmtId="164" fontId="104" fillId="2" borderId="0" xfId="0" applyFont="1" applyFill="1"/>
    <xf numFmtId="164" fontId="104" fillId="0" borderId="0" xfId="0" applyFont="1" applyAlignment="1">
      <alignment horizontal="center" vertical="top"/>
    </xf>
    <xf numFmtId="164" fontId="104" fillId="0" borderId="0" xfId="0" applyFont="1" applyAlignment="1">
      <alignment horizontal="center" vertical="top" wrapText="1"/>
    </xf>
    <xf numFmtId="164" fontId="104" fillId="2" borderId="0" xfId="0" applyFont="1" applyFill="1" applyAlignment="1">
      <alignment horizontal="center" vertical="top" wrapText="1"/>
    </xf>
    <xf numFmtId="164" fontId="105"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48" fillId="0" borderId="0" xfId="0" applyFont="1" applyFill="1" applyBorder="1" applyAlignment="1" applyProtection="1">
      <alignment horizontal="left" vertical="center" indent="5"/>
    </xf>
    <xf numFmtId="164" fontId="32" fillId="2" borderId="21" xfId="0" applyFont="1" applyFill="1" applyBorder="1" applyAlignment="1" applyProtection="1">
      <alignment horizontal="left" vertical="center" indent="5"/>
    </xf>
    <xf numFmtId="169" fontId="28" fillId="0" borderId="17" xfId="0" applyNumberFormat="1" applyFont="1" applyFill="1" applyBorder="1" applyAlignment="1" applyProtection="1">
      <alignment horizontal="left" vertical="center" wrapText="1" indent="5"/>
    </xf>
    <xf numFmtId="169" fontId="28" fillId="0" borderId="7" xfId="0" applyNumberFormat="1" applyFont="1" applyFill="1" applyBorder="1" applyAlignment="1" applyProtection="1">
      <alignment horizontal="left" vertical="center" wrapText="1" indent="5"/>
    </xf>
    <xf numFmtId="166" fontId="12" fillId="13" borderId="0" xfId="4" applyNumberFormat="1" applyFont="1" applyFill="1" applyBorder="1" applyAlignment="1" applyProtection="1">
      <alignment horizontal="left" vertical="center" indent="5"/>
    </xf>
    <xf numFmtId="164" fontId="35"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12" fillId="13" borderId="0" xfId="4" applyFont="1" applyFill="1" applyBorder="1" applyAlignment="1" applyProtection="1">
      <alignment horizontal="left" vertical="center" indent="5"/>
    </xf>
    <xf numFmtId="166" fontId="98" fillId="2" borderId="12" xfId="0" applyNumberFormat="1" applyFont="1" applyFill="1" applyBorder="1" applyAlignment="1" applyProtection="1">
      <alignment horizontal="right" vertical="center" wrapText="1"/>
      <protection locked="0"/>
    </xf>
    <xf numFmtId="166" fontId="91" fillId="2" borderId="2" xfId="0" applyNumberFormat="1" applyFont="1" applyFill="1" applyBorder="1" applyAlignment="1" applyProtection="1">
      <alignment horizontal="right" vertical="center" wrapText="1"/>
      <protection locked="0"/>
    </xf>
    <xf numFmtId="166" fontId="98" fillId="2" borderId="2" xfId="0" applyNumberFormat="1" applyFont="1" applyFill="1" applyBorder="1" applyAlignment="1" applyProtection="1">
      <alignment horizontal="right" vertical="center" wrapText="1"/>
      <protection locked="0"/>
    </xf>
    <xf numFmtId="168" fontId="91" fillId="0" borderId="2" xfId="0" applyNumberFormat="1" applyFont="1" applyFill="1" applyBorder="1" applyAlignment="1" applyProtection="1">
      <alignment horizontal="right" wrapText="1"/>
    </xf>
    <xf numFmtId="166" fontId="91" fillId="5" borderId="2" xfId="0" applyNumberFormat="1" applyFont="1" applyFill="1" applyBorder="1" applyAlignment="1" applyProtection="1">
      <alignment horizontal="right"/>
      <protection locked="0"/>
    </xf>
    <xf numFmtId="168" fontId="91" fillId="0" borderId="0" xfId="0" applyNumberFormat="1" applyFont="1" applyFill="1" applyBorder="1" applyAlignment="1" applyProtection="1">
      <alignment horizontal="right" wrapText="1"/>
    </xf>
    <xf numFmtId="170" fontId="106" fillId="0" borderId="0" xfId="0" applyNumberFormat="1" applyFont="1" applyFill="1" applyBorder="1" applyAlignment="1" applyProtection="1">
      <alignment horizontal="right" wrapText="1"/>
    </xf>
    <xf numFmtId="164" fontId="107" fillId="0" borderId="0" xfId="0" applyFont="1" applyFill="1" applyBorder="1" applyAlignment="1" applyProtection="1"/>
    <xf numFmtId="166" fontId="91" fillId="5" borderId="13" xfId="0" applyNumberFormat="1" applyFont="1" applyFill="1" applyBorder="1" applyAlignment="1" applyProtection="1">
      <alignment horizontal="right"/>
      <protection locked="0"/>
    </xf>
    <xf numFmtId="168" fontId="106" fillId="0" borderId="0" xfId="0" applyNumberFormat="1" applyFont="1" applyFill="1" applyBorder="1" applyAlignment="1" applyProtection="1">
      <alignment horizontal="right" wrapText="1"/>
    </xf>
    <xf numFmtId="170" fontId="91" fillId="0" borderId="2" xfId="0" applyNumberFormat="1" applyFont="1" applyFill="1" applyBorder="1" applyAlignment="1" applyProtection="1">
      <alignment horizontal="right" wrapText="1"/>
    </xf>
    <xf numFmtId="164" fontId="107" fillId="0" borderId="0" xfId="0" applyFont="1" applyFill="1" applyBorder="1" applyAlignment="1" applyProtection="1">
      <alignment horizontal="right"/>
    </xf>
    <xf numFmtId="166" fontId="91" fillId="5" borderId="2" xfId="0" applyNumberFormat="1" applyFont="1" applyFill="1" applyBorder="1" applyAlignment="1" applyProtection="1">
      <alignment horizontal="right"/>
    </xf>
    <xf numFmtId="170" fontId="106" fillId="0" borderId="30" xfId="0" applyNumberFormat="1" applyFont="1" applyFill="1" applyBorder="1" applyAlignment="1" applyProtection="1">
      <alignment horizontal="right" wrapText="1"/>
    </xf>
    <xf numFmtId="164" fontId="107" fillId="0" borderId="30" xfId="0" applyFont="1" applyFill="1" applyBorder="1" applyAlignment="1" applyProtection="1"/>
    <xf numFmtId="164" fontId="107" fillId="0" borderId="4" xfId="0" applyFont="1" applyFill="1" applyBorder="1" applyAlignment="1" applyProtection="1"/>
    <xf numFmtId="166" fontId="91" fillId="0" borderId="2" xfId="0" applyNumberFormat="1" applyFont="1" applyFill="1" applyBorder="1" applyAlignment="1" applyProtection="1">
      <alignment horizontal="right"/>
      <protection locked="0"/>
    </xf>
    <xf numFmtId="164" fontId="91" fillId="2" borderId="0" xfId="0" applyNumberFormat="1" applyFont="1" applyFill="1" applyBorder="1" applyAlignment="1" applyProtection="1">
      <alignment vertical="center" wrapText="1"/>
    </xf>
    <xf numFmtId="0" fontId="91" fillId="2" borderId="0"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wrapText="1"/>
      <protection locked="0"/>
    </xf>
    <xf numFmtId="164" fontId="91" fillId="2" borderId="0" xfId="0"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4" fontId="91" fillId="2" borderId="0" xfId="0" applyNumberFormat="1" applyFont="1" applyFill="1" applyBorder="1" applyAlignment="1" applyProtection="1">
      <alignment horizontal="left" vertical="center" wrapText="1"/>
    </xf>
    <xf numFmtId="0" fontId="91" fillId="0" borderId="0" xfId="0" applyNumberFormat="1" applyFont="1" applyFill="1" applyBorder="1" applyAlignment="1" applyProtection="1">
      <alignment horizontal="left" wrapText="1"/>
    </xf>
    <xf numFmtId="164" fontId="91" fillId="2" borderId="0" xfId="0" applyNumberFormat="1" applyFont="1" applyFill="1" applyBorder="1" applyAlignment="1" applyProtection="1">
      <alignment horizontal="left" vertical="center" wrapText="1" indent="1"/>
    </xf>
    <xf numFmtId="0" fontId="91" fillId="2" borderId="0" xfId="0" applyNumberFormat="1" applyFont="1" applyFill="1" applyBorder="1" applyAlignment="1" applyProtection="1">
      <alignment horizontal="left" wrapText="1"/>
      <protection locked="0"/>
    </xf>
    <xf numFmtId="0" fontId="91" fillId="2" borderId="0" xfId="0" quotePrefix="1" applyNumberFormat="1" applyFont="1" applyFill="1" applyBorder="1" applyAlignment="1" applyProtection="1">
      <alignment horizontal="left" wrapText="1" indent="2"/>
    </xf>
    <xf numFmtId="0" fontId="110" fillId="0" borderId="0" xfId="0" applyNumberFormat="1" applyFont="1" applyFill="1" applyBorder="1" applyAlignment="1" applyProtection="1">
      <alignment horizontal="center" vertical="center" wrapText="1"/>
    </xf>
    <xf numFmtId="0" fontId="91" fillId="2" borderId="0" xfId="0" quotePrefix="1" applyNumberFormat="1" applyFont="1" applyFill="1" applyBorder="1" applyAlignment="1" applyProtection="1">
      <alignment horizontal="left" vertical="top" wrapText="1" indent="2"/>
    </xf>
    <xf numFmtId="0" fontId="91" fillId="2" borderId="0" xfId="0" applyNumberFormat="1" applyFont="1" applyFill="1" applyBorder="1" applyAlignment="1" applyProtection="1">
      <alignment horizontal="left" vertical="top" wrapText="1" indent="4"/>
    </xf>
    <xf numFmtId="0" fontId="110" fillId="0" borderId="0" xfId="0" applyNumberFormat="1" applyFont="1" applyFill="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indent="2"/>
    </xf>
    <xf numFmtId="164" fontId="91" fillId="0" borderId="0" xfId="0" applyNumberFormat="1" applyFont="1" applyFill="1" applyBorder="1" applyAlignment="1" applyProtection="1">
      <alignment horizontal="left" vertical="center" wrapText="1" indent="2"/>
    </xf>
    <xf numFmtId="164" fontId="91" fillId="2" borderId="0" xfId="0" applyNumberFormat="1" applyFont="1" applyFill="1" applyBorder="1" applyAlignment="1" applyProtection="1">
      <alignment horizontal="right" vertical="center" wrapText="1"/>
    </xf>
    <xf numFmtId="0" fontId="91" fillId="2" borderId="0" xfId="0" applyNumberFormat="1" applyFont="1" applyFill="1" applyBorder="1" applyAlignment="1" applyProtection="1">
      <alignment horizontal="right" vertical="center" wrapText="1"/>
    </xf>
    <xf numFmtId="164" fontId="107" fillId="0" borderId="0" xfId="0" applyFont="1"/>
    <xf numFmtId="164" fontId="107" fillId="0" borderId="0" xfId="0" applyFont="1" applyBorder="1"/>
    <xf numFmtId="0" fontId="91" fillId="0" borderId="0" xfId="0" applyNumberFormat="1" applyFont="1" applyBorder="1" applyAlignment="1" applyProtection="1">
      <alignment horizontal="left" wrapText="1"/>
      <protection locked="0"/>
    </xf>
    <xf numFmtId="0" fontId="98" fillId="0" borderId="23" xfId="0" applyNumberFormat="1" applyFont="1" applyFill="1" applyBorder="1" applyAlignment="1" applyProtection="1">
      <alignment horizontal="center" vertical="center" wrapText="1"/>
    </xf>
    <xf numFmtId="0" fontId="112" fillId="0" borderId="2"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wrapText="1"/>
    </xf>
    <xf numFmtId="0" fontId="91" fillId="2" borderId="2" xfId="0" applyNumberFormat="1" applyFont="1" applyFill="1" applyBorder="1" applyAlignment="1" applyProtection="1">
      <alignment horizontal="center" vertical="center" wrapText="1"/>
      <protection locked="0"/>
    </xf>
    <xf numFmtId="164" fontId="107" fillId="0" borderId="2" xfId="0" applyFont="1" applyBorder="1"/>
    <xf numFmtId="0" fontId="109" fillId="2" borderId="2" xfId="1" applyFont="1" applyFill="1" applyBorder="1" applyAlignment="1" applyProtection="1">
      <alignment horizontal="center" vertical="center"/>
      <protection locked="0"/>
    </xf>
    <xf numFmtId="167" fontId="91" fillId="2" borderId="2" xfId="1" applyNumberFormat="1" applyFont="1" applyFill="1" applyBorder="1" applyAlignment="1" applyProtection="1">
      <alignment horizontal="center" vertical="center" wrapText="1"/>
      <protection locked="0"/>
    </xf>
    <xf numFmtId="167" fontId="91" fillId="2" borderId="0" xfId="1" applyNumberFormat="1" applyFont="1" applyFill="1" applyBorder="1" applyAlignment="1" applyProtection="1">
      <alignment horizontal="left" vertical="center" wrapText="1"/>
    </xf>
    <xf numFmtId="164" fontId="107" fillId="0" borderId="0" xfId="0" applyFont="1" applyBorder="1" applyAlignment="1">
      <alignment horizontal="center" vertical="center"/>
    </xf>
    <xf numFmtId="164" fontId="107" fillId="0" borderId="0" xfId="0" applyFont="1" applyBorder="1" applyAlignment="1"/>
    <xf numFmtId="164" fontId="107" fillId="0" borderId="0" xfId="0" applyFont="1" applyFill="1" applyBorder="1" applyAlignment="1">
      <alignment horizontal="right"/>
    </xf>
    <xf numFmtId="164" fontId="107" fillId="0" borderId="0" xfId="0" applyFont="1" applyFill="1" applyBorder="1" applyAlignment="1"/>
    <xf numFmtId="167" fontId="91" fillId="0" borderId="0" xfId="0" applyNumberFormat="1" applyFont="1" applyBorder="1" applyAlignment="1" applyProtection="1">
      <alignment horizontal="left" vertical="center" wrapText="1"/>
    </xf>
    <xf numFmtId="0" fontId="91" fillId="0" borderId="0" xfId="1" applyNumberFormat="1" applyFont="1" applyFill="1" applyBorder="1" applyAlignment="1" applyProtection="1">
      <alignment horizontal="center" vertical="center" wrapText="1"/>
    </xf>
    <xf numFmtId="166" fontId="91" fillId="0" borderId="0" xfId="0" applyNumberFormat="1" applyFont="1" applyFill="1" applyBorder="1" applyAlignment="1" applyProtection="1"/>
    <xf numFmtId="166" fontId="91" fillId="0" borderId="0" xfId="0" applyNumberFormat="1" applyFont="1" applyFill="1" applyBorder="1" applyAlignment="1" applyProtection="1">
      <alignment horizontal="right"/>
    </xf>
    <xf numFmtId="164" fontId="107" fillId="0" borderId="0" xfId="0" applyFont="1" applyAlignment="1">
      <alignment horizontal="center" vertical="center"/>
    </xf>
    <xf numFmtId="164" fontId="115" fillId="0" borderId="0" xfId="0" applyFont="1" applyFill="1" applyBorder="1" applyAlignment="1" applyProtection="1">
      <alignment horizontal="right"/>
    </xf>
    <xf numFmtId="164" fontId="115" fillId="0" borderId="0" xfId="0" applyFont="1" applyFill="1" applyBorder="1" applyAlignment="1" applyProtection="1"/>
    <xf numFmtId="167" fontId="91" fillId="0" borderId="0" xfId="0" applyNumberFormat="1" applyFont="1" applyBorder="1" applyAlignment="1" applyProtection="1">
      <alignment horizontal="left" vertical="center" wrapText="1" indent="1"/>
    </xf>
    <xf numFmtId="0" fontId="91" fillId="0" borderId="2" xfId="0" applyNumberFormat="1" applyFont="1" applyFill="1" applyBorder="1" applyAlignment="1" applyProtection="1">
      <alignment horizontal="right" wrapText="1"/>
    </xf>
    <xf numFmtId="167" fontId="91" fillId="5" borderId="0" xfId="4" applyNumberFormat="1" applyFont="1" applyFill="1" applyBorder="1" applyAlignment="1" applyProtection="1">
      <alignment horizontal="left" vertical="center"/>
    </xf>
    <xf numFmtId="164" fontId="107" fillId="0" borderId="0" xfId="0" applyFont="1" applyAlignment="1">
      <alignment vertical="center"/>
    </xf>
    <xf numFmtId="166" fontId="91" fillId="2" borderId="2" xfId="0" applyNumberFormat="1" applyFont="1" applyFill="1" applyBorder="1" applyAlignment="1" applyProtection="1">
      <protection locked="0"/>
    </xf>
    <xf numFmtId="0" fontId="91" fillId="2" borderId="3" xfId="0" applyNumberFormat="1" applyFont="1" applyFill="1" applyBorder="1" applyAlignment="1" applyProtection="1">
      <alignment horizontal="center" vertical="center" wrapText="1"/>
      <protection locked="0"/>
    </xf>
    <xf numFmtId="0" fontId="91" fillId="4" borderId="0" xfId="0" applyNumberFormat="1" applyFont="1" applyFill="1" applyBorder="1" applyAlignment="1" applyProtection="1">
      <alignment vertical="center"/>
    </xf>
    <xf numFmtId="0" fontId="91" fillId="4" borderId="0" xfId="0" applyNumberFormat="1" applyFont="1" applyFill="1" applyBorder="1" applyAlignment="1" applyProtection="1">
      <alignment horizontal="center" vertical="center"/>
    </xf>
    <xf numFmtId="0" fontId="91" fillId="4" borderId="0" xfId="0" applyNumberFormat="1" applyFont="1" applyFill="1" applyBorder="1" applyAlignment="1" applyProtection="1"/>
    <xf numFmtId="1" fontId="91" fillId="4" borderId="0" xfId="0" applyNumberFormat="1" applyFont="1" applyFill="1" applyBorder="1" applyAlignment="1" applyProtection="1">
      <alignment horizontal="right"/>
    </xf>
    <xf numFmtId="166" fontId="91" fillId="5" borderId="0" xfId="0" applyNumberFormat="1" applyFont="1" applyFill="1" applyBorder="1" applyAlignment="1" applyProtection="1"/>
    <xf numFmtId="167" fontId="91" fillId="2" borderId="0" xfId="0" applyNumberFormat="1" applyFont="1" applyFill="1" applyBorder="1" applyAlignment="1" applyProtection="1">
      <alignment horizontal="left" vertical="center" wrapText="1" indent="1"/>
    </xf>
    <xf numFmtId="166" fontId="91" fillId="0" borderId="2" xfId="0" applyNumberFormat="1" applyFont="1" applyBorder="1" applyAlignment="1" applyProtection="1">
      <protection locked="0"/>
    </xf>
    <xf numFmtId="164" fontId="107" fillId="2" borderId="0" xfId="0" applyFont="1" applyFill="1" applyBorder="1" applyAlignment="1" applyProtection="1"/>
    <xf numFmtId="0" fontId="116" fillId="2" borderId="0" xfId="0" applyNumberFormat="1" applyFont="1" applyFill="1" applyBorder="1" applyAlignment="1" applyProtection="1">
      <alignment horizontal="center" vertical="center" wrapText="1"/>
    </xf>
    <xf numFmtId="164" fontId="107" fillId="0" borderId="0" xfId="0" applyFont="1" applyBorder="1" applyAlignment="1" applyProtection="1">
      <alignment horizontal="center" vertical="center"/>
    </xf>
    <xf numFmtId="164" fontId="107" fillId="0" borderId="0" xfId="0" applyFont="1" applyBorder="1" applyAlignment="1">
      <alignment horizontal="right"/>
    </xf>
    <xf numFmtId="164" fontId="91" fillId="0" borderId="0" xfId="0" applyNumberFormat="1" applyFont="1" applyFill="1" applyBorder="1" applyAlignment="1" applyProtection="1">
      <alignment horizontal="left" vertical="center" wrapText="1" indent="1"/>
    </xf>
    <xf numFmtId="164" fontId="91" fillId="0"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left" wrapText="1" indent="1"/>
    </xf>
    <xf numFmtId="0" fontId="98" fillId="2" borderId="0" xfId="0" applyNumberFormat="1" applyFont="1" applyFill="1" applyBorder="1" applyAlignment="1" applyProtection="1">
      <alignment horizontal="right" vertical="center" wrapText="1"/>
    </xf>
    <xf numFmtId="0" fontId="117" fillId="2" borderId="2" xfId="1" applyNumberFormat="1" applyFont="1" applyFill="1" applyBorder="1" applyAlignment="1" applyProtection="1">
      <alignment horizontal="center" vertical="center" wrapText="1"/>
    </xf>
    <xf numFmtId="0" fontId="91" fillId="0" borderId="14" xfId="0" applyNumberFormat="1" applyFont="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xf>
    <xf numFmtId="164" fontId="107" fillId="0" borderId="0" xfId="0" applyFont="1" applyBorder="1" applyAlignment="1" applyProtection="1"/>
    <xf numFmtId="0" fontId="91" fillId="0" borderId="0" xfId="0" applyNumberFormat="1" applyFont="1" applyFill="1" applyBorder="1" applyAlignment="1" applyProtection="1">
      <alignment horizontal="center" vertical="center" wrapText="1"/>
    </xf>
    <xf numFmtId="0" fontId="91" fillId="2" borderId="2" xfId="0" applyNumberFormat="1" applyFont="1" applyFill="1" applyBorder="1" applyAlignment="1" applyProtection="1">
      <alignment horizontal="left" vertical="center" wrapText="1"/>
      <protection locked="0"/>
    </xf>
    <xf numFmtId="0" fontId="91" fillId="2" borderId="2" xfId="1" applyFont="1" applyFill="1" applyBorder="1" applyAlignment="1" applyProtection="1">
      <alignment horizontal="center" vertical="center"/>
    </xf>
    <xf numFmtId="166" fontId="91" fillId="2" borderId="2" xfId="0" applyNumberFormat="1" applyFont="1" applyFill="1" applyBorder="1" applyAlignment="1" applyProtection="1"/>
    <xf numFmtId="0" fontId="91" fillId="0" borderId="0" xfId="0" applyNumberFormat="1" applyFont="1" applyFill="1" applyBorder="1" applyAlignment="1" applyProtection="1">
      <alignment horizontal="left" wrapText="1"/>
      <protection locked="0"/>
    </xf>
    <xf numFmtId="0" fontId="98" fillId="0" borderId="0" xfId="0" applyNumberFormat="1" applyFont="1" applyBorder="1" applyAlignment="1" applyProtection="1">
      <alignment horizontal="right" vertical="center" wrapText="1"/>
    </xf>
    <xf numFmtId="164" fontId="91" fillId="0" borderId="0" xfId="0" quotePrefix="1" applyNumberFormat="1" applyFont="1" applyFill="1" applyBorder="1" applyAlignment="1" applyProtection="1">
      <alignment horizontal="left" vertical="center" wrapText="1"/>
    </xf>
    <xf numFmtId="0" fontId="91" fillId="0" borderId="2" xfId="0" applyNumberFormat="1" applyFont="1" applyBorder="1" applyAlignment="1" applyProtection="1">
      <alignment horizontal="left" vertical="center" wrapText="1"/>
    </xf>
    <xf numFmtId="166" fontId="91" fillId="0" borderId="2" xfId="0" applyNumberFormat="1" applyFont="1" applyFill="1" applyBorder="1" applyAlignment="1" applyProtection="1">
      <protection locked="0"/>
    </xf>
    <xf numFmtId="164" fontId="107" fillId="2" borderId="0" xfId="0" applyFont="1" applyFill="1" applyBorder="1" applyAlignment="1" applyProtection="1">
      <alignment horizontal="center" vertical="center"/>
    </xf>
    <xf numFmtId="0" fontId="91" fillId="2" borderId="13" xfId="0" applyNumberFormat="1" applyFont="1" applyFill="1" applyBorder="1" applyAlignment="1" applyProtection="1">
      <alignment horizontal="center" vertical="center" wrapText="1"/>
      <protection locked="0"/>
    </xf>
    <xf numFmtId="168" fontId="91" fillId="0" borderId="25" xfId="0" applyNumberFormat="1" applyFont="1" applyFill="1" applyBorder="1" applyAlignment="1" applyProtection="1">
      <alignment horizontal="right" wrapText="1"/>
    </xf>
    <xf numFmtId="164" fontId="91" fillId="0" borderId="2" xfId="0" applyNumberFormat="1" applyFont="1" applyBorder="1" applyAlignment="1" applyProtection="1">
      <alignment horizontal="center" vertical="center" wrapText="1"/>
    </xf>
    <xf numFmtId="164" fontId="91" fillId="0" borderId="0" xfId="0" applyNumberFormat="1" applyFont="1" applyBorder="1" applyAlignment="1" applyProtection="1">
      <alignment horizontal="center" vertical="center" wrapText="1"/>
    </xf>
    <xf numFmtId="164" fontId="107" fillId="2" borderId="0" xfId="0" applyFont="1" applyFill="1" applyBorder="1" applyProtection="1"/>
    <xf numFmtId="164" fontId="107" fillId="2" borderId="0" xfId="0" applyFont="1" applyFill="1" applyBorder="1" applyAlignment="1" applyProtection="1">
      <alignment horizontal="right"/>
    </xf>
    <xf numFmtId="164" fontId="91" fillId="2" borderId="0" xfId="1" applyNumberFormat="1" applyFont="1" applyFill="1" applyBorder="1" applyAlignment="1" applyProtection="1">
      <alignment horizontal="left" vertical="center" wrapText="1" indent="1"/>
    </xf>
    <xf numFmtId="164" fontId="91" fillId="0" borderId="0" xfId="0" applyFont="1" applyBorder="1" applyAlignment="1" applyProtection="1">
      <alignment horizontal="left" wrapText="1" indent="1"/>
    </xf>
    <xf numFmtId="164" fontId="91" fillId="0" borderId="0" xfId="1" applyNumberFormat="1" applyFont="1" applyFill="1" applyBorder="1" applyAlignment="1" applyProtection="1">
      <alignment horizontal="left" vertical="center" wrapText="1" indent="1"/>
    </xf>
    <xf numFmtId="0" fontId="91" fillId="0" borderId="0" xfId="1" applyNumberFormat="1" applyFont="1" applyFill="1" applyBorder="1" applyAlignment="1" applyProtection="1">
      <alignment horizontal="left" vertical="center" wrapText="1" indent="1"/>
    </xf>
    <xf numFmtId="167" fontId="91" fillId="2" borderId="0" xfId="1" applyNumberFormat="1" applyFont="1" applyFill="1" applyBorder="1" applyAlignment="1" applyProtection="1">
      <alignment horizontal="left" vertical="center" wrapText="1" indent="1"/>
    </xf>
    <xf numFmtId="164" fontId="107" fillId="0" borderId="0" xfId="0" applyFont="1" applyProtection="1"/>
    <xf numFmtId="164" fontId="107" fillId="0" borderId="4" xfId="0" applyFont="1" applyBorder="1"/>
    <xf numFmtId="170" fontId="107" fillId="0" borderId="4" xfId="0" applyNumberFormat="1" applyFont="1" applyBorder="1"/>
    <xf numFmtId="168" fontId="91" fillId="0" borderId="28" xfId="0" applyNumberFormat="1" applyFont="1" applyFill="1" applyBorder="1" applyAlignment="1" applyProtection="1">
      <alignment horizontal="right" wrapText="1"/>
    </xf>
    <xf numFmtId="166" fontId="106" fillId="2" borderId="13" xfId="0" applyNumberFormat="1" applyFont="1" applyFill="1" applyBorder="1" applyAlignment="1" applyProtection="1">
      <protection locked="0"/>
    </xf>
    <xf numFmtId="0" fontId="91" fillId="2" borderId="2" xfId="0" applyNumberFormat="1" applyFont="1" applyFill="1" applyBorder="1" applyAlignment="1" applyProtection="1">
      <alignment horizontal="center" vertical="center" wrapText="1"/>
    </xf>
    <xf numFmtId="0" fontId="91" fillId="0" borderId="0" xfId="0" quotePrefix="1" applyNumberFormat="1" applyFont="1" applyFill="1" applyBorder="1" applyAlignment="1" applyProtection="1">
      <alignment horizontal="left" wrapText="1"/>
      <protection locked="0"/>
    </xf>
    <xf numFmtId="168" fontId="91" fillId="0" borderId="13" xfId="0" applyNumberFormat="1" applyFont="1" applyFill="1" applyBorder="1" applyAlignment="1" applyProtection="1">
      <alignment horizontal="right" wrapText="1"/>
    </xf>
    <xf numFmtId="164" fontId="107" fillId="0" borderId="2" xfId="0" applyFont="1" applyBorder="1" applyProtection="1">
      <protection locked="0"/>
    </xf>
    <xf numFmtId="166" fontId="106" fillId="2" borderId="2" xfId="0" applyNumberFormat="1" applyFont="1" applyFill="1" applyBorder="1" applyAlignment="1" applyProtection="1">
      <protection locked="0"/>
    </xf>
    <xf numFmtId="164" fontId="107" fillId="2" borderId="0" xfId="0" applyFont="1" applyFill="1" applyBorder="1" applyAlignment="1" applyProtection="1">
      <alignment vertical="center"/>
    </xf>
    <xf numFmtId="164" fontId="107" fillId="0" borderId="0" xfId="0" applyFont="1" applyBorder="1" applyProtection="1"/>
    <xf numFmtId="0" fontId="91" fillId="2" borderId="0" xfId="0" applyNumberFormat="1" applyFont="1" applyFill="1" applyBorder="1" applyAlignment="1" applyProtection="1">
      <alignment horizontal="center" vertical="center" wrapText="1"/>
    </xf>
    <xf numFmtId="166" fontId="98" fillId="2" borderId="13" xfId="0" applyNumberFormat="1" applyFont="1" applyFill="1" applyBorder="1" applyAlignment="1" applyProtection="1">
      <alignment horizontal="right" vertical="center" wrapText="1"/>
      <protection locked="0"/>
    </xf>
    <xf numFmtId="168" fontId="119" fillId="0" borderId="0" xfId="0" applyNumberFormat="1" applyFont="1" applyFill="1" applyBorder="1" applyAlignment="1" applyProtection="1">
      <alignment horizontal="left" wrapText="1" indent="4"/>
    </xf>
    <xf numFmtId="168" fontId="106" fillId="0" borderId="2" xfId="0" applyNumberFormat="1" applyFont="1" applyFill="1" applyBorder="1" applyAlignment="1" applyProtection="1">
      <alignment horizontal="right" vertical="center" wrapText="1"/>
    </xf>
    <xf numFmtId="0" fontId="91" fillId="0" borderId="0" xfId="0" applyNumberFormat="1" applyFont="1" applyBorder="1" applyAlignment="1" applyProtection="1">
      <alignment horizontal="right" vertical="center" wrapText="1"/>
    </xf>
    <xf numFmtId="164" fontId="108" fillId="2" borderId="21" xfId="0" applyFont="1" applyFill="1" applyBorder="1" applyProtection="1"/>
    <xf numFmtId="164" fontId="111" fillId="2" borderId="0" xfId="0" applyNumberFormat="1" applyFont="1" applyFill="1" applyBorder="1" applyAlignment="1" applyProtection="1">
      <alignment horizontal="left" vertical="center" wrapText="1" indent="3"/>
    </xf>
    <xf numFmtId="164" fontId="98" fillId="2" borderId="0" xfId="0" applyNumberFormat="1" applyFont="1" applyFill="1" applyBorder="1" applyAlignment="1" applyProtection="1">
      <alignment horizontal="left" vertical="center" wrapText="1" indent="3"/>
    </xf>
    <xf numFmtId="164" fontId="98" fillId="2" borderId="0" xfId="0" applyNumberFormat="1" applyFont="1" applyFill="1" applyBorder="1" applyAlignment="1" applyProtection="1">
      <alignment horizontal="left" vertical="center" wrapText="1"/>
    </xf>
    <xf numFmtId="168" fontId="106" fillId="0" borderId="0" xfId="0" applyNumberFormat="1" applyFont="1" applyFill="1" applyBorder="1" applyAlignment="1" applyProtection="1">
      <alignment wrapText="1"/>
    </xf>
    <xf numFmtId="164" fontId="107" fillId="0" borderId="0" xfId="0" applyFont="1" applyAlignment="1"/>
    <xf numFmtId="1" fontId="98" fillId="0" borderId="0" xfId="0" applyNumberFormat="1" applyFont="1" applyBorder="1" applyAlignment="1" applyProtection="1">
      <alignment horizontal="left" vertical="center" wrapText="1" indent="3"/>
    </xf>
    <xf numFmtId="1" fontId="98" fillId="0" borderId="0" xfId="0" applyNumberFormat="1" applyFont="1" applyBorder="1" applyAlignment="1" applyProtection="1">
      <alignment horizontal="left" vertical="center" wrapText="1"/>
    </xf>
    <xf numFmtId="1" fontId="91" fillId="0" borderId="0" xfId="0" applyNumberFormat="1" applyFont="1" applyBorder="1" applyAlignment="1" applyProtection="1">
      <alignment horizontal="left" vertical="center" wrapText="1" indent="3"/>
    </xf>
    <xf numFmtId="166" fontId="91" fillId="2" borderId="0" xfId="0" applyNumberFormat="1" applyFont="1" applyFill="1" applyBorder="1" applyAlignment="1" applyProtection="1"/>
    <xf numFmtId="166" fontId="91" fillId="0" borderId="2" xfId="0" applyNumberFormat="1" applyFont="1" applyFill="1" applyBorder="1" applyAlignment="1" applyProtection="1"/>
    <xf numFmtId="166" fontId="121" fillId="2" borderId="0" xfId="0" applyNumberFormat="1" applyFont="1" applyFill="1"/>
    <xf numFmtId="164" fontId="107"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left" wrapText="1" indent="1"/>
    </xf>
    <xf numFmtId="168" fontId="107" fillId="0" borderId="0" xfId="0" applyNumberFormat="1" applyFont="1" applyBorder="1"/>
    <xf numFmtId="164" fontId="107" fillId="0" borderId="0" xfId="0" applyFont="1" applyFill="1" applyBorder="1"/>
    <xf numFmtId="164" fontId="107" fillId="2" borderId="0" xfId="0" applyFont="1" applyFill="1" applyBorder="1"/>
    <xf numFmtId="167" fontId="98" fillId="2" borderId="0" xfId="0" applyNumberFormat="1" applyFont="1" applyFill="1" applyBorder="1" applyAlignment="1" applyProtection="1">
      <alignment horizontal="left" wrapText="1" indent="5"/>
    </xf>
    <xf numFmtId="0" fontId="119" fillId="0" borderId="0" xfId="0" applyNumberFormat="1" applyFont="1" applyFill="1" applyBorder="1" applyAlignment="1" applyProtection="1">
      <alignment horizontal="left" wrapText="1" indent="4"/>
    </xf>
    <xf numFmtId="164" fontId="107" fillId="0" borderId="0" xfId="0" applyFont="1" applyFill="1" applyBorder="1" applyAlignment="1" applyProtection="1">
      <alignment horizontal="left" indent="1"/>
    </xf>
    <xf numFmtId="164" fontId="108" fillId="2" borderId="21" xfId="0" applyFont="1" applyFill="1" applyBorder="1" applyAlignment="1" applyProtection="1">
      <alignment vertical="center"/>
    </xf>
    <xf numFmtId="164" fontId="91" fillId="2" borderId="0" xfId="0" applyNumberFormat="1" applyFont="1" applyFill="1" applyBorder="1" applyAlignment="1" applyProtection="1">
      <alignment horizontal="left" vertical="center" wrapText="1" indent="5"/>
    </xf>
    <xf numFmtId="164" fontId="118" fillId="2" borderId="0" xfId="0" applyFont="1" applyFill="1" applyBorder="1" applyAlignment="1" applyProtection="1"/>
    <xf numFmtId="164" fontId="98" fillId="2" borderId="0" xfId="0" applyNumberFormat="1" applyFont="1" applyFill="1" applyBorder="1" applyAlignment="1" applyProtection="1">
      <alignment horizontal="center" vertical="center" wrapText="1"/>
    </xf>
    <xf numFmtId="164" fontId="91" fillId="2" borderId="0" xfId="0" applyNumberFormat="1" applyFont="1" applyFill="1" applyBorder="1" applyAlignment="1" applyProtection="1">
      <alignment horizontal="left" vertical="center" wrapText="1" indent="3"/>
    </xf>
    <xf numFmtId="164" fontId="91" fillId="2" borderId="0" xfId="0" applyNumberFormat="1" applyFont="1" applyFill="1" applyBorder="1" applyAlignment="1" applyProtection="1">
      <alignment horizontal="right" vertical="center" wrapText="1" indent="3"/>
    </xf>
    <xf numFmtId="164" fontId="91" fillId="0" borderId="0" xfId="1" applyNumberFormat="1" applyFont="1" applyFill="1" applyBorder="1" applyAlignment="1" applyProtection="1">
      <alignment horizontal="right" vertical="center" wrapText="1"/>
    </xf>
    <xf numFmtId="164" fontId="91" fillId="0" borderId="0" xfId="1" applyNumberFormat="1" applyFont="1" applyFill="1" applyBorder="1" applyAlignment="1" applyProtection="1">
      <alignment horizontal="left" vertical="center" wrapText="1"/>
    </xf>
    <xf numFmtId="166" fontId="109" fillId="5" borderId="2" xfId="0" applyNumberFormat="1" applyFont="1" applyFill="1" applyBorder="1" applyAlignment="1" applyProtection="1">
      <alignment horizontal="right"/>
    </xf>
    <xf numFmtId="1" fontId="12" fillId="13" borderId="0" xfId="4" applyNumberFormat="1" applyFont="1" applyFill="1" applyBorder="1" applyAlignment="1" applyProtection="1">
      <alignment horizontal="left" vertical="center" indent="4"/>
    </xf>
    <xf numFmtId="1" fontId="90" fillId="30" borderId="0" xfId="4" applyNumberFormat="1" applyFont="1" applyFill="1" applyBorder="1" applyAlignment="1" applyProtection="1">
      <alignment horizontal="center" vertical="center"/>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41" fillId="9" borderId="0" xfId="0" applyNumberFormat="1" applyFont="1" applyFill="1" applyAlignment="1" applyProtection="1">
      <alignment horizontal="left"/>
    </xf>
    <xf numFmtId="168" fontId="84" fillId="0" borderId="25" xfId="0" applyNumberFormat="1" applyFont="1" applyFill="1" applyBorder="1" applyAlignment="1" applyProtection="1">
      <alignment horizontal="right" wrapText="1"/>
    </xf>
    <xf numFmtId="166" fontId="84" fillId="5" borderId="2" xfId="0" applyNumberFormat="1" applyFont="1" applyFill="1" applyBorder="1" applyAlignment="1" applyProtection="1">
      <alignment horizontal="right"/>
    </xf>
    <xf numFmtId="164" fontId="123" fillId="0" borderId="0" xfId="0" applyFont="1"/>
    <xf numFmtId="164" fontId="124" fillId="0" borderId="0" xfId="0" applyFont="1"/>
    <xf numFmtId="164" fontId="50" fillId="0" borderId="0" xfId="0" applyFont="1" applyBorder="1" applyAlignment="1">
      <alignment horizontal="left" vertical="center" indent="5"/>
    </xf>
    <xf numFmtId="164" fontId="50" fillId="0" borderId="0" xfId="0" applyFont="1" applyBorder="1"/>
    <xf numFmtId="164" fontId="46" fillId="0" borderId="0" xfId="0" applyFont="1" applyBorder="1" applyAlignment="1"/>
    <xf numFmtId="164" fontId="46" fillId="0" borderId="0" xfId="0" applyFont="1" applyFill="1" applyBorder="1" applyAlignment="1" applyProtection="1"/>
    <xf numFmtId="164" fontId="125" fillId="0" borderId="0" xfId="0" applyFont="1" applyFill="1" applyBorder="1" applyAlignment="1" applyProtection="1"/>
    <xf numFmtId="164" fontId="124" fillId="0" borderId="0" xfId="0" applyFont="1" applyBorder="1"/>
    <xf numFmtId="164" fontId="124" fillId="0" borderId="0" xfId="0" applyFont="1" applyFill="1" applyBorder="1" applyAlignment="1" applyProtection="1">
      <alignment horizontal="right"/>
    </xf>
    <xf numFmtId="164" fontId="126" fillId="0" borderId="0" xfId="0" applyFont="1" applyFill="1" applyBorder="1" applyAlignment="1" applyProtection="1"/>
    <xf numFmtId="164" fontId="124" fillId="0" borderId="0" xfId="0" applyFont="1" applyFill="1" applyBorder="1" applyAlignment="1" applyProtection="1"/>
    <xf numFmtId="0" fontId="46" fillId="2" borderId="37" xfId="0" applyNumberFormat="1" applyFont="1" applyFill="1" applyBorder="1" applyAlignment="1" applyProtection="1">
      <alignment horizontal="center" vertical="center" wrapText="1"/>
      <protection locked="0"/>
    </xf>
    <xf numFmtId="164" fontId="107" fillId="0" borderId="25" xfId="0" applyFont="1" applyBorder="1" applyProtection="1"/>
    <xf numFmtId="0" fontId="113" fillId="24" borderId="36" xfId="1" applyFont="1" applyFill="1" applyBorder="1" applyAlignment="1" applyProtection="1">
      <alignment horizontal="center" vertical="center"/>
    </xf>
    <xf numFmtId="164" fontId="107" fillId="0" borderId="25" xfId="0" applyFont="1" applyBorder="1" applyAlignment="1" applyProtection="1">
      <alignment horizontal="center" vertical="center"/>
    </xf>
    <xf numFmtId="0" fontId="91" fillId="2" borderId="25" xfId="0" applyNumberFormat="1" applyFont="1" applyFill="1" applyBorder="1" applyAlignment="1" applyProtection="1">
      <alignment horizontal="center" vertical="center" wrapText="1"/>
      <protection locked="0"/>
    </xf>
    <xf numFmtId="164" fontId="107" fillId="0" borderId="25" xfId="0" applyFont="1" applyBorder="1" applyAlignment="1">
      <alignment horizontal="center" vertical="center"/>
    </xf>
    <xf numFmtId="0" fontId="113" fillId="32" borderId="36" xfId="1" applyFont="1" applyFill="1" applyBorder="1" applyAlignment="1" applyProtection="1">
      <alignment horizontal="center" vertical="center"/>
    </xf>
    <xf numFmtId="0" fontId="45" fillId="7" borderId="0" xfId="0" applyNumberFormat="1" applyFont="1" applyFill="1" applyBorder="1" applyAlignment="1" applyProtection="1">
      <alignment horizontal="left"/>
    </xf>
    <xf numFmtId="164" fontId="107" fillId="0" borderId="0" xfId="0" applyFont="1" applyBorder="1" applyAlignment="1" applyProtection="1">
      <protection locked="0"/>
    </xf>
    <xf numFmtId="164" fontId="91" fillId="2" borderId="0" xfId="0" applyNumberFormat="1" applyFont="1" applyFill="1" applyBorder="1" applyAlignment="1" applyProtection="1">
      <alignment horizontal="left" vertical="center" wrapText="1" indent="4"/>
    </xf>
    <xf numFmtId="164" fontId="120" fillId="2" borderId="0" xfId="0" applyNumberFormat="1" applyFont="1" applyFill="1" applyBorder="1" applyAlignment="1" applyProtection="1">
      <alignment horizontal="left" vertical="center" wrapText="1"/>
    </xf>
    <xf numFmtId="0" fontId="12" fillId="12" borderId="0" xfId="0" applyNumberFormat="1" applyFont="1" applyFill="1" applyBorder="1" applyAlignment="1" applyProtection="1">
      <alignment horizontal="center"/>
    </xf>
    <xf numFmtId="1" fontId="12" fillId="9" borderId="0" xfId="0" applyNumberFormat="1" applyFont="1" applyFill="1" applyBorder="1" applyAlignment="1" applyProtection="1">
      <alignment horizontal="center"/>
    </xf>
    <xf numFmtId="0" fontId="12" fillId="9" borderId="0" xfId="0" applyNumberFormat="1" applyFont="1" applyFill="1" applyBorder="1" applyAlignment="1" applyProtection="1">
      <alignment horizontal="center" wrapText="1"/>
    </xf>
    <xf numFmtId="1" fontId="12" fillId="12" borderId="0" xfId="0" applyNumberFormat="1" applyFont="1" applyFill="1" applyBorder="1" applyAlignment="1" applyProtection="1">
      <alignment horizontal="center"/>
    </xf>
    <xf numFmtId="164" fontId="12" fillId="8" borderId="0" xfId="0" applyFont="1" applyFill="1" applyAlignment="1">
      <alignment horizontal="center"/>
    </xf>
    <xf numFmtId="164" fontId="5" fillId="0" borderId="0" xfId="0" applyFont="1" applyAlignment="1">
      <alignment horizontal="center"/>
    </xf>
    <xf numFmtId="166" fontId="91" fillId="2" borderId="12" xfId="0" applyNumberFormat="1" applyFont="1" applyFill="1" applyBorder="1" applyAlignment="1" applyProtection="1">
      <alignment horizontal="right" vertical="center" wrapText="1"/>
      <protection locked="0"/>
    </xf>
    <xf numFmtId="166" fontId="91" fillId="2" borderId="13" xfId="0" applyNumberFormat="1" applyFont="1" applyFill="1" applyBorder="1" applyAlignment="1" applyProtection="1">
      <alignment horizontal="right" vertical="center" wrapText="1"/>
      <protection locked="0"/>
    </xf>
    <xf numFmtId="164" fontId="91" fillId="0" borderId="0" xfId="0" applyNumberFormat="1" applyFont="1" applyBorder="1" applyAlignment="1" applyProtection="1">
      <alignment horizontal="left" vertical="center" wrapText="1" indent="5"/>
    </xf>
    <xf numFmtId="164" fontId="107" fillId="0" borderId="14" xfId="0" applyFont="1" applyBorder="1" applyAlignment="1" applyProtection="1">
      <protection locked="0"/>
    </xf>
    <xf numFmtId="0" fontId="98" fillId="2" borderId="0" xfId="1" applyNumberFormat="1" applyFont="1" applyFill="1" applyBorder="1" applyAlignment="1" applyProtection="1">
      <alignment horizontal="right" vertical="center" wrapText="1" indent="2"/>
    </xf>
    <xf numFmtId="168" fontId="118" fillId="0" borderId="0" xfId="0" applyNumberFormat="1" applyFont="1" applyBorder="1" applyAlignment="1">
      <alignment vertical="top"/>
    </xf>
    <xf numFmtId="168" fontId="118" fillId="0" borderId="21" xfId="0" applyNumberFormat="1" applyFont="1" applyBorder="1" applyAlignment="1">
      <alignment vertical="top"/>
    </xf>
    <xf numFmtId="164" fontId="120" fillId="0" borderId="0" xfId="0" applyFont="1" applyBorder="1" applyAlignment="1"/>
    <xf numFmtId="164" fontId="120" fillId="0" borderId="14" xfId="0" applyFont="1" applyBorder="1" applyAlignment="1"/>
    <xf numFmtId="166" fontId="109" fillId="2" borderId="0" xfId="0" applyNumberFormat="1" applyFont="1" applyFill="1"/>
    <xf numFmtId="166" fontId="109" fillId="2" borderId="0" xfId="0" applyNumberFormat="1" applyFont="1" applyFill="1" applyAlignment="1">
      <alignment vertical="center"/>
    </xf>
    <xf numFmtId="164" fontId="109" fillId="0" borderId="0" xfId="0" applyFont="1" applyFill="1" applyBorder="1"/>
    <xf numFmtId="168" fontId="109" fillId="0" borderId="0" xfId="0" applyNumberFormat="1" applyFont="1" applyBorder="1" applyAlignment="1">
      <alignment vertical="top"/>
    </xf>
    <xf numFmtId="167" fontId="91" fillId="2" borderId="0" xfId="0" applyNumberFormat="1" applyFont="1" applyFill="1" applyBorder="1" applyAlignment="1" applyProtection="1">
      <alignment horizontal="left" wrapText="1" indent="4"/>
    </xf>
    <xf numFmtId="164" fontId="98" fillId="2" borderId="0" xfId="0" applyNumberFormat="1" applyFont="1" applyFill="1" applyBorder="1" applyAlignment="1" applyProtection="1">
      <alignment horizontal="left" wrapText="1"/>
    </xf>
    <xf numFmtId="164" fontId="98" fillId="0" borderId="0" xfId="0" applyNumberFormat="1" applyFont="1" applyFill="1" applyBorder="1" applyAlignment="1" applyProtection="1">
      <alignment horizontal="left" vertical="center" wrapText="1"/>
    </xf>
    <xf numFmtId="167" fontId="91" fillId="2" borderId="0" xfId="0" applyNumberFormat="1" applyFont="1" applyFill="1" applyBorder="1" applyAlignment="1" applyProtection="1">
      <alignment horizontal="left" wrapText="1" indent="2"/>
    </xf>
    <xf numFmtId="0" fontId="91" fillId="0" borderId="0" xfId="0" applyNumberFormat="1" applyFont="1" applyFill="1" applyBorder="1" applyAlignment="1" applyProtection="1">
      <alignment horizontal="left" vertical="center" wrapText="1" indent="2"/>
    </xf>
    <xf numFmtId="167" fontId="91" fillId="2" borderId="0" xfId="0" applyNumberFormat="1" applyFont="1" applyFill="1" applyBorder="1" applyAlignment="1" applyProtection="1">
      <alignment horizontal="left" vertical="center" wrapText="1" indent="2"/>
    </xf>
    <xf numFmtId="164" fontId="12" fillId="9" borderId="0" xfId="0" applyFont="1" applyFill="1" applyProtection="1"/>
    <xf numFmtId="1" fontId="51" fillId="7" borderId="40" xfId="0" applyNumberFormat="1" applyFont="1" applyFill="1" applyBorder="1" applyAlignment="1" applyProtection="1">
      <alignment horizontal="right" vertical="center" wrapText="1"/>
    </xf>
    <xf numFmtId="164" fontId="0" fillId="2" borderId="0" xfId="0" applyFill="1" applyBorder="1" applyAlignment="1">
      <alignment vertical="top"/>
    </xf>
    <xf numFmtId="0" fontId="44" fillId="17" borderId="0" xfId="0" applyNumberFormat="1" applyFont="1" applyFill="1" applyBorder="1" applyAlignment="1" applyProtection="1">
      <alignment horizontal="center" vertical="top"/>
    </xf>
    <xf numFmtId="0" fontId="44" fillId="17" borderId="0" xfId="0" applyNumberFormat="1" applyFont="1" applyFill="1" applyBorder="1" applyAlignment="1" applyProtection="1">
      <alignment horizontal="left" vertical="top" wrapText="1"/>
    </xf>
    <xf numFmtId="169" fontId="44" fillId="17" borderId="0" xfId="0" applyNumberFormat="1" applyFont="1" applyFill="1" applyBorder="1" applyAlignment="1" applyProtection="1">
      <alignment horizontal="center" vertical="top" wrapText="1"/>
    </xf>
    <xf numFmtId="164" fontId="32" fillId="2" borderId="21" xfId="0" applyFont="1" applyFill="1" applyBorder="1" applyAlignment="1" applyProtection="1">
      <alignment vertical="top"/>
    </xf>
    <xf numFmtId="164" fontId="0" fillId="7" borderId="17" xfId="0" applyFill="1" applyBorder="1" applyAlignment="1" applyProtection="1">
      <alignment vertical="top"/>
    </xf>
    <xf numFmtId="164" fontId="0" fillId="7" borderId="7" xfId="0" applyFill="1" applyBorder="1" applyAlignment="1" applyProtection="1">
      <alignment vertical="top"/>
    </xf>
    <xf numFmtId="164" fontId="0" fillId="0" borderId="0" xfId="0" applyAlignment="1">
      <alignment vertical="top"/>
    </xf>
    <xf numFmtId="166" fontId="12" fillId="13" borderId="0" xfId="4" applyNumberFormat="1" applyFont="1" applyFill="1" applyBorder="1" applyAlignment="1" applyProtection="1">
      <alignment horizontal="center" vertical="top"/>
    </xf>
    <xf numFmtId="1" fontId="12" fillId="9" borderId="0" xfId="0" applyNumberFormat="1" applyFont="1" applyFill="1" applyBorder="1" applyAlignment="1" applyProtection="1">
      <alignment horizontal="center" vertical="top"/>
    </xf>
    <xf numFmtId="164" fontId="72" fillId="9" borderId="0" xfId="0" applyFont="1" applyFill="1" applyAlignment="1">
      <alignment horizontal="center" vertical="top"/>
    </xf>
    <xf numFmtId="164" fontId="0" fillId="12" borderId="0" xfId="0" applyFill="1" applyBorder="1" applyAlignment="1">
      <alignment vertical="top"/>
    </xf>
    <xf numFmtId="0" fontId="39" fillId="12" borderId="0" xfId="1" applyFont="1" applyFill="1" applyBorder="1" applyAlignment="1" applyProtection="1">
      <alignment horizontal="left" vertical="top"/>
    </xf>
    <xf numFmtId="164" fontId="35" fillId="12" borderId="0" xfId="0" applyFont="1" applyFill="1" applyBorder="1" applyAlignment="1" applyProtection="1">
      <alignment horizontal="center" vertical="top"/>
    </xf>
    <xf numFmtId="0" fontId="44" fillId="17" borderId="0" xfId="0" applyNumberFormat="1" applyFont="1" applyFill="1" applyBorder="1" applyAlignment="1" applyProtection="1">
      <alignment horizontal="center" vertical="top" wrapText="1"/>
    </xf>
    <xf numFmtId="0" fontId="44" fillId="17" borderId="39" xfId="0" applyNumberFormat="1" applyFont="1" applyFill="1" applyBorder="1" applyAlignment="1" applyProtection="1">
      <alignment horizontal="center" vertical="top" wrapText="1"/>
    </xf>
    <xf numFmtId="0" fontId="127" fillId="17" borderId="0" xfId="0" applyNumberFormat="1" applyFont="1" applyFill="1" applyBorder="1" applyAlignment="1" applyProtection="1">
      <alignment horizontal="left" indent="2"/>
    </xf>
    <xf numFmtId="164" fontId="127" fillId="7" borderId="0" xfId="0" applyFont="1" applyFill="1" applyAlignment="1">
      <alignment horizontal="left" indent="2"/>
    </xf>
    <xf numFmtId="0" fontId="55" fillId="17" borderId="0" xfId="0" applyNumberFormat="1" applyFont="1" applyFill="1" applyBorder="1" applyAlignment="1" applyProtection="1">
      <alignment horizontal="center"/>
    </xf>
    <xf numFmtId="0" fontId="127" fillId="17" borderId="0" xfId="0" applyNumberFormat="1" applyFont="1" applyFill="1" applyBorder="1" applyAlignment="1" applyProtection="1">
      <alignment horizontal="center" wrapText="1"/>
    </xf>
    <xf numFmtId="168" fontId="53" fillId="7" borderId="0" xfId="0" applyNumberFormat="1" applyFont="1" applyFill="1" applyBorder="1" applyAlignment="1" applyProtection="1">
      <alignment horizontal="right" wrapText="1"/>
    </xf>
    <xf numFmtId="170" fontId="127" fillId="7" borderId="0" xfId="0" applyNumberFormat="1" applyFont="1" applyFill="1" applyBorder="1" applyAlignment="1" applyProtection="1">
      <alignment vertical="center" wrapText="1"/>
    </xf>
    <xf numFmtId="166" fontId="53" fillId="7" borderId="0" xfId="0" applyNumberFormat="1" applyFont="1" applyFill="1" applyBorder="1" applyAlignment="1" applyProtection="1">
      <alignment vertical="center"/>
      <protection locked="0"/>
    </xf>
    <xf numFmtId="166" fontId="53" fillId="7" borderId="0" xfId="0" applyNumberFormat="1" applyFont="1" applyFill="1" applyBorder="1" applyAlignment="1" applyProtection="1">
      <alignment vertical="center"/>
    </xf>
    <xf numFmtId="14" fontId="53" fillId="7" borderId="0" xfId="0" applyNumberFormat="1" applyFont="1" applyFill="1" applyBorder="1" applyAlignment="1" applyProtection="1">
      <alignment horizontal="left" vertical="center" wrapText="1" indent="2"/>
    </xf>
    <xf numFmtId="0" fontId="44" fillId="17" borderId="0" xfId="0" applyNumberFormat="1" applyFont="1" applyFill="1" applyBorder="1" applyAlignment="1" applyProtection="1">
      <alignment horizontal="left"/>
    </xf>
    <xf numFmtId="166" fontId="91" fillId="2" borderId="12" xfId="0" applyNumberFormat="1" applyFont="1" applyFill="1" applyBorder="1" applyAlignment="1" applyProtection="1">
      <alignment horizontal="right" vertical="center" wrapText="1"/>
    </xf>
    <xf numFmtId="164" fontId="12" fillId="11" borderId="0" xfId="4" applyFont="1" applyFill="1" applyBorder="1" applyAlignment="1" applyProtection="1">
      <alignment horizontal="center" vertical="center"/>
    </xf>
    <xf numFmtId="166" fontId="91" fillId="2" borderId="2" xfId="0" applyNumberFormat="1" applyFont="1" applyFill="1" applyBorder="1" applyAlignment="1" applyProtection="1">
      <alignment horizontal="right" vertical="center"/>
    </xf>
    <xf numFmtId="0" fontId="91" fillId="2" borderId="41" xfId="0" applyNumberFormat="1" applyFont="1" applyFill="1" applyBorder="1" applyAlignment="1" applyProtection="1">
      <alignment horizontal="center" vertical="center" wrapText="1"/>
      <protection locked="0"/>
    </xf>
    <xf numFmtId="168" fontId="106" fillId="0" borderId="2" xfId="0" applyNumberFormat="1" applyFont="1" applyFill="1" applyBorder="1" applyAlignment="1" applyProtection="1">
      <alignment horizontal="center" vertical="center" wrapText="1"/>
    </xf>
    <xf numFmtId="164" fontId="0" fillId="2" borderId="0" xfId="0" applyFill="1" applyBorder="1" applyAlignment="1">
      <alignment horizontal="center" vertical="center"/>
    </xf>
    <xf numFmtId="168" fontId="91" fillId="0" borderId="2" xfId="0" applyNumberFormat="1" applyFont="1" applyFill="1" applyBorder="1" applyAlignment="1" applyProtection="1">
      <alignment horizontal="center" vertical="center" wrapText="1"/>
    </xf>
    <xf numFmtId="166" fontId="91" fillId="5" borderId="2" xfId="0" applyNumberFormat="1" applyFont="1" applyFill="1" applyBorder="1" applyAlignment="1" applyProtection="1">
      <alignment horizontal="center" vertical="center"/>
    </xf>
    <xf numFmtId="164" fontId="32" fillId="2" borderId="21" xfId="0" applyFont="1" applyFill="1" applyBorder="1" applyAlignment="1" applyProtection="1">
      <alignment horizontal="center" vertical="center"/>
    </xf>
    <xf numFmtId="169" fontId="11" fillId="0" borderId="17" xfId="0" applyNumberFormat="1" applyFont="1" applyFill="1" applyBorder="1" applyAlignment="1" applyProtection="1">
      <alignment horizontal="center" vertical="center" wrapText="1"/>
    </xf>
    <xf numFmtId="169" fontId="11" fillId="0" borderId="7" xfId="0" applyNumberFormat="1" applyFont="1" applyFill="1" applyBorder="1" applyAlignment="1" applyProtection="1">
      <alignment horizontal="center" vertical="center" wrapText="1"/>
    </xf>
    <xf numFmtId="1" fontId="12"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28" fillId="2" borderId="0" xfId="0" applyFont="1" applyFill="1" applyAlignment="1">
      <alignment horizontal="center" vertical="top"/>
    </xf>
    <xf numFmtId="164" fontId="101" fillId="35" borderId="0" xfId="0" applyFont="1" applyFill="1" applyAlignment="1">
      <alignment horizontal="center" vertical="center" wrapText="1"/>
    </xf>
    <xf numFmtId="164" fontId="80" fillId="35" borderId="0" xfId="0" applyFont="1" applyFill="1" applyAlignment="1">
      <alignment horizontal="center" vertical="center"/>
    </xf>
    <xf numFmtId="164" fontId="0" fillId="35" borderId="0" xfId="0" applyFont="1" applyFill="1" applyAlignment="1">
      <alignment horizontal="center" vertical="center"/>
    </xf>
    <xf numFmtId="164" fontId="0" fillId="35" borderId="0" xfId="0" applyFill="1" applyAlignment="1">
      <alignment horizontal="center" vertical="center"/>
    </xf>
    <xf numFmtId="164" fontId="0" fillId="35" borderId="0" xfId="0" applyFill="1"/>
    <xf numFmtId="164" fontId="103" fillId="35" borderId="0" xfId="0" applyFont="1" applyFill="1"/>
    <xf numFmtId="164" fontId="104" fillId="2" borderId="0" xfId="0" applyFont="1" applyFill="1" applyBorder="1" applyAlignment="1">
      <alignment horizontal="center" vertical="top" wrapText="1"/>
    </xf>
    <xf numFmtId="164" fontId="0" fillId="7" borderId="42" xfId="0" applyFill="1" applyBorder="1"/>
    <xf numFmtId="164" fontId="0" fillId="35" borderId="0" xfId="0" applyFont="1" applyFill="1" applyAlignment="1">
      <alignment horizontal="left" vertical="center"/>
    </xf>
    <xf numFmtId="164" fontId="81" fillId="35" borderId="0" xfId="0" applyFont="1" applyFill="1" applyAlignment="1">
      <alignment horizontal="center" vertical="center"/>
    </xf>
    <xf numFmtId="164" fontId="80" fillId="35" borderId="0" xfId="0" applyFont="1" applyFill="1" applyAlignment="1">
      <alignment horizontal="center" vertical="center" wrapText="1"/>
    </xf>
    <xf numFmtId="164" fontId="103" fillId="35" borderId="0" xfId="0" applyFont="1" applyFill="1" applyAlignment="1">
      <alignment horizontal="center" vertical="center"/>
    </xf>
    <xf numFmtId="164" fontId="0" fillId="35" borderId="0" xfId="0" applyFont="1" applyFill="1" applyBorder="1"/>
    <xf numFmtId="164" fontId="103" fillId="35" borderId="0" xfId="0" applyFont="1" applyFill="1" applyAlignment="1">
      <alignment horizontal="center" vertical="center" wrapText="1"/>
    </xf>
    <xf numFmtId="164" fontId="101" fillId="35" borderId="0" xfId="0" applyFont="1" applyFill="1" applyAlignment="1">
      <alignment horizontal="center" vertical="center"/>
    </xf>
    <xf numFmtId="164" fontId="80" fillId="35" borderId="32" xfId="0" applyFont="1" applyFill="1" applyBorder="1" applyAlignment="1">
      <alignment horizontal="center" vertical="center" wrapText="1"/>
    </xf>
    <xf numFmtId="164" fontId="0" fillId="35" borderId="32" xfId="0" applyFill="1" applyBorder="1"/>
    <xf numFmtId="164" fontId="0" fillId="35" borderId="32" xfId="0" applyFill="1" applyBorder="1" applyAlignment="1">
      <alignment horizontal="center" vertical="center"/>
    </xf>
    <xf numFmtId="164" fontId="0" fillId="35" borderId="33" xfId="0" applyFill="1" applyBorder="1"/>
    <xf numFmtId="164" fontId="80" fillId="35" borderId="35" xfId="0" applyFont="1" applyFill="1" applyBorder="1" applyAlignment="1">
      <alignment horizontal="center" vertical="center" wrapText="1"/>
    </xf>
    <xf numFmtId="164" fontId="0" fillId="35" borderId="35" xfId="0" applyFill="1" applyBorder="1" applyAlignment="1">
      <alignment horizontal="center" vertical="center"/>
    </xf>
    <xf numFmtId="0" fontId="113" fillId="32" borderId="23" xfId="1" applyFont="1" applyFill="1" applyBorder="1" applyAlignment="1" applyProtection="1">
      <alignment horizontal="center" vertical="center"/>
    </xf>
    <xf numFmtId="0" fontId="99" fillId="32" borderId="23" xfId="1" applyFont="1" applyFill="1" applyBorder="1" applyAlignment="1" applyProtection="1">
      <alignment horizontal="center" vertical="center"/>
    </xf>
    <xf numFmtId="0" fontId="116" fillId="2" borderId="25" xfId="0" applyNumberFormat="1" applyFont="1" applyFill="1" applyBorder="1" applyAlignment="1" applyProtection="1">
      <alignment horizontal="center" vertical="center" wrapText="1"/>
    </xf>
    <xf numFmtId="0" fontId="117" fillId="2" borderId="25" xfId="1" applyNumberFormat="1" applyFont="1" applyFill="1" applyBorder="1" applyAlignment="1" applyProtection="1">
      <alignment horizontal="center" vertical="center" wrapText="1"/>
    </xf>
    <xf numFmtId="164" fontId="91" fillId="0" borderId="25" xfId="0" applyNumberFormat="1" applyFont="1" applyBorder="1" applyAlignment="1" applyProtection="1">
      <alignment horizontal="center" vertical="center" wrapText="1"/>
    </xf>
    <xf numFmtId="164" fontId="98" fillId="2" borderId="23" xfId="0" applyNumberFormat="1" applyFont="1" applyFill="1" applyBorder="1" applyAlignment="1" applyProtection="1">
      <alignment horizontal="center" vertical="center" wrapText="1"/>
    </xf>
    <xf numFmtId="167" fontId="91" fillId="5" borderId="0" xfId="4" quotePrefix="1" applyNumberFormat="1" applyFont="1" applyFill="1" applyBorder="1" applyAlignment="1" applyProtection="1">
      <alignment horizontal="left" vertical="center" indent="2"/>
    </xf>
    <xf numFmtId="0" fontId="91" fillId="2" borderId="0" xfId="1" applyNumberFormat="1" applyFont="1" applyFill="1" applyBorder="1" applyAlignment="1" applyProtection="1">
      <alignment horizontal="left" vertical="center" wrapText="1"/>
    </xf>
    <xf numFmtId="164" fontId="91" fillId="0" borderId="0" xfId="0" applyFont="1" applyBorder="1" applyAlignment="1" applyProtection="1">
      <alignment horizontal="left" wrapText="1"/>
    </xf>
    <xf numFmtId="0" fontId="91" fillId="2" borderId="0" xfId="1" applyNumberFormat="1" applyFont="1" applyFill="1" applyBorder="1" applyAlignment="1" applyProtection="1">
      <alignment horizontal="left" vertical="center" wrapText="1"/>
      <protection locked="0"/>
    </xf>
    <xf numFmtId="0" fontId="91" fillId="0" borderId="0" xfId="1" applyNumberFormat="1" applyFont="1" applyFill="1" applyBorder="1" applyAlignment="1" applyProtection="1">
      <alignment horizontal="left" vertical="center" wrapText="1"/>
    </xf>
    <xf numFmtId="164" fontId="91" fillId="0" borderId="0" xfId="0" applyFont="1" applyFill="1" applyBorder="1" applyAlignment="1" applyProtection="1">
      <alignment horizontal="left" indent="1"/>
    </xf>
    <xf numFmtId="164" fontId="91" fillId="0" borderId="0" xfId="0" quotePrefix="1" applyFont="1" applyFill="1" applyBorder="1" applyAlignment="1" applyProtection="1">
      <alignment horizontal="left" indent="2"/>
    </xf>
    <xf numFmtId="164" fontId="91" fillId="0" borderId="0" xfId="0" quotePrefix="1" applyFont="1" applyFill="1" applyBorder="1" applyAlignment="1" applyProtection="1">
      <alignment horizontal="left" vertical="center" indent="2"/>
    </xf>
    <xf numFmtId="164" fontId="91" fillId="0" borderId="0" xfId="0" applyFont="1" applyAlignment="1">
      <alignment horizontal="left" indent="2"/>
    </xf>
    <xf numFmtId="0" fontId="98" fillId="0" borderId="0" xfId="0" applyNumberFormat="1" applyFont="1" applyFill="1" applyBorder="1" applyAlignment="1" applyProtection="1">
      <alignment horizontal="left" vertical="center" wrapText="1" indent="18"/>
    </xf>
    <xf numFmtId="167" fontId="91" fillId="0" borderId="0" xfId="0" applyNumberFormat="1" applyFont="1" applyBorder="1" applyAlignment="1" applyProtection="1">
      <alignment horizontal="left" vertical="center" wrapText="1" indent="20"/>
    </xf>
    <xf numFmtId="0" fontId="98" fillId="0" borderId="0" xfId="0" applyNumberFormat="1" applyFont="1" applyBorder="1" applyAlignment="1" applyProtection="1">
      <alignment horizontal="left" vertical="center" wrapText="1" indent="18"/>
    </xf>
    <xf numFmtId="0" fontId="91" fillId="0" borderId="0" xfId="0" quotePrefix="1" applyNumberFormat="1" applyFont="1" applyBorder="1" applyAlignment="1" applyProtection="1">
      <alignment horizontal="left" vertical="center" wrapText="1" indent="2"/>
    </xf>
    <xf numFmtId="164" fontId="91" fillId="2" borderId="0" xfId="0" applyNumberFormat="1" applyFont="1" applyFill="1" applyBorder="1" applyAlignment="1" applyProtection="1">
      <alignment horizontal="left" wrapText="1" indent="1"/>
    </xf>
    <xf numFmtId="164" fontId="91" fillId="2" borderId="0" xfId="0" applyNumberFormat="1" applyFont="1" applyFill="1" applyBorder="1" applyAlignment="1" applyProtection="1">
      <alignment horizontal="left" vertical="top" wrapText="1" indent="1"/>
    </xf>
    <xf numFmtId="164" fontId="91" fillId="2" borderId="0" xfId="0" quotePrefix="1" applyNumberFormat="1" applyFont="1" applyFill="1" applyBorder="1" applyAlignment="1" applyProtection="1">
      <alignment horizontal="left" wrapText="1" indent="2"/>
    </xf>
    <xf numFmtId="164" fontId="91" fillId="2" borderId="0" xfId="0" quotePrefix="1" applyNumberFormat="1" applyFont="1" applyFill="1" applyBorder="1" applyAlignment="1" applyProtection="1">
      <alignment horizontal="left" vertical="center" wrapText="1" indent="2"/>
    </xf>
    <xf numFmtId="164" fontId="91" fillId="2" borderId="0" xfId="0" quotePrefix="1" applyNumberFormat="1" applyFont="1" applyFill="1" applyBorder="1" applyAlignment="1" applyProtection="1">
      <alignment horizontal="left" vertical="top" wrapText="1" indent="2"/>
    </xf>
    <xf numFmtId="164" fontId="91" fillId="0" borderId="0" xfId="0" quotePrefix="1" applyNumberFormat="1" applyFont="1" applyBorder="1" applyAlignment="1" applyProtection="1">
      <alignment horizontal="left" vertical="center" wrapText="1" indent="2"/>
    </xf>
    <xf numFmtId="164" fontId="91" fillId="0" borderId="0" xfId="0" quotePrefix="1" applyNumberFormat="1" applyFont="1" applyBorder="1" applyAlignment="1" applyProtection="1">
      <alignment horizontal="left" vertical="center" wrapText="1" indent="3"/>
    </xf>
    <xf numFmtId="164" fontId="91" fillId="0" borderId="0" xfId="0" quotePrefix="1" applyNumberFormat="1" applyFont="1" applyFill="1" applyBorder="1" applyAlignment="1" applyProtection="1">
      <alignment horizontal="left" vertical="center" wrapText="1" indent="3"/>
    </xf>
    <xf numFmtId="164" fontId="91" fillId="0" borderId="0" xfId="1" applyNumberFormat="1" applyFont="1" applyFill="1" applyBorder="1" applyAlignment="1" applyProtection="1">
      <alignment horizontal="left" vertical="center" wrapText="1" indent="3"/>
    </xf>
    <xf numFmtId="167" fontId="91" fillId="0" borderId="0" xfId="0" applyNumberFormat="1" applyFont="1" applyFill="1" applyBorder="1" applyAlignment="1" applyProtection="1">
      <alignment horizontal="left" vertical="center" wrapText="1" indent="4"/>
    </xf>
    <xf numFmtId="0" fontId="91" fillId="2" borderId="0" xfId="1" applyNumberFormat="1" applyFont="1" applyFill="1" applyBorder="1" applyAlignment="1" applyProtection="1">
      <alignment horizontal="left" vertical="center" wrapText="1" indent="2"/>
    </xf>
    <xf numFmtId="0" fontId="91" fillId="0" borderId="0" xfId="1" applyNumberFormat="1" applyFont="1" applyFill="1" applyBorder="1" applyAlignment="1" applyProtection="1">
      <alignment horizontal="left" vertical="center" wrapText="1" indent="2"/>
    </xf>
    <xf numFmtId="164" fontId="91" fillId="0" borderId="0" xfId="0" applyFont="1" applyBorder="1" applyAlignment="1" applyProtection="1">
      <alignment horizontal="left" wrapText="1" indent="2"/>
    </xf>
    <xf numFmtId="164" fontId="91" fillId="2" borderId="0" xfId="1" applyNumberFormat="1" applyFont="1" applyFill="1" applyBorder="1" applyAlignment="1" applyProtection="1">
      <alignment horizontal="left" vertical="center" wrapText="1" indent="2"/>
    </xf>
    <xf numFmtId="164" fontId="91" fillId="0" borderId="0" xfId="0" applyFont="1" applyFill="1" applyBorder="1" applyAlignment="1" applyProtection="1">
      <alignment horizontal="left" indent="2"/>
    </xf>
    <xf numFmtId="167" fontId="91" fillId="0" borderId="0" xfId="0" quotePrefix="1" applyNumberFormat="1" applyFont="1" applyBorder="1" applyAlignment="1" applyProtection="1">
      <alignment horizontal="left" vertical="center" wrapText="1" indent="3"/>
    </xf>
    <xf numFmtId="167" fontId="91" fillId="5" borderId="0" xfId="4" quotePrefix="1" applyNumberFormat="1" applyFont="1" applyFill="1" applyBorder="1" applyAlignment="1" applyProtection="1">
      <alignment horizontal="left" vertical="center"/>
    </xf>
    <xf numFmtId="166" fontId="91" fillId="0" borderId="2" xfId="0" applyNumberFormat="1" applyFont="1" applyFill="1" applyBorder="1" applyAlignment="1" applyProtection="1">
      <alignment horizontal="right"/>
    </xf>
    <xf numFmtId="0" fontId="98" fillId="0" borderId="0" xfId="0" applyNumberFormat="1" applyFont="1" applyFill="1" applyBorder="1" applyAlignment="1" applyProtection="1">
      <alignment horizontal="center" wrapText="1"/>
    </xf>
    <xf numFmtId="0" fontId="91" fillId="0" borderId="2" xfId="0" applyNumberFormat="1" applyFont="1" applyFill="1" applyBorder="1" applyAlignment="1" applyProtection="1">
      <alignment horizontal="center" vertical="center" wrapText="1"/>
    </xf>
    <xf numFmtId="166" fontId="91" fillId="5" borderId="2" xfId="0" applyNumberFormat="1" applyFont="1" applyFill="1" applyBorder="1" applyAlignment="1" applyProtection="1">
      <alignment horizontal="center" vertical="center"/>
      <protection locked="0"/>
    </xf>
    <xf numFmtId="0" fontId="91" fillId="0" borderId="2" xfId="0" applyNumberFormat="1" applyFont="1" applyFill="1" applyBorder="1" applyAlignment="1" applyProtection="1">
      <alignment horizontal="right" vertical="center" wrapText="1"/>
    </xf>
    <xf numFmtId="166" fontId="91" fillId="2" borderId="2" xfId="0" applyNumberFormat="1" applyFont="1" applyFill="1" applyBorder="1" applyAlignment="1" applyProtection="1">
      <alignment horizontal="right" vertical="center"/>
      <protection locked="0"/>
    </xf>
    <xf numFmtId="168" fontId="91" fillId="0" borderId="2" xfId="0" applyNumberFormat="1" applyFont="1" applyFill="1" applyBorder="1" applyAlignment="1" applyProtection="1">
      <alignment horizontal="right" vertical="center" wrapText="1"/>
    </xf>
    <xf numFmtId="164" fontId="107" fillId="0" borderId="0" xfId="0" applyFont="1" applyBorder="1" applyAlignment="1">
      <alignment horizontal="right" vertical="center"/>
    </xf>
    <xf numFmtId="164" fontId="109" fillId="0" borderId="0" xfId="0" applyFont="1" applyBorder="1" applyAlignment="1">
      <alignment horizontal="right" vertical="center"/>
    </xf>
    <xf numFmtId="166" fontId="98" fillId="6" borderId="2" xfId="0" applyNumberFormat="1" applyFont="1" applyFill="1" applyBorder="1" applyAlignment="1" applyProtection="1">
      <alignment horizontal="right" vertical="center"/>
    </xf>
    <xf numFmtId="166" fontId="91" fillId="5" borderId="2" xfId="0" applyNumberFormat="1" applyFont="1" applyFill="1" applyBorder="1" applyAlignment="1" applyProtection="1">
      <alignment horizontal="right" vertical="center"/>
    </xf>
    <xf numFmtId="164" fontId="91" fillId="2" borderId="0" xfId="0" applyNumberFormat="1" applyFont="1" applyFill="1" applyBorder="1" applyAlignment="1" applyProtection="1">
      <alignment horizontal="left" vertical="center" wrapText="1" indent="6"/>
    </xf>
    <xf numFmtId="164" fontId="91" fillId="2" borderId="0" xfId="0" applyNumberFormat="1" applyFont="1" applyFill="1" applyBorder="1" applyAlignment="1" applyProtection="1">
      <alignment horizontal="left" vertical="center" wrapText="1" indent="7"/>
    </xf>
    <xf numFmtId="164" fontId="32" fillId="0" borderId="21" xfId="0" applyFont="1" applyFill="1" applyBorder="1" applyProtection="1"/>
    <xf numFmtId="164" fontId="91" fillId="0" borderId="0" xfId="0" quotePrefix="1" applyNumberFormat="1" applyFont="1" applyBorder="1" applyAlignment="1" applyProtection="1">
      <alignment horizontal="left" vertical="center" wrapText="1" indent="4"/>
    </xf>
    <xf numFmtId="164" fontId="91" fillId="0" borderId="0" xfId="1" applyNumberFormat="1" applyFont="1" applyFill="1" applyBorder="1" applyAlignment="1" applyProtection="1">
      <alignment horizontal="left" vertical="center" wrapText="1" indent="2"/>
    </xf>
    <xf numFmtId="164" fontId="12" fillId="5" borderId="0" xfId="4" applyFont="1" applyFill="1" applyBorder="1" applyAlignment="1" applyProtection="1">
      <alignment horizontal="left" vertical="center" indent="2"/>
    </xf>
    <xf numFmtId="168" fontId="106" fillId="0" borderId="13" xfId="0" applyNumberFormat="1" applyFont="1" applyFill="1" applyBorder="1" applyAlignment="1" applyProtection="1">
      <alignment horizontal="right" vertical="center" wrapText="1"/>
    </xf>
    <xf numFmtId="0" fontId="91" fillId="32" borderId="0" xfId="1" applyNumberFormat="1" applyFont="1" applyFill="1" applyBorder="1" applyAlignment="1" applyProtection="1">
      <alignment horizontal="left" vertical="center" wrapText="1" indent="2"/>
    </xf>
    <xf numFmtId="0" fontId="91" fillId="36" borderId="0" xfId="1" applyNumberFormat="1" applyFont="1" applyFill="1" applyBorder="1" applyAlignment="1" applyProtection="1">
      <alignment horizontal="left" vertical="center" wrapText="1" indent="3"/>
    </xf>
    <xf numFmtId="0" fontId="91" fillId="37" borderId="0" xfId="1" applyNumberFormat="1" applyFont="1" applyFill="1" applyBorder="1" applyAlignment="1" applyProtection="1">
      <alignment horizontal="left" vertical="center" wrapText="1" indent="4"/>
      <protection locked="0"/>
    </xf>
    <xf numFmtId="164" fontId="91" fillId="37" borderId="0" xfId="1" applyNumberFormat="1" applyFont="1" applyFill="1" applyBorder="1" applyAlignment="1" applyProtection="1">
      <alignment horizontal="left" vertical="center" wrapText="1" indent="5"/>
    </xf>
    <xf numFmtId="0" fontId="91" fillId="37" borderId="0" xfId="1" applyNumberFormat="1" applyFont="1" applyFill="1" applyBorder="1" applyAlignment="1" applyProtection="1">
      <alignment horizontal="left" vertical="center" wrapText="1" indent="5"/>
    </xf>
    <xf numFmtId="0" fontId="91" fillId="37" borderId="0" xfId="1" applyNumberFormat="1" applyFont="1" applyFill="1" applyBorder="1" applyAlignment="1" applyProtection="1">
      <alignment horizontal="left" vertical="center" wrapText="1" indent="4"/>
    </xf>
    <xf numFmtId="164" fontId="91" fillId="37" borderId="0" xfId="1" applyNumberFormat="1" applyFont="1" applyFill="1" applyBorder="1" applyAlignment="1" applyProtection="1">
      <alignment horizontal="left" vertical="center" wrapText="1" indent="4"/>
    </xf>
    <xf numFmtId="167" fontId="91" fillId="2" borderId="0" xfId="1" applyNumberFormat="1" applyFont="1" applyFill="1" applyBorder="1" applyAlignment="1" applyProtection="1">
      <alignment horizontal="left" vertical="center" wrapText="1" indent="3"/>
    </xf>
    <xf numFmtId="167" fontId="91" fillId="2" borderId="0" xfId="1" quotePrefix="1" applyNumberFormat="1" applyFont="1" applyFill="1" applyBorder="1" applyAlignment="1" applyProtection="1">
      <alignment horizontal="left" vertical="center" wrapText="1" indent="3"/>
    </xf>
    <xf numFmtId="167" fontId="91" fillId="2" borderId="0" xfId="1" quotePrefix="1" applyNumberFormat="1" applyFont="1" applyFill="1" applyBorder="1" applyAlignment="1" applyProtection="1">
      <alignment horizontal="left" vertical="center" wrapText="1" indent="3"/>
      <protection locked="0"/>
    </xf>
    <xf numFmtId="167" fontId="91" fillId="0" borderId="0" xfId="0" applyNumberFormat="1" applyFont="1" applyBorder="1" applyAlignment="1" applyProtection="1">
      <alignment horizontal="left" vertical="center" wrapText="1" indent="3"/>
    </xf>
    <xf numFmtId="167" fontId="91" fillId="5" borderId="0" xfId="4" applyNumberFormat="1" applyFont="1" applyFill="1" applyBorder="1" applyAlignment="1" applyProtection="1">
      <alignment horizontal="left" vertical="center"/>
      <protection locked="0"/>
    </xf>
    <xf numFmtId="168" fontId="106" fillId="0" borderId="2" xfId="0" applyNumberFormat="1" applyFont="1" applyFill="1" applyBorder="1" applyAlignment="1" applyProtection="1">
      <alignment horizontal="right" wrapText="1"/>
    </xf>
    <xf numFmtId="166" fontId="91" fillId="5" borderId="13" xfId="0" applyNumberFormat="1" applyFont="1" applyFill="1" applyBorder="1" applyAlignment="1" applyProtection="1">
      <alignment horizontal="right" vertical="center"/>
    </xf>
    <xf numFmtId="164" fontId="91" fillId="0" borderId="0" xfId="0" applyNumberFormat="1" applyFont="1" applyBorder="1" applyAlignment="1" applyProtection="1">
      <alignment horizontal="left" vertical="center" wrapText="1" indent="4"/>
      <protection locked="0"/>
    </xf>
    <xf numFmtId="164" fontId="35" fillId="2" borderId="0" xfId="0" applyFont="1" applyFill="1"/>
    <xf numFmtId="167" fontId="35" fillId="2" borderId="0" xfId="0" applyNumberFormat="1" applyFont="1" applyFill="1"/>
    <xf numFmtId="167" fontId="35" fillId="2" borderId="0" xfId="0" applyNumberFormat="1" applyFont="1" applyFill="1" applyAlignment="1">
      <alignment horizontal="right"/>
    </xf>
    <xf numFmtId="164" fontId="130" fillId="2" borderId="46" xfId="0" applyFont="1" applyFill="1" applyBorder="1" applyAlignment="1">
      <alignment horizontal="center"/>
    </xf>
    <xf numFmtId="164" fontId="131" fillId="2" borderId="0" xfId="0" applyFont="1" applyFill="1" applyAlignment="1">
      <alignment vertical="top"/>
    </xf>
    <xf numFmtId="164" fontId="35" fillId="2" borderId="0" xfId="0" applyFont="1" applyFill="1" applyAlignment="1">
      <alignment vertical="top"/>
    </xf>
    <xf numFmtId="164" fontId="35" fillId="2" borderId="0" xfId="0" applyFont="1" applyFill="1" applyAlignment="1">
      <alignment horizontal="left" vertical="center" wrapText="1"/>
    </xf>
    <xf numFmtId="167" fontId="91" fillId="0" borderId="0" xfId="0" applyNumberFormat="1" applyFont="1" applyBorder="1" applyAlignment="1" applyProtection="1">
      <alignment horizontal="left" vertical="center" wrapText="1" indent="4"/>
    </xf>
    <xf numFmtId="164" fontId="91" fillId="2" borderId="0" xfId="0" applyNumberFormat="1" applyFont="1" applyFill="1" applyBorder="1" applyAlignment="1" applyProtection="1">
      <alignment horizontal="left" vertical="center" wrapText="1"/>
      <protection locked="0"/>
    </xf>
    <xf numFmtId="0" fontId="91" fillId="0" borderId="30" xfId="0" applyNumberFormat="1" applyFont="1" applyFill="1" applyBorder="1" applyAlignment="1" applyProtection="1">
      <alignment horizontal="left" wrapText="1"/>
    </xf>
    <xf numFmtId="164" fontId="107" fillId="0" borderId="30" xfId="0" applyFont="1" applyFill="1" applyBorder="1" applyAlignment="1" applyProtection="1">
      <alignment horizontal="right"/>
    </xf>
    <xf numFmtId="0" fontId="127" fillId="17" borderId="0" xfId="0" applyNumberFormat="1" applyFont="1" applyFill="1" applyBorder="1" applyAlignment="1" applyProtection="1">
      <alignment horizontal="left" vertical="top"/>
    </xf>
    <xf numFmtId="0" fontId="132" fillId="32" borderId="36" xfId="1" applyFont="1" applyFill="1" applyBorder="1" applyAlignment="1" applyProtection="1">
      <alignment horizontal="center" vertical="center"/>
    </xf>
    <xf numFmtId="0" fontId="91"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91" fillId="0" borderId="0" xfId="0" applyNumberFormat="1" applyFont="1" applyBorder="1" applyAlignment="1" applyProtection="1">
      <alignment horizontal="left" vertical="center" wrapText="1" indent="1"/>
      <protection locked="0"/>
    </xf>
    <xf numFmtId="0" fontId="91" fillId="2" borderId="2" xfId="0" applyNumberFormat="1" applyFont="1" applyFill="1" applyBorder="1" applyAlignment="1" applyProtection="1">
      <alignment horizontal="left" vertical="center" wrapText="1" indent="1"/>
      <protection locked="0"/>
    </xf>
    <xf numFmtId="164" fontId="32" fillId="2" borderId="21" xfId="0" applyFont="1" applyFill="1" applyBorder="1" applyAlignment="1" applyProtection="1">
      <alignment horizontal="left" vertical="center" indent="1"/>
    </xf>
    <xf numFmtId="169" fontId="11" fillId="0" borderId="17" xfId="0" applyNumberFormat="1" applyFont="1" applyFill="1" applyBorder="1" applyAlignment="1" applyProtection="1">
      <alignment horizontal="left" vertical="center" wrapText="1" indent="1"/>
    </xf>
    <xf numFmtId="169" fontId="11" fillId="0" borderId="7" xfId="0" applyNumberFormat="1" applyFont="1" applyFill="1" applyBorder="1" applyAlignment="1" applyProtection="1">
      <alignment horizontal="left" vertical="center" wrapText="1" indent="1"/>
    </xf>
    <xf numFmtId="164" fontId="0" fillId="0" borderId="0" xfId="0" applyAlignment="1">
      <alignment horizontal="left" vertical="center" indent="1"/>
    </xf>
    <xf numFmtId="166" fontId="12" fillId="13" borderId="0" xfId="4" applyNumberFormat="1" applyFont="1" applyFill="1" applyBorder="1" applyAlignment="1" applyProtection="1">
      <alignment horizontal="left" vertical="center" indent="1"/>
    </xf>
    <xf numFmtId="166" fontId="12" fillId="11"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4" xfId="0" applyBorder="1"/>
    <xf numFmtId="166" fontId="91" fillId="2" borderId="2" xfId="0" applyNumberFormat="1" applyFont="1" applyFill="1" applyBorder="1" applyAlignment="1" applyProtection="1">
      <alignment horizontal="right"/>
    </xf>
    <xf numFmtId="164" fontId="91" fillId="0" borderId="0" xfId="0" quotePrefix="1" applyFont="1" applyAlignment="1">
      <alignment horizontal="left" vertical="center" indent="2"/>
    </xf>
    <xf numFmtId="0" fontId="91" fillId="2" borderId="0" xfId="0" quotePrefix="1" applyNumberFormat="1" applyFont="1" applyFill="1" applyBorder="1" applyAlignment="1" applyProtection="1">
      <alignment horizontal="left" vertical="center" wrapText="1" indent="2"/>
    </xf>
    <xf numFmtId="164" fontId="91" fillId="0" borderId="0" xfId="0" applyFont="1" applyAlignment="1">
      <alignment horizontal="left" vertical="center"/>
    </xf>
    <xf numFmtId="164" fontId="91" fillId="0" borderId="0" xfId="0" applyFont="1" applyAlignment="1">
      <alignment horizontal="left" vertical="center" indent="1"/>
    </xf>
    <xf numFmtId="164" fontId="91" fillId="0" borderId="0" xfId="0" quotePrefix="1" applyFont="1" applyAlignment="1">
      <alignment horizontal="left" vertical="center" indent="1"/>
    </xf>
    <xf numFmtId="0" fontId="91" fillId="2" borderId="0" xfId="0" applyNumberFormat="1" applyFont="1" applyFill="1" applyBorder="1" applyAlignment="1" applyProtection="1">
      <alignment horizontal="left" vertical="center" wrapText="1"/>
      <protection locked="0"/>
    </xf>
    <xf numFmtId="164" fontId="91" fillId="0" borderId="0" xfId="0" quotePrefix="1" applyFont="1" applyAlignment="1" applyProtection="1">
      <alignment horizontal="left" vertical="center" indent="1"/>
      <protection locked="0"/>
    </xf>
    <xf numFmtId="164" fontId="91" fillId="0" borderId="0" xfId="0" applyFont="1" applyAlignment="1" applyProtection="1">
      <alignment horizontal="left" vertical="center" indent="1"/>
      <protection locked="0"/>
    </xf>
    <xf numFmtId="0" fontId="91" fillId="2" borderId="0" xfId="0" applyNumberFormat="1" applyFont="1" applyFill="1" applyBorder="1" applyAlignment="1" applyProtection="1">
      <alignment horizontal="left" vertical="center" wrapText="1" indent="3"/>
      <protection locked="0"/>
    </xf>
    <xf numFmtId="164" fontId="91" fillId="0" borderId="0" xfId="0" applyFont="1" applyAlignment="1" applyProtection="1">
      <alignment horizontal="left" vertical="center" indent="4"/>
      <protection locked="0"/>
    </xf>
    <xf numFmtId="0" fontId="91" fillId="2" borderId="0" xfId="0" applyNumberFormat="1" applyFont="1" applyFill="1" applyBorder="1" applyAlignment="1" applyProtection="1">
      <alignment horizontal="left" vertical="center" wrapText="1" indent="6"/>
      <protection locked="0"/>
    </xf>
    <xf numFmtId="164" fontId="91" fillId="0" borderId="0" xfId="0" applyFont="1" applyAlignment="1" applyProtection="1">
      <alignment horizontal="left" vertical="center" indent="7"/>
      <protection locked="0"/>
    </xf>
    <xf numFmtId="164" fontId="91" fillId="0" borderId="0" xfId="0" applyFont="1" applyAlignment="1" applyProtection="1">
      <alignment horizontal="left" vertical="center" indent="1"/>
    </xf>
    <xf numFmtId="164" fontId="91" fillId="0" borderId="0" xfId="0" applyFont="1" applyAlignment="1" applyProtection="1">
      <alignment horizontal="left" vertical="center" indent="3"/>
    </xf>
    <xf numFmtId="0" fontId="91" fillId="2" borderId="0" xfId="0" quotePrefix="1" applyNumberFormat="1" applyFont="1" applyFill="1" applyBorder="1" applyAlignment="1" applyProtection="1">
      <alignment horizontal="left" wrapText="1" indent="3"/>
    </xf>
    <xf numFmtId="164" fontId="91" fillId="0" borderId="0" xfId="1" applyNumberFormat="1" applyFont="1" applyFill="1" applyBorder="1" applyAlignment="1" applyProtection="1">
      <alignment horizontal="left" vertical="top" wrapText="1" indent="1"/>
    </xf>
    <xf numFmtId="164" fontId="91" fillId="0" borderId="0" xfId="0" applyNumberFormat="1" applyFont="1" applyBorder="1" applyAlignment="1" applyProtection="1">
      <alignment horizontal="left" vertical="center" wrapText="1" indent="1"/>
      <protection locked="0"/>
    </xf>
    <xf numFmtId="164" fontId="107" fillId="0" borderId="45" xfId="0" applyFont="1" applyFill="1" applyBorder="1" applyAlignment="1" applyProtection="1"/>
    <xf numFmtId="164" fontId="91" fillId="2" borderId="0" xfId="0" quotePrefix="1" applyNumberFormat="1" applyFont="1" applyFill="1" applyBorder="1" applyAlignment="1" applyProtection="1">
      <alignment horizontal="left" vertical="center" wrapText="1" indent="4"/>
    </xf>
    <xf numFmtId="167" fontId="91" fillId="0" borderId="0" xfId="0" applyNumberFormat="1" applyFont="1" applyBorder="1" applyAlignment="1" applyProtection="1">
      <alignment horizontal="left" vertical="center" wrapText="1" indent="5"/>
    </xf>
    <xf numFmtId="167" fontId="129" fillId="0" borderId="0" xfId="0" applyNumberFormat="1" applyFont="1" applyBorder="1" applyAlignment="1" applyProtection="1">
      <alignment vertical="center" wrapText="1"/>
    </xf>
    <xf numFmtId="1" fontId="0" fillId="12" borderId="0" xfId="0" applyNumberFormat="1" applyFill="1" applyBorder="1"/>
    <xf numFmtId="1" fontId="98" fillId="2" borderId="23" xfId="0" applyNumberFormat="1" applyFont="1" applyFill="1" applyBorder="1" applyAlignment="1" applyProtection="1">
      <alignment horizontal="center" vertical="center" wrapText="1"/>
      <protection locked="0"/>
    </xf>
    <xf numFmtId="164" fontId="98" fillId="2" borderId="23" xfId="0" applyNumberFormat="1" applyFont="1" applyFill="1" applyBorder="1" applyAlignment="1" applyProtection="1">
      <alignment horizontal="center" vertical="center" wrapText="1"/>
      <protection locked="0"/>
    </xf>
    <xf numFmtId="164" fontId="98" fillId="2" borderId="43" xfId="0" applyNumberFormat="1" applyFont="1" applyFill="1" applyBorder="1" applyAlignment="1" applyProtection="1">
      <alignment horizontal="center" vertical="center" wrapText="1"/>
      <protection locked="0"/>
    </xf>
    <xf numFmtId="164" fontId="98" fillId="2" borderId="44"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164" fontId="91" fillId="0" borderId="0" xfId="1" applyNumberFormat="1" applyFont="1" applyFill="1" applyBorder="1" applyAlignment="1" applyProtection="1">
      <alignment horizontal="left" vertical="center" wrapText="1" indent="5"/>
    </xf>
    <xf numFmtId="164" fontId="91" fillId="0" borderId="0" xfId="0" quotePrefix="1" applyNumberFormat="1" applyFont="1" applyFill="1" applyBorder="1" applyAlignment="1" applyProtection="1">
      <alignment horizontal="left" vertical="center" wrapText="1" indent="8"/>
    </xf>
    <xf numFmtId="167" fontId="91" fillId="0" borderId="0" xfId="0" quotePrefix="1" applyNumberFormat="1" applyFont="1" applyBorder="1" applyAlignment="1" applyProtection="1">
      <alignment horizontal="left" vertical="center" wrapText="1" indent="1"/>
    </xf>
    <xf numFmtId="164" fontId="91" fillId="2" borderId="0" xfId="1" applyNumberFormat="1" applyFont="1" applyFill="1" applyBorder="1" applyAlignment="1" applyProtection="1">
      <alignment horizontal="left" vertical="center" wrapText="1" indent="5"/>
    </xf>
    <xf numFmtId="164" fontId="91" fillId="2" borderId="0" xfId="1" applyNumberFormat="1" applyFont="1" applyFill="1" applyBorder="1" applyAlignment="1" applyProtection="1">
      <alignment horizontal="left" vertical="center" wrapText="1" indent="6"/>
    </xf>
    <xf numFmtId="164" fontId="91" fillId="2" borderId="0" xfId="1" applyNumberFormat="1" applyFont="1" applyFill="1" applyBorder="1" applyAlignment="1" applyProtection="1">
      <alignment horizontal="left" vertical="center" wrapText="1" indent="7"/>
    </xf>
    <xf numFmtId="164" fontId="91" fillId="2" borderId="0" xfId="1" applyNumberFormat="1" applyFont="1" applyFill="1" applyBorder="1" applyAlignment="1" applyProtection="1">
      <alignment horizontal="left" vertical="center" wrapText="1" indent="4"/>
    </xf>
    <xf numFmtId="168" fontId="91" fillId="0" borderId="2" xfId="0" applyNumberFormat="1" applyFont="1" applyFill="1" applyBorder="1" applyAlignment="1" applyProtection="1">
      <alignment vertical="center" wrapText="1"/>
    </xf>
    <xf numFmtId="168" fontId="106" fillId="0" borderId="2" xfId="0" applyNumberFormat="1" applyFont="1" applyFill="1" applyBorder="1" applyAlignment="1" applyProtection="1">
      <alignment vertical="center" wrapText="1"/>
    </xf>
    <xf numFmtId="166" fontId="91" fillId="0" borderId="2" xfId="0" applyNumberFormat="1" applyFont="1" applyBorder="1" applyAlignment="1" applyProtection="1">
      <alignment vertical="center"/>
      <protection locked="0"/>
    </xf>
    <xf numFmtId="0" fontId="133" fillId="0" borderId="0" xfId="0" applyNumberFormat="1" applyFont="1" applyBorder="1" applyAlignment="1" applyProtection="1">
      <alignment horizontal="left" vertical="center" wrapText="1"/>
    </xf>
    <xf numFmtId="0" fontId="91" fillId="0" borderId="0" xfId="0" quotePrefix="1" applyNumberFormat="1" applyFont="1" applyBorder="1" applyAlignment="1" applyProtection="1">
      <alignment horizontal="left" vertical="center" wrapText="1" indent="4"/>
    </xf>
    <xf numFmtId="0" fontId="98" fillId="2" borderId="0" xfId="0" applyNumberFormat="1" applyFont="1" applyFill="1" applyBorder="1" applyAlignment="1" applyProtection="1">
      <alignment horizontal="center" wrapText="1"/>
    </xf>
    <xf numFmtId="164" fontId="0" fillId="0" borderId="0" xfId="0" applyAlignment="1">
      <alignment horizontal="right" indent="1"/>
    </xf>
    <xf numFmtId="0" fontId="91" fillId="0" borderId="0" xfId="0" applyNumberFormat="1" applyFont="1" applyBorder="1" applyAlignment="1" applyProtection="1">
      <alignment horizontal="right" vertical="center" wrapText="1" indent="3"/>
    </xf>
    <xf numFmtId="0" fontId="98" fillId="0" borderId="0" xfId="0" applyNumberFormat="1" applyFont="1" applyBorder="1" applyAlignment="1" applyProtection="1">
      <alignment horizontal="right" vertical="center" wrapText="1" indent="3"/>
    </xf>
    <xf numFmtId="164" fontId="91" fillId="2" borderId="0" xfId="0" applyFont="1" applyFill="1" applyBorder="1" applyAlignment="1" applyProtection="1">
      <alignment horizontal="right"/>
    </xf>
    <xf numFmtId="0" fontId="0" fillId="12" borderId="0" xfId="0" applyNumberFormat="1" applyFill="1" applyBorder="1"/>
    <xf numFmtId="0" fontId="12" fillId="13" borderId="0" xfId="4" applyNumberFormat="1" applyFont="1" applyFill="1" applyBorder="1" applyAlignment="1" applyProtection="1">
      <alignment horizontal="center" vertical="center"/>
    </xf>
    <xf numFmtId="166" fontId="98" fillId="2" borderId="2" xfId="0" applyNumberFormat="1" applyFont="1" applyFill="1" applyBorder="1" applyAlignment="1" applyProtection="1">
      <alignment horizontal="right"/>
      <protection locked="0"/>
    </xf>
    <xf numFmtId="166" fontId="98" fillId="2" borderId="2" xfId="0" applyNumberFormat="1" applyFont="1" applyFill="1" applyBorder="1" applyAlignment="1" applyProtection="1">
      <alignment horizontal="right" vertical="center"/>
      <protection locked="0"/>
    </xf>
    <xf numFmtId="165" fontId="0" fillId="12" borderId="0" xfId="0" applyNumberFormat="1" applyFill="1" applyBorder="1"/>
    <xf numFmtId="165" fontId="0" fillId="12" borderId="0" xfId="0" applyNumberFormat="1" applyFill="1" applyAlignment="1">
      <alignment vertical="center"/>
    </xf>
    <xf numFmtId="0" fontId="91" fillId="0" borderId="0" xfId="0" applyNumberFormat="1" applyFont="1" applyFill="1" applyBorder="1" applyAlignment="1" applyProtection="1">
      <alignment vertical="center" wrapText="1"/>
    </xf>
    <xf numFmtId="164" fontId="91" fillId="0" borderId="0" xfId="0" applyNumberFormat="1" applyFont="1" applyFill="1" applyBorder="1" applyAlignment="1" applyProtection="1">
      <alignment horizontal="right" vertical="center" wrapText="1" indent="1"/>
    </xf>
    <xf numFmtId="168" fontId="106" fillId="0" borderId="14" xfId="0" applyNumberFormat="1" applyFont="1" applyFill="1" applyBorder="1" applyAlignment="1" applyProtection="1">
      <alignment horizontal="right" wrapText="1"/>
    </xf>
    <xf numFmtId="164" fontId="0" fillId="0" borderId="4" xfId="0" applyBorder="1" applyAlignment="1">
      <alignment vertical="center"/>
    </xf>
    <xf numFmtId="164" fontId="0" fillId="0" borderId="28" xfId="0" applyBorder="1" applyAlignment="1">
      <alignment vertical="center"/>
    </xf>
    <xf numFmtId="1" fontId="35" fillId="12" borderId="0" xfId="0" applyNumberFormat="1" applyFont="1" applyFill="1" applyBorder="1" applyAlignment="1" applyProtection="1">
      <alignment horizontal="center" vertical="top"/>
    </xf>
    <xf numFmtId="1" fontId="35" fillId="12" borderId="0" xfId="0" applyNumberFormat="1" applyFont="1" applyFill="1" applyBorder="1" applyAlignment="1" applyProtection="1">
      <alignment horizontal="center" vertical="center"/>
    </xf>
    <xf numFmtId="164" fontId="0" fillId="0" borderId="4" xfId="0" applyBorder="1"/>
    <xf numFmtId="164" fontId="55" fillId="2" borderId="0" xfId="0" applyFont="1" applyFill="1" applyAlignment="1">
      <alignment horizontal="left" vertical="center"/>
    </xf>
    <xf numFmtId="164" fontId="35" fillId="2" borderId="0" xfId="0" applyFont="1" applyFill="1" applyAlignment="1" applyProtection="1">
      <alignment horizontal="left" vertical="center" wrapText="1"/>
      <protection locked="0"/>
    </xf>
    <xf numFmtId="167" fontId="91" fillId="0" borderId="0" xfId="0" applyNumberFormat="1" applyFont="1" applyFill="1" applyBorder="1" applyAlignment="1" applyProtection="1">
      <alignment horizontal="left" vertical="center" wrapText="1" indent="2"/>
    </xf>
    <xf numFmtId="0" fontId="141" fillId="32" borderId="36" xfId="1" applyFill="1" applyBorder="1" applyAlignment="1" applyProtection="1">
      <alignment horizontal="center" vertical="center"/>
    </xf>
    <xf numFmtId="164" fontId="0" fillId="0" borderId="0" xfId="0" applyAlignment="1">
      <alignment horizontal="right" vertical="center"/>
    </xf>
    <xf numFmtId="164" fontId="136" fillId="0" borderId="0" xfId="0" applyFont="1" applyBorder="1"/>
    <xf numFmtId="0" fontId="137" fillId="2" borderId="0" xfId="0" applyNumberFormat="1" applyFont="1" applyFill="1" applyBorder="1" applyProtection="1"/>
    <xf numFmtId="164" fontId="136" fillId="0" borderId="0" xfId="0" applyFont="1"/>
    <xf numFmtId="164" fontId="138" fillId="0" borderId="0" xfId="0" applyFont="1" applyBorder="1"/>
    <xf numFmtId="164" fontId="140" fillId="0" borderId="0" xfId="0" applyFont="1" applyBorder="1"/>
    <xf numFmtId="164" fontId="140" fillId="0" borderId="0" xfId="0" applyFont="1"/>
    <xf numFmtId="164" fontId="32" fillId="2" borderId="0" xfId="0" applyFont="1" applyFill="1" applyBorder="1" applyAlignment="1" applyProtection="1">
      <alignment vertical="top"/>
    </xf>
    <xf numFmtId="164" fontId="32" fillId="2" borderId="0" xfId="0" applyFont="1" applyFill="1" applyBorder="1" applyAlignment="1" applyProtection="1">
      <alignment vertical="center"/>
    </xf>
    <xf numFmtId="164" fontId="32" fillId="2" borderId="0" xfId="0" applyFont="1" applyFill="1" applyBorder="1" applyAlignment="1" applyProtection="1">
      <alignment horizontal="left" vertical="center" indent="5"/>
    </xf>
    <xf numFmtId="164" fontId="32" fillId="2" borderId="0" xfId="0" applyFont="1" applyFill="1" applyBorder="1" applyAlignment="1" applyProtection="1">
      <alignment horizontal="left" vertical="center" indent="1"/>
    </xf>
    <xf numFmtId="164" fontId="32" fillId="2" borderId="0" xfId="0" applyFont="1" applyFill="1" applyBorder="1" applyAlignment="1" applyProtection="1">
      <alignment horizontal="center" vertical="center"/>
    </xf>
    <xf numFmtId="164" fontId="32" fillId="8" borderId="0" xfId="0" applyFont="1" applyFill="1" applyBorder="1" applyProtection="1"/>
    <xf numFmtId="1" fontId="31" fillId="24" borderId="17" xfId="0" applyNumberFormat="1" applyFont="1" applyFill="1" applyBorder="1" applyAlignment="1" applyProtection="1">
      <alignment horizontal="center" vertical="center"/>
      <protection locked="0"/>
    </xf>
    <xf numFmtId="164" fontId="0" fillId="0" borderId="21" xfId="0" applyBorder="1" applyAlignment="1">
      <alignment horizontal="center"/>
    </xf>
    <xf numFmtId="164" fontId="91" fillId="0" borderId="0" xfId="0" applyNumberFormat="1" applyFont="1" applyFill="1" applyBorder="1" applyAlignment="1" applyProtection="1">
      <alignment horizontal="left" vertical="center" wrapText="1" indent="6"/>
    </xf>
    <xf numFmtId="164" fontId="91" fillId="0" borderId="0" xfId="0" applyNumberFormat="1" applyFont="1" applyFill="1" applyBorder="1" applyAlignment="1" applyProtection="1">
      <alignment horizontal="left" vertical="center" wrapText="1" indent="3"/>
    </xf>
    <xf numFmtId="164" fontId="91" fillId="0" borderId="0" xfId="0" applyNumberFormat="1" applyFont="1" applyFill="1" applyBorder="1" applyAlignment="1" applyProtection="1">
      <alignment horizontal="left" vertical="center" wrapText="1" indent="4"/>
    </xf>
    <xf numFmtId="0" fontId="91" fillId="0" borderId="0" xfId="0" quotePrefix="1" applyNumberFormat="1" applyFont="1" applyFill="1" applyBorder="1" applyAlignment="1" applyProtection="1">
      <alignment horizontal="left" vertical="center" wrapText="1" indent="3"/>
    </xf>
    <xf numFmtId="0" fontId="91" fillId="2" borderId="0" xfId="0" quotePrefix="1" applyNumberFormat="1" applyFont="1" applyFill="1" applyBorder="1" applyAlignment="1" applyProtection="1">
      <alignment horizontal="left" vertical="center" wrapText="1" indent="3"/>
    </xf>
    <xf numFmtId="0" fontId="91" fillId="2" borderId="0" xfId="0" quotePrefix="1" applyNumberFormat="1" applyFont="1" applyFill="1" applyBorder="1" applyAlignment="1" applyProtection="1">
      <alignment horizontal="left" wrapText="1" indent="3"/>
      <protection locked="0"/>
    </xf>
    <xf numFmtId="0" fontId="98" fillId="2" borderId="0" xfId="0" applyNumberFormat="1" applyFont="1" applyFill="1" applyBorder="1" applyAlignment="1" applyProtection="1">
      <alignment horizontal="center" vertical="center" wrapText="1"/>
    </xf>
    <xf numFmtId="0" fontId="142" fillId="39" borderId="52" xfId="1" applyFont="1" applyFill="1" applyAlignment="1" applyProtection="1">
      <alignment horizontal="center"/>
    </xf>
    <xf numFmtId="0" fontId="142" fillId="38" borderId="52" xfId="1" applyFont="1" applyAlignment="1" applyProtection="1">
      <alignment horizontal="center"/>
    </xf>
    <xf numFmtId="0" fontId="142" fillId="39" borderId="52" xfId="1" applyNumberFormat="1" applyFont="1" applyFill="1" applyAlignment="1" applyProtection="1">
      <alignment horizontal="center" vertical="center" wrapText="1"/>
      <protection locked="0"/>
    </xf>
    <xf numFmtId="0" fontId="142" fillId="39" borderId="52" xfId="1" applyNumberFormat="1" applyFont="1" applyFill="1" applyAlignment="1" applyProtection="1">
      <alignment horizontal="center" wrapText="1"/>
    </xf>
    <xf numFmtId="164" fontId="142" fillId="39" borderId="52" xfId="1" applyNumberFormat="1" applyFont="1" applyFill="1" applyAlignment="1" applyProtection="1">
      <alignment horizontal="center" vertical="center"/>
    </xf>
    <xf numFmtId="0" fontId="142" fillId="39" borderId="52" xfId="1" applyFont="1" applyFill="1" applyAlignment="1" applyProtection="1">
      <alignment horizontal="center" vertical="center"/>
    </xf>
    <xf numFmtId="164" fontId="142" fillId="39" borderId="52" xfId="1" applyNumberFormat="1" applyFont="1" applyFill="1" applyAlignment="1" applyProtection="1">
      <alignment horizontal="center"/>
    </xf>
    <xf numFmtId="0" fontId="142" fillId="39" borderId="52" xfId="1" applyNumberFormat="1" applyFont="1" applyFill="1" applyAlignment="1" applyProtection="1">
      <alignment horizontal="center" vertical="center" wrapText="1"/>
    </xf>
    <xf numFmtId="0" fontId="132" fillId="32" borderId="27" xfId="1" applyFont="1" applyFill="1" applyBorder="1" applyAlignment="1" applyProtection="1">
      <alignment horizontal="center" vertical="center"/>
    </xf>
    <xf numFmtId="164" fontId="91" fillId="0" borderId="0" xfId="0" applyFont="1" applyAlignment="1">
      <alignment horizontal="left" vertical="center" indent="4"/>
    </xf>
    <xf numFmtId="0" fontId="45" fillId="7" borderId="0" xfId="0" applyNumberFormat="1" applyFont="1" applyFill="1" applyBorder="1" applyAlignment="1" applyProtection="1">
      <alignment horizontal="left"/>
    </xf>
    <xf numFmtId="164" fontId="124" fillId="0" borderId="45" xfId="0" applyFont="1" applyBorder="1"/>
    <xf numFmtId="0" fontId="142" fillId="40" borderId="52" xfId="1" applyNumberFormat="1" applyFont="1" applyFill="1" applyAlignment="1" applyProtection="1">
      <alignment horizontal="center" wrapText="1"/>
    </xf>
    <xf numFmtId="0" fontId="143" fillId="0" borderId="0" xfId="0" applyNumberFormat="1" applyFont="1" applyBorder="1" applyAlignment="1" applyProtection="1">
      <alignment vertical="center" wrapText="1"/>
    </xf>
    <xf numFmtId="0" fontId="84" fillId="2" borderId="0" xfId="1" applyNumberFormat="1" applyFont="1" applyFill="1" applyBorder="1" applyAlignment="1" applyProtection="1">
      <alignment horizontal="left" vertical="center" wrapText="1" indent="5"/>
    </xf>
    <xf numFmtId="164" fontId="84" fillId="41" borderId="0" xfId="1" applyNumberFormat="1" applyFont="1" applyFill="1" applyBorder="1" applyAlignment="1" applyProtection="1">
      <alignment horizontal="left" indent="5"/>
    </xf>
    <xf numFmtId="0" fontId="84" fillId="2" borderId="0" xfId="1" applyNumberFormat="1" applyFont="1" applyFill="1" applyBorder="1" applyAlignment="1" applyProtection="1">
      <alignment horizontal="left" wrapText="1" indent="5"/>
    </xf>
    <xf numFmtId="164" fontId="91" fillId="0" borderId="0" xfId="0" applyFont="1" applyFill="1" applyBorder="1" applyAlignment="1" applyProtection="1">
      <alignment horizontal="left" vertical="center" wrapText="1" indent="2"/>
    </xf>
    <xf numFmtId="0" fontId="98" fillId="36" borderId="0" xfId="1" applyNumberFormat="1" applyFont="1" applyFill="1" applyBorder="1" applyAlignment="1" applyProtection="1">
      <alignment horizontal="left" vertical="center" wrapText="1" indent="3"/>
    </xf>
    <xf numFmtId="0" fontId="91" fillId="37" borderId="0" xfId="1" applyNumberFormat="1" applyFont="1" applyFill="1" applyBorder="1" applyAlignment="1" applyProtection="1">
      <alignment horizontal="left" vertical="center" wrapText="1" indent="6"/>
      <protection locked="0"/>
    </xf>
    <xf numFmtId="0" fontId="91" fillId="37" borderId="0" xfId="1" applyNumberFormat="1" applyFont="1" applyFill="1" applyBorder="1" applyAlignment="1" applyProtection="1">
      <alignment horizontal="left" vertical="center" wrapText="1" indent="7"/>
      <protection locked="0"/>
    </xf>
    <xf numFmtId="0" fontId="91" fillId="37" borderId="0" xfId="1" applyNumberFormat="1" applyFont="1" applyFill="1" applyBorder="1" applyAlignment="1" applyProtection="1">
      <alignment horizontal="left" vertical="center" wrapText="1" indent="8"/>
      <protection locked="0"/>
    </xf>
    <xf numFmtId="0" fontId="91" fillId="37" borderId="0" xfId="1" applyNumberFormat="1" applyFont="1" applyFill="1" applyBorder="1" applyAlignment="1" applyProtection="1">
      <alignment horizontal="left" vertical="center" wrapText="1" indent="9"/>
      <protection locked="0"/>
    </xf>
    <xf numFmtId="0" fontId="98" fillId="42" borderId="0" xfId="0" applyNumberFormat="1" applyFont="1" applyFill="1" applyBorder="1" applyAlignment="1" applyProtection="1">
      <alignment horizontal="center" wrapText="1"/>
    </xf>
    <xf numFmtId="164" fontId="91" fillId="37" borderId="0" xfId="0" applyNumberFormat="1" applyFont="1" applyFill="1" applyBorder="1" applyAlignment="1" applyProtection="1">
      <alignment horizontal="left" vertical="center" wrapText="1"/>
    </xf>
    <xf numFmtId="164" fontId="91" fillId="37" borderId="0" xfId="1" applyNumberFormat="1" applyFont="1" applyFill="1" applyBorder="1" applyAlignment="1" applyProtection="1">
      <alignment horizontal="left" vertical="center" wrapText="1" indent="1"/>
    </xf>
    <xf numFmtId="164" fontId="91" fillId="37" borderId="0" xfId="0" applyNumberFormat="1" applyFont="1" applyFill="1" applyBorder="1" applyAlignment="1" applyProtection="1">
      <alignment horizontal="left" vertical="center" wrapText="1" indent="1"/>
    </xf>
    <xf numFmtId="164" fontId="91" fillId="37" borderId="0" xfId="1" applyNumberFormat="1" applyFont="1" applyFill="1" applyBorder="1" applyAlignment="1" applyProtection="1">
      <alignment horizontal="left" vertical="center" wrapText="1" indent="3"/>
    </xf>
    <xf numFmtId="164" fontId="91" fillId="37" borderId="0" xfId="1" applyNumberFormat="1" applyFont="1" applyFill="1" applyBorder="1" applyAlignment="1" applyProtection="1">
      <alignment horizontal="left" vertical="center" wrapText="1" indent="6"/>
    </xf>
    <xf numFmtId="164" fontId="98" fillId="2" borderId="0" xfId="0" applyNumberFormat="1" applyFont="1" applyFill="1" applyBorder="1" applyAlignment="1" applyProtection="1">
      <alignment horizontal="center" wrapText="1"/>
    </xf>
    <xf numFmtId="166" fontId="91" fillId="37" borderId="2" xfId="0" applyNumberFormat="1" applyFont="1" applyFill="1" applyBorder="1" applyAlignment="1" applyProtection="1">
      <alignment horizontal="right"/>
      <protection locked="0"/>
    </xf>
    <xf numFmtId="0" fontId="91" fillId="42" borderId="0" xfId="0" applyNumberFormat="1" applyFont="1" applyFill="1" applyBorder="1" applyAlignment="1" applyProtection="1">
      <alignment horizontal="right" wrapText="1"/>
    </xf>
    <xf numFmtId="168" fontId="84" fillId="0" borderId="2" xfId="0" applyNumberFormat="1" applyFont="1" applyFill="1" applyBorder="1" applyAlignment="1" applyProtection="1">
      <alignment horizontal="right" vertical="center" wrapText="1"/>
    </xf>
    <xf numFmtId="166" fontId="84" fillId="5" borderId="1" xfId="0" applyNumberFormat="1" applyFont="1" applyFill="1" applyBorder="1" applyAlignment="1" applyProtection="1">
      <alignment horizontal="right" vertical="center"/>
      <protection locked="0"/>
    </xf>
    <xf numFmtId="166" fontId="84" fillId="5" borderId="2" xfId="0" applyNumberFormat="1" applyFont="1" applyFill="1" applyBorder="1" applyAlignment="1" applyProtection="1">
      <alignment horizontal="right" vertical="center"/>
      <protection locked="0"/>
    </xf>
    <xf numFmtId="168" fontId="84" fillId="0" borderId="2" xfId="0" applyNumberFormat="1" applyFont="1" applyFill="1" applyBorder="1" applyAlignment="1" applyProtection="1">
      <alignment vertical="center" wrapText="1"/>
    </xf>
    <xf numFmtId="166" fontId="84" fillId="5" borderId="2" xfId="0" applyNumberFormat="1" applyFont="1" applyFill="1" applyBorder="1" applyAlignment="1" applyProtection="1">
      <alignment vertical="center"/>
      <protection locked="0"/>
    </xf>
    <xf numFmtId="164" fontId="142" fillId="43" borderId="52" xfId="1" applyNumberFormat="1" applyFont="1" applyFill="1" applyAlignment="1" applyProtection="1">
      <alignment horizontal="center" vertical="center"/>
    </xf>
    <xf numFmtId="0" fontId="41" fillId="0" borderId="0" xfId="0" applyNumberFormat="1" applyFont="1" applyBorder="1" applyAlignment="1" applyProtection="1">
      <alignment horizontal="right" vertical="center" wrapText="1" indent="3"/>
    </xf>
    <xf numFmtId="1" fontId="144" fillId="0" borderId="0" xfId="0" applyNumberFormat="1" applyFont="1" applyBorder="1" applyAlignment="1" applyProtection="1">
      <alignment horizontal="right" vertical="center" wrapText="1" indent="3"/>
    </xf>
    <xf numFmtId="164" fontId="33" fillId="0" borderId="0" xfId="0" applyFont="1" applyAlignment="1">
      <alignment horizontal="right" indent="3"/>
    </xf>
    <xf numFmtId="1" fontId="144" fillId="0" borderId="0" xfId="0" applyNumberFormat="1" applyFont="1" applyBorder="1" applyAlignment="1" applyProtection="1">
      <alignment horizontal="left" vertical="center" wrapText="1" indent="1"/>
    </xf>
    <xf numFmtId="164" fontId="41" fillId="2" borderId="0" xfId="0" applyNumberFormat="1" applyFont="1" applyFill="1" applyBorder="1" applyAlignment="1" applyProtection="1">
      <alignment horizontal="right" vertical="center" wrapText="1" indent="5"/>
    </xf>
    <xf numFmtId="164" fontId="33" fillId="0" borderId="0" xfId="0" applyFont="1" applyFill="1" applyBorder="1" applyAlignment="1" applyProtection="1">
      <alignment horizontal="right" vertical="center" indent="3"/>
    </xf>
    <xf numFmtId="164" fontId="33" fillId="0" borderId="0" xfId="0" applyFont="1" applyBorder="1" applyAlignment="1">
      <alignment horizontal="right" indent="3"/>
    </xf>
    <xf numFmtId="164" fontId="41" fillId="2" borderId="14" xfId="0" applyNumberFormat="1" applyFont="1" applyFill="1" applyBorder="1" applyAlignment="1" applyProtection="1">
      <alignment horizontal="right" vertical="center" wrapText="1" indent="5"/>
    </xf>
    <xf numFmtId="164" fontId="41" fillId="2" borderId="0" xfId="0" applyNumberFormat="1" applyFont="1" applyFill="1" applyBorder="1" applyAlignment="1" applyProtection="1">
      <alignment horizontal="right" vertical="center" wrapText="1" indent="7"/>
    </xf>
    <xf numFmtId="168" fontId="145" fillId="0" borderId="0" xfId="0" applyNumberFormat="1" applyFont="1" applyBorder="1" applyAlignment="1">
      <alignment horizontal="right" vertical="top" indent="3"/>
    </xf>
    <xf numFmtId="168" fontId="146" fillId="0" borderId="0" xfId="0" applyNumberFormat="1" applyFont="1" applyFill="1" applyBorder="1" applyAlignment="1" applyProtection="1">
      <alignment horizontal="right" wrapText="1" indent="3"/>
    </xf>
    <xf numFmtId="164" fontId="33" fillId="0" borderId="0" xfId="0" applyFont="1" applyFill="1" applyBorder="1" applyAlignment="1" applyProtection="1">
      <alignment horizontal="left" vertical="center"/>
    </xf>
    <xf numFmtId="168" fontId="146" fillId="0" borderId="0" xfId="0" applyNumberFormat="1" applyFont="1" applyFill="1" applyBorder="1" applyAlignment="1" applyProtection="1">
      <alignment horizontal="right" wrapText="1"/>
    </xf>
    <xf numFmtId="1" fontId="90" fillId="0" borderId="0" xfId="0" applyNumberFormat="1" applyFont="1" applyBorder="1" applyAlignment="1" applyProtection="1">
      <alignment horizontal="right" vertical="center" wrapText="1"/>
    </xf>
    <xf numFmtId="1" fontId="144" fillId="0" borderId="0" xfId="0" applyNumberFormat="1" applyFont="1" applyBorder="1" applyAlignment="1" applyProtection="1">
      <alignment vertical="center" wrapText="1"/>
    </xf>
    <xf numFmtId="1" fontId="144" fillId="0" borderId="0" xfId="0" applyNumberFormat="1" applyFont="1" applyBorder="1" applyAlignment="1" applyProtection="1">
      <alignment horizontal="right" vertical="center" wrapText="1"/>
    </xf>
    <xf numFmtId="164" fontId="33" fillId="0" borderId="0" xfId="0" applyFont="1" applyBorder="1"/>
    <xf numFmtId="164" fontId="33" fillId="0" borderId="0" xfId="0" applyFont="1" applyBorder="1" applyAlignment="1">
      <alignment horizontal="center" vertical="center"/>
    </xf>
    <xf numFmtId="0" fontId="141" fillId="38" borderId="52" xfId="1" applyAlignment="1" applyProtection="1">
      <protection locked="0"/>
    </xf>
    <xf numFmtId="0" fontId="14" fillId="9" borderId="0" xfId="0" applyNumberFormat="1" applyFont="1" applyFill="1" applyAlignment="1">
      <alignment horizontal="left" vertical="top" wrapText="1"/>
    </xf>
    <xf numFmtId="164" fontId="122" fillId="0" borderId="45" xfId="0" applyFont="1" applyBorder="1" applyAlignment="1">
      <alignment horizontal="right"/>
    </xf>
    <xf numFmtId="164" fontId="122" fillId="0" borderId="25" xfId="0" applyFont="1" applyBorder="1" applyAlignment="1">
      <alignment horizontal="right"/>
    </xf>
    <xf numFmtId="164" fontId="129" fillId="0" borderId="47" xfId="0" applyFont="1" applyBorder="1" applyAlignment="1">
      <alignment horizontal="right"/>
    </xf>
    <xf numFmtId="164" fontId="129" fillId="0" borderId="0" xfId="0" applyFont="1" applyAlignment="1">
      <alignment horizontal="right"/>
    </xf>
    <xf numFmtId="164" fontId="129" fillId="0" borderId="14" xfId="0" applyFont="1" applyBorder="1" applyAlignment="1">
      <alignment horizontal="right"/>
    </xf>
    <xf numFmtId="169" fontId="44" fillId="17" borderId="38" xfId="0" applyNumberFormat="1" applyFont="1" applyFill="1" applyBorder="1" applyAlignment="1" applyProtection="1">
      <alignment horizontal="center" wrapText="1"/>
    </xf>
    <xf numFmtId="164" fontId="111" fillId="0" borderId="0" xfId="0" applyFont="1" applyBorder="1" applyAlignment="1">
      <alignment vertical="center"/>
    </xf>
    <xf numFmtId="0" fontId="91" fillId="2" borderId="0" xfId="1" applyNumberFormat="1" applyFont="1" applyFill="1" applyBorder="1" applyAlignment="1" applyProtection="1">
      <alignment horizontal="right" vertical="center" wrapText="1"/>
    </xf>
    <xf numFmtId="0" fontId="91" fillId="2" borderId="14" xfId="1" applyNumberFormat="1" applyFont="1" applyFill="1" applyBorder="1" applyAlignment="1" applyProtection="1">
      <alignment horizontal="right" vertical="center" wrapText="1"/>
    </xf>
    <xf numFmtId="164" fontId="85" fillId="0" borderId="0" xfId="0" applyFont="1" applyBorder="1" applyAlignment="1">
      <alignment horizontal="right" vertical="center"/>
    </xf>
    <xf numFmtId="164" fontId="85" fillId="0" borderId="14" xfId="0" applyFont="1" applyBorder="1" applyAlignment="1">
      <alignment horizontal="right" vertical="center"/>
    </xf>
    <xf numFmtId="0" fontId="45" fillId="7" borderId="0" xfId="0" applyNumberFormat="1" applyFont="1" applyFill="1" applyBorder="1" applyAlignment="1" applyProtection="1">
      <alignment horizontal="left"/>
    </xf>
    <xf numFmtId="0" fontId="98" fillId="0" borderId="0" xfId="0" applyNumberFormat="1" applyFont="1" applyFill="1" applyBorder="1" applyAlignment="1" applyProtection="1">
      <alignment horizontal="right" vertical="center" wrapText="1"/>
    </xf>
    <xf numFmtId="0" fontId="98" fillId="0" borderId="14" xfId="0" applyNumberFormat="1" applyFont="1" applyFill="1" applyBorder="1" applyAlignment="1" applyProtection="1">
      <alignment horizontal="right" vertical="center" wrapText="1"/>
    </xf>
    <xf numFmtId="164" fontId="41" fillId="0" borderId="45" xfId="0" applyFont="1" applyBorder="1" applyAlignment="1">
      <alignment horizontal="right" vertical="center"/>
    </xf>
    <xf numFmtId="164" fontId="41" fillId="0" borderId="25" xfId="0" applyFont="1" applyBorder="1" applyAlignment="1">
      <alignment horizontal="right" vertical="center"/>
    </xf>
    <xf numFmtId="164" fontId="85" fillId="0" borderId="4" xfId="0" applyFont="1" applyBorder="1" applyAlignment="1">
      <alignment horizontal="right" vertical="center"/>
    </xf>
    <xf numFmtId="164" fontId="85" fillId="0" borderId="28" xfId="0" applyFont="1" applyBorder="1" applyAlignment="1">
      <alignment horizontal="right" vertical="center"/>
    </xf>
    <xf numFmtId="0" fontId="91" fillId="2" borderId="0" xfId="1" applyNumberFormat="1" applyFont="1" applyFill="1" applyBorder="1" applyAlignment="1" applyProtection="1">
      <alignment horizontal="left" vertical="center" wrapText="1" indent="1"/>
    </xf>
    <xf numFmtId="0" fontId="91" fillId="2" borderId="14" xfId="1" applyNumberFormat="1" applyFont="1" applyFill="1" applyBorder="1" applyAlignment="1" applyProtection="1">
      <alignment horizontal="left" vertical="center" wrapText="1" indent="1"/>
    </xf>
    <xf numFmtId="167" fontId="129" fillId="0" borderId="4" xfId="0" applyNumberFormat="1" applyFont="1" applyBorder="1" applyAlignment="1" applyProtection="1">
      <alignment horizontal="right" vertical="center" wrapText="1"/>
    </xf>
    <xf numFmtId="167" fontId="129" fillId="0" borderId="28" xfId="0" applyNumberFormat="1" applyFont="1" applyBorder="1" applyAlignment="1" applyProtection="1">
      <alignment horizontal="right" vertical="center" wrapText="1"/>
    </xf>
    <xf numFmtId="167" fontId="129" fillId="0" borderId="0" xfId="0" applyNumberFormat="1" applyFont="1" applyBorder="1" applyAlignment="1" applyProtection="1">
      <alignment horizontal="right" vertical="center" wrapText="1"/>
    </xf>
    <xf numFmtId="167" fontId="129" fillId="0" borderId="14" xfId="0" applyNumberFormat="1" applyFont="1" applyBorder="1" applyAlignment="1" applyProtection="1">
      <alignment horizontal="right" vertical="center" wrapText="1"/>
    </xf>
    <xf numFmtId="0" fontId="91" fillId="2" borderId="0" xfId="1" applyNumberFormat="1" applyFont="1" applyFill="1" applyBorder="1" applyAlignment="1" applyProtection="1">
      <alignment horizontal="center" vertical="center" wrapText="1"/>
    </xf>
    <xf numFmtId="0" fontId="91" fillId="2" borderId="14" xfId="1" applyNumberFormat="1" applyFont="1" applyFill="1" applyBorder="1" applyAlignment="1" applyProtection="1">
      <alignment horizontal="center" vertical="center" wrapText="1"/>
    </xf>
    <xf numFmtId="168" fontId="139" fillId="21" borderId="18" xfId="0" applyNumberFormat="1" applyFont="1" applyFill="1" applyBorder="1" applyAlignment="1" applyProtection="1">
      <alignment horizontal="center" vertical="center"/>
    </xf>
    <xf numFmtId="168" fontId="139" fillId="21" borderId="5" xfId="0" applyNumberFormat="1" applyFont="1" applyFill="1" applyBorder="1" applyAlignment="1" applyProtection="1">
      <alignment horizontal="center" vertical="center"/>
    </xf>
    <xf numFmtId="164" fontId="76" fillId="12" borderId="0" xfId="0" applyFont="1" applyFill="1" applyAlignment="1" applyProtection="1">
      <alignment vertical="center"/>
    </xf>
    <xf numFmtId="164" fontId="43" fillId="13" borderId="0" xfId="4" applyFont="1" applyFill="1" applyBorder="1" applyAlignment="1" applyProtection="1">
      <alignment horizontal="center" vertical="center" wrapText="1"/>
    </xf>
    <xf numFmtId="168" fontId="135" fillId="22" borderId="18" xfId="0" applyNumberFormat="1" applyFont="1" applyFill="1" applyBorder="1" applyAlignment="1" applyProtection="1">
      <alignment horizontal="center" vertical="center"/>
    </xf>
    <xf numFmtId="168" fontId="135" fillId="22" borderId="5" xfId="0" applyNumberFormat="1" applyFont="1" applyFill="1" applyBorder="1" applyAlignment="1" applyProtection="1">
      <alignment horizontal="center" vertical="center"/>
    </xf>
    <xf numFmtId="168" fontId="135" fillId="23" borderId="18" xfId="0" applyNumberFormat="1" applyFont="1" applyFill="1" applyBorder="1" applyAlignment="1" applyProtection="1">
      <alignment horizontal="center" vertical="center"/>
    </xf>
    <xf numFmtId="168" fontId="135" fillId="23" borderId="5" xfId="0" applyNumberFormat="1" applyFont="1" applyFill="1" applyBorder="1" applyAlignment="1" applyProtection="1">
      <alignment horizontal="center" vertical="center"/>
    </xf>
    <xf numFmtId="168" fontId="139" fillId="23" borderId="18"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8" fontId="139" fillId="22" borderId="18"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0" fontId="52" fillId="17" borderId="0" xfId="0" applyNumberFormat="1" applyFont="1" applyFill="1" applyBorder="1" applyAlignment="1" applyProtection="1">
      <alignment horizontal="left" vertical="center" wrapText="1" indent="3"/>
    </xf>
    <xf numFmtId="0" fontId="127" fillId="7" borderId="0" xfId="1" applyFont="1" applyFill="1" applyBorder="1" applyAlignment="1" applyProtection="1">
      <alignment horizontal="left" vertical="center" indent="1"/>
    </xf>
    <xf numFmtId="168" fontId="135" fillId="21" borderId="18" xfId="0" applyNumberFormat="1" applyFont="1" applyFill="1" applyBorder="1" applyAlignment="1" applyProtection="1">
      <alignment horizontal="center" vertical="center"/>
    </xf>
    <xf numFmtId="168" fontId="135" fillId="21" borderId="5" xfId="0" applyNumberFormat="1" applyFont="1" applyFill="1" applyBorder="1" applyAlignment="1" applyProtection="1">
      <alignment horizontal="center" vertical="center"/>
    </xf>
    <xf numFmtId="1" fontId="90" fillId="0" borderId="50" xfId="0" applyNumberFormat="1" applyFont="1" applyBorder="1" applyAlignment="1" applyProtection="1">
      <alignment horizontal="right" vertical="center" wrapText="1"/>
    </xf>
    <xf numFmtId="164" fontId="12" fillId="2" borderId="49" xfId="0" applyFont="1" applyFill="1" applyBorder="1" applyAlignment="1" applyProtection="1">
      <alignment horizontal="center" vertical="center"/>
    </xf>
    <xf numFmtId="1" fontId="90" fillId="0" borderId="51" xfId="0" applyNumberFormat="1" applyFont="1" applyBorder="1" applyAlignment="1" applyProtection="1">
      <alignment horizontal="right" vertical="center" wrapText="1"/>
    </xf>
    <xf numFmtId="0" fontId="66" fillId="2" borderId="0" xfId="0" applyNumberFormat="1" applyFont="1" applyFill="1" applyBorder="1" applyAlignment="1" applyProtection="1">
      <alignment vertical="center" wrapText="1"/>
      <protection locked="0"/>
    </xf>
    <xf numFmtId="164" fontId="0" fillId="0" borderId="0" xfId="0" applyAlignment="1">
      <alignment horizontal="center"/>
    </xf>
    <xf numFmtId="1" fontId="45" fillId="7" borderId="0" xfId="0" applyNumberFormat="1" applyFont="1" applyFill="1" applyBorder="1" applyAlignment="1" applyProtection="1">
      <alignment horizontal="left" wrapText="1"/>
    </xf>
    <xf numFmtId="167" fontId="91" fillId="2" borderId="0" xfId="0" applyNumberFormat="1" applyFont="1" applyFill="1" applyBorder="1" applyAlignment="1" applyProtection="1">
      <alignment horizontal="left" vertical="center" wrapText="1" indent="2"/>
    </xf>
    <xf numFmtId="1" fontId="144" fillId="0" borderId="48" xfId="0" applyNumberFormat="1" applyFont="1" applyBorder="1" applyAlignment="1" applyProtection="1">
      <alignment horizontal="right" vertical="center" wrapText="1"/>
    </xf>
    <xf numFmtId="1" fontId="144" fillId="0" borderId="14" xfId="0" applyNumberFormat="1" applyFont="1" applyBorder="1" applyAlignment="1" applyProtection="1">
      <alignment horizontal="right" vertical="center" wrapText="1"/>
    </xf>
    <xf numFmtId="0" fontId="143" fillId="0" borderId="0" xfId="0" applyNumberFormat="1" applyFont="1" applyBorder="1" applyAlignment="1" applyProtection="1">
      <alignment horizontal="left" vertical="center" wrapText="1"/>
    </xf>
    <xf numFmtId="164" fontId="33" fillId="2" borderId="0" xfId="0" applyFont="1" applyFill="1" applyBorder="1" applyAlignment="1">
      <alignment horizontal="left" wrapText="1"/>
    </xf>
    <xf numFmtId="168" fontId="71" fillId="7"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45" fillId="7" borderId="0" xfId="0" applyNumberFormat="1" applyFont="1" applyFill="1" applyBorder="1" applyAlignment="1" applyProtection="1">
      <alignment horizontal="left"/>
    </xf>
    <xf numFmtId="0" fontId="67" fillId="17" borderId="0" xfId="0" applyNumberFormat="1" applyFont="1" applyFill="1" applyBorder="1" applyAlignment="1" applyProtection="1">
      <alignment horizontal="right" vertical="center" wrapText="1" indent="1"/>
    </xf>
    <xf numFmtId="0" fontId="46" fillId="7" borderId="0" xfId="0" applyNumberFormat="1" applyFont="1" applyFill="1" applyBorder="1" applyAlignment="1" applyProtection="1">
      <alignment horizontal="right" vertical="center" wrapText="1"/>
    </xf>
    <xf numFmtId="0" fontId="133" fillId="0" borderId="0" xfId="0" applyNumberFormat="1" applyFont="1" applyBorder="1" applyAlignment="1" applyProtection="1">
      <alignment horizontal="left" vertical="center" wrapText="1"/>
    </xf>
    <xf numFmtId="164" fontId="122" fillId="0" borderId="0" xfId="0" applyFont="1" applyBorder="1" applyAlignment="1">
      <alignment horizontal="right"/>
    </xf>
    <xf numFmtId="164" fontId="122" fillId="0" borderId="14" xfId="0" applyFont="1" applyBorder="1" applyAlignment="1">
      <alignment horizontal="right"/>
    </xf>
    <xf numFmtId="0" fontId="98" fillId="2" borderId="4" xfId="1" applyNumberFormat="1" applyFont="1" applyFill="1" applyBorder="1" applyAlignment="1" applyProtection="1">
      <alignment horizontal="right" vertical="center" wrapText="1"/>
    </xf>
    <xf numFmtId="0" fontId="98" fillId="2" borderId="28" xfId="1" applyNumberFormat="1" applyFont="1" applyFill="1" applyBorder="1" applyAlignment="1" applyProtection="1">
      <alignment horizontal="right" vertical="center" wrapText="1"/>
    </xf>
    <xf numFmtId="167" fontId="45" fillId="7" borderId="0" xfId="0" applyNumberFormat="1" applyFont="1" applyFill="1" applyBorder="1" applyAlignment="1" applyProtection="1">
      <alignment horizontal="left"/>
    </xf>
    <xf numFmtId="164" fontId="37" fillId="2" borderId="0" xfId="0" applyFont="1" applyFill="1" applyAlignment="1">
      <alignment horizontal="left"/>
    </xf>
    <xf numFmtId="164" fontId="100" fillId="7" borderId="42" xfId="0" applyFont="1" applyFill="1" applyBorder="1" applyAlignment="1">
      <alignment horizontal="left" vertical="center"/>
    </xf>
    <xf numFmtId="164" fontId="83" fillId="33" borderId="0" xfId="0" applyFont="1" applyFill="1" applyBorder="1" applyAlignment="1">
      <alignment horizontal="center" vertical="top" wrapText="1"/>
    </xf>
    <xf numFmtId="164" fontId="0" fillId="2" borderId="0" xfId="0" applyFill="1" applyAlignment="1">
      <alignment vertical="top" wrapText="1"/>
    </xf>
    <xf numFmtId="164" fontId="94" fillId="26" borderId="0" xfId="0" applyFont="1" applyFill="1" applyAlignment="1">
      <alignment horizontal="left" vertical="center" wrapText="1" indent="1"/>
    </xf>
    <xf numFmtId="164" fontId="130" fillId="2" borderId="46" xfId="0" applyFont="1" applyFill="1" applyBorder="1" applyAlignment="1">
      <alignment horizontal="center"/>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0">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b/>
        <i val="0"/>
        <strike val="0"/>
        <color rgb="FFC00000"/>
      </font>
    </dxf>
    <dxf>
      <font>
        <b/>
        <i val="0"/>
        <color rgb="FFC00000"/>
      </font>
    </dxf>
    <dxf>
      <font>
        <b/>
        <i val="0"/>
        <color rgb="FFC00000"/>
      </font>
    </dxf>
    <dxf>
      <font>
        <b/>
        <i val="0"/>
        <color rgb="FFC00000"/>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ill>
        <patternFill>
          <bgColor theme="0"/>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
    </tableStyle>
    <tableStyle name="Table Style 2" pivot="0" count="1">
      <tableStyleElement type="wholeTable" dxfId="38"/>
    </tableStyle>
    <tableStyle name="TableStyleMedium9 2" pivot="0" count="7">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 name="TableStyleMedium9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TimeTable" pivot="0" count="1">
      <tableStyleElement type="wholeTable" dxfId="23"/>
    </tableStyle>
  </tableStyles>
  <colors>
    <mruColors>
      <color rgb="FF0033CC"/>
      <color rgb="FF663300"/>
      <color rgb="FFF3D6AF"/>
      <color rgb="FFEEC792"/>
      <color rgb="FFFFFFCC"/>
      <color rgb="FFA24200"/>
      <color rgb="FFFEDA02"/>
      <color rgb="FF396950"/>
      <color rgb="FF60925C"/>
      <color rgb="FFFFD5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1588245</xdr:colOff>
      <xdr:row>5</xdr:row>
      <xdr:rowOff>215824</xdr:rowOff>
    </xdr:from>
    <xdr:to>
      <xdr:col>1</xdr:col>
      <xdr:colOff>2362508</xdr:colOff>
      <xdr:row>6</xdr:row>
      <xdr:rowOff>111332</xdr:rowOff>
    </xdr:to>
    <xdr:sp macro="" textlink="" fLocksText="0">
      <xdr:nvSpPr>
        <xdr:cNvPr id="2" name="Line Callout 1 1"/>
        <xdr:cNvSpPr/>
      </xdr:nvSpPr>
      <xdr:spPr>
        <a:xfrm>
          <a:off x="1703906" y="1249967"/>
          <a:ext cx="774263" cy="253623"/>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2440916</xdr:colOff>
      <xdr:row>5</xdr:row>
      <xdr:rowOff>240743</xdr:rowOff>
    </xdr:from>
    <xdr:to>
      <xdr:col>1</xdr:col>
      <xdr:colOff>3136974</xdr:colOff>
      <xdr:row>6</xdr:row>
      <xdr:rowOff>147062</xdr:rowOff>
    </xdr:to>
    <xdr:sp macro="" textlink="">
      <xdr:nvSpPr>
        <xdr:cNvPr id="4" name="TextBox 3"/>
        <xdr:cNvSpPr txBox="1"/>
      </xdr:nvSpPr>
      <xdr:spPr>
        <a:xfrm>
          <a:off x="2556577" y="1274886"/>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1</xdr:col>
      <xdr:colOff>588817</xdr:colOff>
      <xdr:row>8</xdr:row>
      <xdr:rowOff>77932</xdr:rowOff>
    </xdr:from>
    <xdr:to>
      <xdr:col>7</xdr:col>
      <xdr:colOff>346363</xdr:colOff>
      <xdr:row>8</xdr:row>
      <xdr:rowOff>476250</xdr:rowOff>
    </xdr:to>
    <xdr:sp macro="" textlink="">
      <xdr:nvSpPr>
        <xdr:cNvPr id="5" name="TextBox 4"/>
        <xdr:cNvSpPr txBox="1"/>
      </xdr:nvSpPr>
      <xdr:spPr>
        <a:xfrm>
          <a:off x="701385" y="1792432"/>
          <a:ext cx="5940137"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twoCellAnchor editAs="oneCell">
    <xdr:from>
      <xdr:col>4</xdr:col>
      <xdr:colOff>69272</xdr:colOff>
      <xdr:row>885</xdr:row>
      <xdr:rowOff>103909</xdr:rowOff>
    </xdr:from>
    <xdr:to>
      <xdr:col>7</xdr:col>
      <xdr:colOff>98714</xdr:colOff>
      <xdr:row>889</xdr:row>
      <xdr:rowOff>64077</xdr:rowOff>
    </xdr:to>
    <xdr:sp macro="" textlink="" fLocksText="0">
      <xdr:nvSpPr>
        <xdr:cNvPr id="52" name="Line Callout 1 51"/>
        <xdr:cNvSpPr/>
      </xdr:nvSpPr>
      <xdr:spPr>
        <a:xfrm>
          <a:off x="4857749" y="113988273"/>
          <a:ext cx="1536124" cy="687531"/>
        </a:xfrm>
        <a:prstGeom prst="borderCallout1">
          <a:avLst>
            <a:gd name="adj1" fmla="val 17212"/>
            <a:gd name="adj2" fmla="val -4153"/>
            <a:gd name="adj3" fmla="val 16296"/>
            <a:gd name="adj4" fmla="val -5140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                                                       </a:t>
          </a:r>
          <a:r>
            <a:rPr lang="en-US" sz="800" b="1" baseline="0">
              <a:solidFill>
                <a:sysClr val="windowText" lastClr="000000"/>
              </a:solidFill>
              <a:latin typeface="Arial" pitchFamily="34" charset="0"/>
              <a:ea typeface="+mn-ea"/>
              <a:cs typeface="Arial" pitchFamily="34" charset="0"/>
            </a:rPr>
            <a:t>9/26/13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latin typeface="Arial" pitchFamily="34" charset="0"/>
              <a:ea typeface="+mn-ea"/>
              <a:cs typeface="Arial" pitchFamily="34" charset="0"/>
            </a:rPr>
            <a:t>Subject -  what is 107Bf21?</a:t>
          </a:r>
        </a:p>
        <a:p>
          <a:pPr marL="0" marR="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Andrea</a:t>
          </a:r>
        </a:p>
      </xdr:txBody>
    </xdr:sp>
    <xdr:clientData fLocksWithSheet="0" fPrintsWithSheet="0"/>
  </xdr:twoCellAnchor>
  <xdr:twoCellAnchor editAs="oneCell">
    <xdr:from>
      <xdr:col>4</xdr:col>
      <xdr:colOff>221672</xdr:colOff>
      <xdr:row>886</xdr:row>
      <xdr:rowOff>74468</xdr:rowOff>
    </xdr:from>
    <xdr:to>
      <xdr:col>7</xdr:col>
      <xdr:colOff>251114</xdr:colOff>
      <xdr:row>890</xdr:row>
      <xdr:rowOff>34642</xdr:rowOff>
    </xdr:to>
    <xdr:sp macro="" textlink="" fLocksText="0">
      <xdr:nvSpPr>
        <xdr:cNvPr id="53" name="Line Callout 1 52"/>
        <xdr:cNvSpPr/>
      </xdr:nvSpPr>
      <xdr:spPr>
        <a:xfrm>
          <a:off x="5010149" y="114140673"/>
          <a:ext cx="1536124" cy="687531"/>
        </a:xfrm>
        <a:prstGeom prst="borderCallout1">
          <a:avLst>
            <a:gd name="adj1" fmla="val 17212"/>
            <a:gd name="adj2" fmla="val -4153"/>
            <a:gd name="adj3" fmla="val 16296"/>
            <a:gd name="adj4" fmla="val -5140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                                                       </a:t>
          </a:r>
          <a:r>
            <a:rPr lang="en-US" sz="800" b="1" baseline="0">
              <a:solidFill>
                <a:sysClr val="windowText" lastClr="000000"/>
              </a:solidFill>
              <a:latin typeface="Arial" pitchFamily="34" charset="0"/>
              <a:ea typeface="+mn-ea"/>
              <a:cs typeface="Arial" pitchFamily="34" charset="0"/>
            </a:rPr>
            <a:t>9/26/13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latin typeface="Arial" pitchFamily="34" charset="0"/>
              <a:ea typeface="+mn-ea"/>
              <a:cs typeface="Arial" pitchFamily="34" charset="0"/>
            </a:rPr>
            <a:t>Subject -  what is 107Bf21?</a:t>
          </a:r>
        </a:p>
        <a:p>
          <a:pPr marL="0" marR="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Andrea</a:t>
          </a:r>
        </a:p>
      </xdr:txBody>
    </xdr:sp>
    <xdr:clientData fLocksWithSheet="0" fPrintsWithSheet="0"/>
  </xdr:twoCellAnchor>
  <xdr:twoCellAnchor editAs="oneCell">
    <xdr:from>
      <xdr:col>703</xdr:col>
      <xdr:colOff>151331</xdr:colOff>
      <xdr:row>5</xdr:row>
      <xdr:rowOff>221267</xdr:rowOff>
    </xdr:from>
    <xdr:to>
      <xdr:col>708</xdr:col>
      <xdr:colOff>552450</xdr:colOff>
      <xdr:row>9</xdr:row>
      <xdr:rowOff>9525</xdr:rowOff>
    </xdr:to>
    <xdr:sp macro="" textlink="" fLocksText="0">
      <xdr:nvSpPr>
        <xdr:cNvPr id="7" name="Line Callout 1 6"/>
        <xdr:cNvSpPr/>
      </xdr:nvSpPr>
      <xdr:spPr>
        <a:xfrm>
          <a:off x="7504631" y="1249967"/>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Start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date the DA approves a concept development shouldn't affect subsequent dates in the schedule . The date that a DA approves concept development  could be months before we begin work on the rulemaking.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208481</xdr:colOff>
      <xdr:row>41</xdr:row>
      <xdr:rowOff>87917</xdr:rowOff>
    </xdr:from>
    <xdr:to>
      <xdr:col>710</xdr:col>
      <xdr:colOff>304800</xdr:colOff>
      <xdr:row>46</xdr:row>
      <xdr:rowOff>95250</xdr:rowOff>
    </xdr:to>
    <xdr:sp macro="" textlink="" fLocksText="0">
      <xdr:nvSpPr>
        <xdr:cNvPr id="8" name="Line Callout 1 7"/>
        <xdr:cNvSpPr/>
      </xdr:nvSpPr>
      <xdr:spPr>
        <a:xfrm>
          <a:off x="8457131" y="7631717"/>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Indicate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Highlight or otherwise indicate when a cell needs us to enter a date</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709</xdr:col>
      <xdr:colOff>114300</xdr:colOff>
      <xdr:row>5</xdr:row>
      <xdr:rowOff>209550</xdr:rowOff>
    </xdr:from>
    <xdr:to>
      <xdr:col>710</xdr:col>
      <xdr:colOff>772594</xdr:colOff>
      <xdr:row>8</xdr:row>
      <xdr:rowOff>483583</xdr:rowOff>
    </xdr:to>
    <xdr:sp macro="" textlink="" fLocksText="0">
      <xdr:nvSpPr>
        <xdr:cNvPr id="9" name="Line Callout 1 8"/>
        <xdr:cNvSpPr/>
      </xdr:nvSpPr>
      <xdr:spPr>
        <a:xfrm>
          <a:off x="8924925" y="1238250"/>
          <a:ext cx="1296469" cy="959833"/>
        </a:xfrm>
        <a:prstGeom prst="borderCallout1">
          <a:avLst>
            <a:gd name="adj1" fmla="val 17212"/>
            <a:gd name="adj2" fmla="val -4153"/>
            <a:gd name="adj3" fmla="val 19674"/>
            <a:gd name="adj4" fmla="val -21669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Indicate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Highlight or otherwise indicate when a cell needs us to enter a date</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198956</xdr:colOff>
      <xdr:row>36</xdr:row>
      <xdr:rowOff>68867</xdr:rowOff>
    </xdr:from>
    <xdr:to>
      <xdr:col>710</xdr:col>
      <xdr:colOff>295275</xdr:colOff>
      <xdr:row>41</xdr:row>
      <xdr:rowOff>161925</xdr:rowOff>
    </xdr:to>
    <xdr:sp macro="" textlink="" fLocksText="0">
      <xdr:nvSpPr>
        <xdr:cNvPr id="10" name="Line Callout 1 9"/>
        <xdr:cNvSpPr/>
      </xdr:nvSpPr>
      <xdr:spPr>
        <a:xfrm>
          <a:off x="8447606" y="6745892"/>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Monthly report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Add monthly report dates, in addition to EQC meeting dates.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171450</xdr:colOff>
      <xdr:row>152</xdr:row>
      <xdr:rowOff>142875</xdr:rowOff>
    </xdr:from>
    <xdr:to>
      <xdr:col>710</xdr:col>
      <xdr:colOff>267769</xdr:colOff>
      <xdr:row>157</xdr:row>
      <xdr:rowOff>102583</xdr:rowOff>
    </xdr:to>
    <xdr:sp macro="" textlink="" fLocksText="0">
      <xdr:nvSpPr>
        <xdr:cNvPr id="11" name="Line Callout 1 10"/>
        <xdr:cNvSpPr/>
      </xdr:nvSpPr>
      <xdr:spPr>
        <a:xfrm>
          <a:off x="8420100" y="292131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starting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Where does this date comes from? the explanation doesn't make sense to me.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171450</xdr:colOff>
      <xdr:row>32</xdr:row>
      <xdr:rowOff>95250</xdr:rowOff>
    </xdr:from>
    <xdr:to>
      <xdr:col>710</xdr:col>
      <xdr:colOff>267769</xdr:colOff>
      <xdr:row>37</xdr:row>
      <xdr:rowOff>102583</xdr:rowOff>
    </xdr:to>
    <xdr:sp macro="" textlink="" fLocksText="0">
      <xdr:nvSpPr>
        <xdr:cNvPr id="12" name="Line Callout 1 11"/>
        <xdr:cNvSpPr/>
      </xdr:nvSpPr>
      <xdr:spPr>
        <a:xfrm>
          <a:off x="8420100" y="60102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Hearing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Needs correction with SIP relationship. Should be no earlier than the 15th of a month, even if it's a SIP rule.</a:t>
          </a:r>
        </a:p>
        <a:p>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707</xdr:col>
      <xdr:colOff>142875</xdr:colOff>
      <xdr:row>68</xdr:row>
      <xdr:rowOff>123825</xdr:rowOff>
    </xdr:from>
    <xdr:to>
      <xdr:col>710</xdr:col>
      <xdr:colOff>67744</xdr:colOff>
      <xdr:row>73</xdr:row>
      <xdr:rowOff>131158</xdr:rowOff>
    </xdr:to>
    <xdr:sp macro="" textlink="" fLocksText="0">
      <xdr:nvSpPr>
        <xdr:cNvPr id="13" name="Line Callout 1 12"/>
        <xdr:cNvSpPr/>
      </xdr:nvSpPr>
      <xdr:spPr>
        <a:xfrm>
          <a:off x="8220075" y="12744450"/>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default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a:solidFill>
                <a:schemeClr val="tx1"/>
              </a:solidFill>
              <a:latin typeface="Tahoma" pitchFamily="34" charset="0"/>
              <a:cs typeface="Tahoma" pitchFamily="34" charset="0"/>
            </a:rPr>
            <a:t>date is</a:t>
          </a:r>
          <a:r>
            <a:rPr lang="en-US" sz="800" baseline="0">
              <a:solidFill>
                <a:schemeClr val="tx1"/>
              </a:solidFill>
              <a:latin typeface="Tahoma" pitchFamily="34" charset="0"/>
              <a:cs typeface="Tahoma" pitchFamily="34" charset="0"/>
            </a:rPr>
            <a:t> the same as above, not 5 days after the date above (whichi t should be according to the cell explanation)</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19050</xdr:colOff>
      <xdr:row>450</xdr:row>
      <xdr:rowOff>142875</xdr:rowOff>
    </xdr:from>
    <xdr:to>
      <xdr:col>710</xdr:col>
      <xdr:colOff>115369</xdr:colOff>
      <xdr:row>455</xdr:row>
      <xdr:rowOff>150208</xdr:rowOff>
    </xdr:to>
    <xdr:sp macro="" textlink="" fLocksText="0">
      <xdr:nvSpPr>
        <xdr:cNvPr id="14" name="Line Callout 1 13"/>
        <xdr:cNvSpPr/>
      </xdr:nvSpPr>
      <xdr:spPr>
        <a:xfrm>
          <a:off x="8267700" y="457866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a:solidFill>
                <a:schemeClr val="tx1"/>
              </a:solidFill>
              <a:latin typeface="Tahoma" pitchFamily="34" charset="0"/>
              <a:cs typeface="Tahoma" pitchFamily="34" charset="0"/>
            </a:rPr>
            <a:t>Newspaper</a:t>
          </a:r>
          <a:r>
            <a:rPr lang="en-US" sz="800" b="1" baseline="0">
              <a:solidFill>
                <a:schemeClr val="tx1"/>
              </a:solidFill>
              <a:latin typeface="Tahoma" pitchFamily="34" charset="0"/>
              <a:cs typeface="Tahoma" pitchFamily="34" charset="0"/>
            </a:rPr>
            <a:t> publication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We publish on the date the comment period begins, not before</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lc.state.or.us/arrs.htm" TargetMode="External"/><Relationship Id="rId18" Type="http://schemas.openxmlformats.org/officeDocument/2006/relationships/hyperlink" Target="http://deq05/intranet/communication/WebRequests.htm" TargetMode="External"/><Relationship Id="rId26" Type="http://schemas.openxmlformats.org/officeDocument/2006/relationships/hyperlink" Target="http://www.adobe.com/products/acrobat/merge-pdf-files.html" TargetMode="External"/><Relationship Id="rId39" Type="http://schemas.openxmlformats.org/officeDocument/2006/relationships/hyperlink" Target="file:///\\deq000\templates\General\Agenda%20Template.dotx" TargetMode="External"/><Relationship Id="rId21" Type="http://schemas.openxmlformats.org/officeDocument/2006/relationships/hyperlink" Target="file:///\\DEQHQ1\Rule_Resources\i\AUTO.REPLY.CommentBox.docx" TargetMode="External"/><Relationship Id="rId34" Type="http://schemas.openxmlformats.org/officeDocument/2006/relationships/hyperlink" Target="file:///\\DEQHQ1\..\default.aspx" TargetMode="External"/><Relationship Id="rId42" Type="http://schemas.openxmlformats.org/officeDocument/2006/relationships/hyperlink" Target="http://deq05/intranet/contentmanagement/login.asp" TargetMode="External"/><Relationship Id="rId47" Type="http://schemas.openxmlformats.org/officeDocument/2006/relationships/hyperlink" Target="http://deq05/intranet/communication/docs/DEQAgencyTemplate1.potx" TargetMode="External"/><Relationship Id="rId50" Type="http://schemas.openxmlformats.org/officeDocument/2006/relationships/hyperlink" Target="http://deq05/intranet/communication/WebRequests.htm"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MorganRider@gmail.com" TargetMode="External"/><Relationship Id="rId68" Type="http://schemas.openxmlformats.org/officeDocument/2006/relationships/hyperlink" Target="mailto:EdArmstrong2@gmail.com"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2.bin"/><Relationship Id="rId2" Type="http://schemas.openxmlformats.org/officeDocument/2006/relationships/hyperlink" Target="http://deq05/intranet/communication/index.htm" TargetMode="External"/><Relationship Id="rId16" Type="http://schemas.openxmlformats.org/officeDocument/2006/relationships/hyperlink" Target="http://deq05/intranet/communication/publicinvolvement/signs.htm" TargetMode="External"/><Relationship Id="rId29" Type="http://schemas.openxmlformats.org/officeDocument/2006/relationships/hyperlink" Target="mailto:RulePubicatons@deq.state.or.us"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1" Type="http://schemas.openxmlformats.org/officeDocument/2006/relationships/hyperlink" Target="http://arcweb.sos.state.or.us/pages/rules/resources/fileonline.html" TargetMode="External"/><Relationship Id="rId24" Type="http://schemas.openxmlformats.org/officeDocument/2006/relationships/hyperlink" Target="http://cms.oregon.gov/DEQ/EQC/pages/index.aspx" TargetMode="External"/><Relationship Id="rId32" Type="http://schemas.openxmlformats.org/officeDocument/2006/relationships/hyperlink" Target="http://arcweb.sos.state.or.us/pages/rules/oars_300/oar_340/340_018.html" TargetMode="External"/><Relationship Id="rId37" Type="http://schemas.openxmlformats.org/officeDocument/2006/relationships/hyperlink" Target="file:///\\deq000\templates\General\Agenda%20Template.dotx" TargetMode="External"/><Relationship Id="rId40" Type="http://schemas.openxmlformats.org/officeDocument/2006/relationships/hyperlink" Target="file:///\\deq000\templates\General\Agenda%20Template.dotx" TargetMode="External"/><Relationship Id="rId45" Type="http://schemas.openxmlformats.org/officeDocument/2006/relationships/hyperlink" Target="http://deq05/intranet/contentmanagement/login.asp"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arcweb.sos.state.or.us/pages/rules/oars_300/oar_340/340_tofc.html" TargetMode="External"/><Relationship Id="rId66" Type="http://schemas.openxmlformats.org/officeDocument/2006/relationships/hyperlink" Target="mailto:Bill@WRB-consulting.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s://www.oregonlegislature.gov/bills_laws/lawsstatutes/2011ors183.html"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mailto:RulePubicatons@deq.state.or.us" TargetMode="External"/><Relationship Id="rId36" Type="http://schemas.openxmlformats.org/officeDocument/2006/relationships/hyperlink" Target="file:///\\DEQHQ1\..\..\..\groups\eqc\docs\EQCDeadlines.docx" TargetMode="External"/><Relationship Id="rId49" Type="http://schemas.openxmlformats.org/officeDocument/2006/relationships/hyperlink" Target="http://deq05/intranet/communication/docs/DEQAgencyTemplate1.potx" TargetMode="External"/><Relationship Id="rId57" Type="http://schemas.openxmlformats.org/officeDocument/2006/relationships/hyperlink" Target="file:///\\deq000\templates\General\Minutes%20Template.dotx" TargetMode="External"/><Relationship Id="rId61" Type="http://schemas.openxmlformats.org/officeDocument/2006/relationships/hyperlink" Target="mailto:JoKRanch@hotmail.com" TargetMode="External"/><Relationship Id="rId10" Type="http://schemas.openxmlformats.org/officeDocument/2006/relationships/hyperlink" Target="http://arcweb.sos.state.or.us/pages/rules/oars_300/oar_340/340_tofc.html" TargetMode="External"/><Relationship Id="rId19" Type="http://schemas.openxmlformats.org/officeDocument/2006/relationships/hyperlink" Target="file:///\\DEQHQ1\ACURTIS\SharePoint%20Drafts\FILES\DEQHQ1\4-Public%20Notice\ACTIVE\EMAIL.TEMPLATE-PublishNotice.docx" TargetMode="External"/><Relationship Id="rId31" Type="http://schemas.openxmlformats.org/officeDocument/2006/relationships/hyperlink" Target="file:///\\DEQHQ1\..\..\..\groups\eqc\docs\EQCDeadlines.docx" TargetMode="External"/><Relationship Id="rId44" Type="http://schemas.openxmlformats.org/officeDocument/2006/relationships/hyperlink" Target="http://deq05/intranet/contentmanagement/login.asp" TargetMode="External"/><Relationship Id="rId52" Type="http://schemas.openxmlformats.org/officeDocument/2006/relationships/hyperlink" Target="http://deq05/intranet/communication/WebRequests.htm" TargetMode="External"/><Relationship Id="rId60" Type="http://schemas.openxmlformats.org/officeDocument/2006/relationships/hyperlink" Target="mailto:Bill@WRB-consulting.com" TargetMode="External"/><Relationship Id="rId65" Type="http://schemas.openxmlformats.org/officeDocument/2006/relationships/hyperlink" Target="http://deq05/intranet/communication/publicinvolvement/index.htm"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file:///\\deqhq1\Rule_Archives\SharePoint%20Links\Add%20concept%20to%20DEQ%20Rulemaking%20Plan.pdf" TargetMode="External"/><Relationship Id="rId14" Type="http://schemas.openxmlformats.org/officeDocument/2006/relationships/hyperlink" Target="http://www.oregon.gov/deq/RulesandRegulations/Pages/2013/RulemakingActivities.aspx" TargetMode="External"/><Relationship Id="rId22" Type="http://schemas.openxmlformats.org/officeDocument/2006/relationships/hyperlink" Target="mailto:RulePublications@deq.state.or.us" TargetMode="External"/><Relationship Id="rId27" Type="http://schemas.openxmlformats.org/officeDocument/2006/relationships/hyperlink" Target="file:///\\DEQHQ1\Rule_Resources\i\AD.LEGAL.docx" TargetMode="External"/><Relationship Id="rId30" Type="http://schemas.openxmlformats.org/officeDocument/2006/relationships/hyperlink" Target="mailto:RulePubicatons@deq.state.or.us" TargetMode="External"/><Relationship Id="rId35" Type="http://schemas.openxmlformats.org/officeDocument/2006/relationships/hyperlink" Target="file:///\\deqhq1\Rule_Development\Currrent%20Plan" TargetMode="External"/><Relationship Id="rId43" Type="http://schemas.openxmlformats.org/officeDocument/2006/relationships/hyperlink" Target="http://deq05/intranet/contentmanagement/login.asp" TargetMode="External"/><Relationship Id="rId48" Type="http://schemas.openxmlformats.org/officeDocument/2006/relationships/hyperlink" Target="http://deq05/intranet/communication/docs/DEQAgencyTemplate1.potx" TargetMode="External"/><Relationship Id="rId56" Type="http://schemas.openxmlformats.org/officeDocument/2006/relationships/hyperlink" Target="file:///\\deq000\templates\General\Minutes%20Template.dotx" TargetMode="External"/><Relationship Id="rId64" Type="http://schemas.openxmlformats.org/officeDocument/2006/relationships/hyperlink" Target="mailto:cjohnson@eou.edu" TargetMode="External"/><Relationship Id="rId69" Type="http://schemas.openxmlformats.org/officeDocument/2006/relationships/hyperlink" Target="mailto:MorganRider@gmail.com" TargetMode="External"/><Relationship Id="rId8" Type="http://schemas.openxmlformats.org/officeDocument/2006/relationships/hyperlink" Target="http://www.uwec.edu/help/outlook07/MAIL-message.htm" TargetMode="External"/><Relationship Id="rId51" Type="http://schemas.openxmlformats.org/officeDocument/2006/relationships/hyperlink" Target="http://deq05/intranet/communication/WebRequests.htm"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www.oregon.gov/deq/RulesandRegulations/Pages/2013/RulemakingActivities.aspx" TargetMode="External"/><Relationship Id="rId17" Type="http://schemas.openxmlformats.org/officeDocument/2006/relationships/hyperlink" Target="http://deq05/intranet/communication/WebRequests.htm" TargetMode="External"/><Relationship Id="rId25" Type="http://schemas.openxmlformats.org/officeDocument/2006/relationships/hyperlink" Target="file:///\\DEQHQ1\Rule_Resources\0.IndividualRulemaking\1-Planning\Microsoft\Windows\Temporary%20Internet%20Files\AppData\Local\Microsoft\Windows\groups\eqc\docs\EQCDeadlines.docx" TargetMode="External"/><Relationship Id="rId33" Type="http://schemas.openxmlformats.org/officeDocument/2006/relationships/hyperlink" Target="https://www.oregonlegislature.gov/bills_laws/lawsstatutes/2011ors192.html" TargetMode="External"/><Relationship Id="rId38" Type="http://schemas.openxmlformats.org/officeDocument/2006/relationships/hyperlink" Target="file:///\\deq000\templates\General\Agenda%20Template.dotx" TargetMode="External"/><Relationship Id="rId46" Type="http://schemas.openxmlformats.org/officeDocument/2006/relationships/hyperlink" Target="http://deq05/intranet/communication/docs/DEQAgencyTemplate1.potx" TargetMode="External"/><Relationship Id="rId59" Type="http://schemas.openxmlformats.org/officeDocument/2006/relationships/hyperlink" Target="http://arcweb.sos.state.or.us/pages/rules/oars_300/oar_340/340_tofc.html" TargetMode="External"/><Relationship Id="rId67" Type="http://schemas.openxmlformats.org/officeDocument/2006/relationships/hyperlink" Target="mailto:JoKRanch@hotmail.com" TargetMode="External"/><Relationship Id="rId20" Type="http://schemas.openxmlformats.org/officeDocument/2006/relationships/hyperlink" Target="http://deq05/intranet/contentmanagement/login.asp" TargetMode="External"/><Relationship Id="rId41" Type="http://schemas.openxmlformats.org/officeDocument/2006/relationships/hyperlink" Target="file:///\\deq000\templates\General\Agenda%20Template.dotx" TargetMode="External"/><Relationship Id="rId54" Type="http://schemas.openxmlformats.org/officeDocument/2006/relationships/hyperlink" Target="file:///\\deq000\templates\General\Minutes%20Template.dotx" TargetMode="External"/><Relationship Id="rId62" Type="http://schemas.openxmlformats.org/officeDocument/2006/relationships/hyperlink" Target="mailto:EdArmstrong2@gmail.com" TargetMode="External"/><Relationship Id="rId70" Type="http://schemas.openxmlformats.org/officeDocument/2006/relationships/hyperlink" Target="mailto:cjohnson@eou.ed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DEQHQ1\ACURTIS\default.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deqhq1\Rule_Development\2013%20Plan\AQ-RM-IncorporateLRAPArulesIntoSIP-Andrea%20Curtis"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topLeftCell="A32" workbookViewId="0">
      <selection activeCell="A68" sqref="A68"/>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5" customWidth="1"/>
    <col min="7" max="7" width="14" style="65" customWidth="1"/>
    <col min="8" max="8" width="14.5" style="65" customWidth="1"/>
    <col min="9" max="9" width="14.75" style="1" customWidth="1"/>
    <col min="10" max="10" width="40" style="1" customWidth="1"/>
    <col min="11" max="11" width="12" style="1" customWidth="1"/>
    <col min="12" max="12" width="12.625" style="1" customWidth="1"/>
    <col min="13" max="15" width="9.625" style="1" customWidth="1"/>
    <col min="16" max="16" width="9.625" style="67" customWidth="1"/>
    <col min="17" max="17" width="21" style="67" customWidth="1"/>
    <col min="18" max="18" width="37.75" style="1" customWidth="1"/>
    <col min="19" max="19" width="30.875" style="1" customWidth="1"/>
    <col min="20" max="20" width="30.625" style="1" customWidth="1"/>
    <col min="21" max="16384" width="9" style="1"/>
  </cols>
  <sheetData>
    <row r="1" spans="1:20" ht="22.5">
      <c r="A1" s="16" t="s">
        <v>19</v>
      </c>
      <c r="B1" s="3"/>
      <c r="C1" s="2"/>
      <c r="D1" s="2"/>
      <c r="E1" s="64"/>
      <c r="F1" s="64"/>
      <c r="G1" s="64"/>
      <c r="H1" s="64"/>
      <c r="I1" s="2"/>
      <c r="J1" s="2"/>
      <c r="K1" s="2"/>
      <c r="L1" s="2"/>
      <c r="M1" s="2"/>
      <c r="N1" s="2"/>
      <c r="O1" s="2"/>
      <c r="P1" s="66"/>
      <c r="Q1" s="66"/>
      <c r="R1" s="2"/>
      <c r="S1" s="2"/>
      <c r="T1" s="2"/>
    </row>
    <row r="2" spans="1:20">
      <c r="A2" s="63">
        <v>1</v>
      </c>
      <c r="B2" s="63">
        <v>2</v>
      </c>
      <c r="C2" s="126">
        <v>3</v>
      </c>
      <c r="D2" s="63">
        <v>4</v>
      </c>
      <c r="E2" s="63">
        <v>5</v>
      </c>
      <c r="F2" s="63">
        <v>6</v>
      </c>
      <c r="G2" s="61"/>
      <c r="H2" s="61"/>
      <c r="I2" s="61"/>
      <c r="J2" s="61"/>
      <c r="K2" s="61"/>
      <c r="L2" s="61"/>
      <c r="M2" s="2"/>
      <c r="N2" s="2"/>
      <c r="O2" s="2"/>
      <c r="P2" s="1"/>
      <c r="Q2" s="1"/>
    </row>
    <row r="3" spans="1:20">
      <c r="A3" s="4" t="s">
        <v>11</v>
      </c>
      <c r="B3" s="4" t="s">
        <v>15</v>
      </c>
      <c r="C3" s="4" t="s">
        <v>16</v>
      </c>
      <c r="D3" s="124" t="s">
        <v>65</v>
      </c>
      <c r="E3" s="149" t="s">
        <v>60</v>
      </c>
      <c r="F3" s="149" t="s">
        <v>70</v>
      </c>
      <c r="G3" s="61"/>
      <c r="H3" s="61"/>
      <c r="I3" s="61"/>
      <c r="J3" s="61"/>
      <c r="K3" s="61"/>
      <c r="L3" s="61"/>
      <c r="M3" s="2"/>
      <c r="N3" s="2"/>
      <c r="O3" s="2"/>
      <c r="P3"/>
      <c r="Q3"/>
      <c r="R3"/>
      <c r="S3"/>
    </row>
    <row r="4" spans="1:20" ht="18.75" customHeight="1">
      <c r="A4" s="121">
        <v>41353</v>
      </c>
      <c r="B4" s="121">
        <v>41316</v>
      </c>
      <c r="C4" s="121">
        <v>41346</v>
      </c>
      <c r="D4" s="125">
        <f>A5-A4</f>
        <v>91</v>
      </c>
      <c r="E4" s="121">
        <f>A4+D4</f>
        <v>41444</v>
      </c>
      <c r="F4" s="121">
        <v>41259</v>
      </c>
      <c r="G4" s="61"/>
      <c r="H4" s="61"/>
      <c r="I4" s="61"/>
      <c r="J4" s="61"/>
      <c r="K4" s="61"/>
      <c r="L4" s="61"/>
      <c r="M4" s="61"/>
      <c r="N4" s="61"/>
      <c r="O4" s="61"/>
      <c r="P4"/>
      <c r="Q4"/>
      <c r="R4"/>
      <c r="S4"/>
    </row>
    <row r="5" spans="1:20" ht="18.75" customHeight="1">
      <c r="A5" s="121">
        <v>41444</v>
      </c>
      <c r="B5" s="121">
        <v>41404</v>
      </c>
      <c r="C5" s="121">
        <v>41437</v>
      </c>
      <c r="D5" s="125">
        <f t="shared" ref="D5:D14" si="0">A6-A5</f>
        <v>63</v>
      </c>
      <c r="E5" s="121">
        <f t="shared" ref="E5:E19" si="1">A5+D5</f>
        <v>41507</v>
      </c>
      <c r="F5" s="121">
        <f>A5-D4</f>
        <v>41353</v>
      </c>
      <c r="G5" s="61"/>
      <c r="H5" s="61"/>
      <c r="I5" s="61"/>
      <c r="J5" s="61"/>
      <c r="K5" s="61"/>
      <c r="L5" s="61"/>
      <c r="M5" s="61"/>
      <c r="N5" s="61"/>
      <c r="O5" s="61"/>
      <c r="P5"/>
      <c r="Q5"/>
      <c r="R5"/>
      <c r="S5"/>
    </row>
    <row r="6" spans="1:20" ht="18.75" customHeight="1">
      <c r="A6" s="121">
        <v>41507</v>
      </c>
      <c r="B6" s="121">
        <v>41471</v>
      </c>
      <c r="C6" s="121">
        <v>41500</v>
      </c>
      <c r="D6" s="125">
        <f t="shared" si="0"/>
        <v>56</v>
      </c>
      <c r="E6" s="121">
        <f t="shared" si="1"/>
        <v>41563</v>
      </c>
      <c r="F6" s="121">
        <f t="shared" ref="F6:F19" si="2">A6-D5</f>
        <v>41444</v>
      </c>
      <c r="G6" s="61"/>
      <c r="H6" s="61"/>
      <c r="I6" s="61"/>
      <c r="J6" s="61"/>
      <c r="K6" s="61"/>
      <c r="L6" s="61"/>
      <c r="M6" s="61"/>
      <c r="N6" s="61"/>
      <c r="O6" s="61"/>
      <c r="P6"/>
      <c r="Q6"/>
      <c r="R6"/>
      <c r="S6"/>
    </row>
    <row r="7" spans="1:20">
      <c r="A7" s="121">
        <v>41563</v>
      </c>
      <c r="B7" s="121">
        <v>41527</v>
      </c>
      <c r="C7" s="121">
        <v>41556</v>
      </c>
      <c r="D7" s="125">
        <f t="shared" si="0"/>
        <v>56</v>
      </c>
      <c r="E7" s="121">
        <f t="shared" si="1"/>
        <v>41619</v>
      </c>
      <c r="F7" s="121">
        <f t="shared" si="2"/>
        <v>41507</v>
      </c>
      <c r="G7" s="61"/>
      <c r="H7" s="61"/>
      <c r="I7" s="61"/>
      <c r="J7" s="61"/>
      <c r="K7" s="61"/>
      <c r="L7" s="61"/>
      <c r="M7" s="61"/>
      <c r="N7" s="61"/>
      <c r="O7" s="61"/>
      <c r="P7"/>
      <c r="Q7"/>
      <c r="R7"/>
      <c r="S7"/>
    </row>
    <row r="8" spans="1:20">
      <c r="A8" s="121">
        <v>41619</v>
      </c>
      <c r="B8" s="121">
        <v>41579</v>
      </c>
      <c r="C8" s="121">
        <v>41612</v>
      </c>
      <c r="D8" s="125">
        <f t="shared" si="0"/>
        <v>98</v>
      </c>
      <c r="E8" s="121">
        <f t="shared" si="1"/>
        <v>41717</v>
      </c>
      <c r="F8" s="121">
        <f t="shared" si="2"/>
        <v>41563</v>
      </c>
      <c r="G8" s="61"/>
      <c r="H8" s="61"/>
      <c r="I8" s="61"/>
      <c r="J8" s="61"/>
      <c r="K8" s="61"/>
      <c r="L8" s="61"/>
      <c r="M8" s="61"/>
      <c r="N8" s="61"/>
      <c r="O8" s="61"/>
      <c r="P8"/>
      <c r="Q8"/>
      <c r="R8"/>
      <c r="S8"/>
    </row>
    <row r="9" spans="1:20">
      <c r="A9" s="123">
        <v>41717</v>
      </c>
      <c r="B9" s="123">
        <f t="shared" ref="B9:B20" si="3">WORKDAY(A9-40,-1,S.DDL_DEQClosed)</f>
        <v>41676</v>
      </c>
      <c r="C9" s="123">
        <f t="shared" ref="C9:C20" si="4">WORKDAY(A9-9,-1,S.DDL_DEQClosed)</f>
        <v>41705</v>
      </c>
      <c r="D9" s="125">
        <f t="shared" si="0"/>
        <v>91</v>
      </c>
      <c r="E9" s="121">
        <f t="shared" si="1"/>
        <v>41808</v>
      </c>
      <c r="F9" s="121">
        <f t="shared" si="2"/>
        <v>41619</v>
      </c>
      <c r="G9" s="61"/>
      <c r="H9" s="61"/>
      <c r="I9" s="61"/>
      <c r="J9" s="61"/>
      <c r="K9" s="61"/>
      <c r="L9" s="61"/>
      <c r="M9" s="61"/>
      <c r="N9" s="61"/>
      <c r="O9" s="61"/>
      <c r="P9"/>
      <c r="Q9"/>
      <c r="R9"/>
      <c r="S9"/>
    </row>
    <row r="10" spans="1:20">
      <c r="A10" s="123">
        <v>41808</v>
      </c>
      <c r="B10" s="123">
        <f t="shared" si="3"/>
        <v>41767</v>
      </c>
      <c r="C10" s="123">
        <f t="shared" si="4"/>
        <v>41796</v>
      </c>
      <c r="D10" s="125">
        <f t="shared" si="0"/>
        <v>63</v>
      </c>
      <c r="E10" s="121">
        <f t="shared" si="1"/>
        <v>41871</v>
      </c>
      <c r="F10" s="121">
        <f t="shared" si="2"/>
        <v>41717</v>
      </c>
      <c r="G10" s="61"/>
      <c r="H10" s="61"/>
      <c r="I10" s="61"/>
      <c r="J10" s="61"/>
      <c r="K10" s="61"/>
      <c r="L10" s="61"/>
      <c r="M10" s="61"/>
      <c r="N10" s="61"/>
      <c r="O10" s="61"/>
      <c r="P10"/>
      <c r="Q10"/>
      <c r="R10"/>
      <c r="S10"/>
    </row>
    <row r="11" spans="1:20">
      <c r="A11" s="123">
        <v>41871</v>
      </c>
      <c r="B11" s="123">
        <f t="shared" si="3"/>
        <v>41830</v>
      </c>
      <c r="C11" s="123">
        <f t="shared" si="4"/>
        <v>41859</v>
      </c>
      <c r="D11" s="125">
        <f t="shared" si="0"/>
        <v>56</v>
      </c>
      <c r="E11" s="121">
        <f t="shared" si="1"/>
        <v>41927</v>
      </c>
      <c r="F11" s="121">
        <f t="shared" si="2"/>
        <v>41808</v>
      </c>
      <c r="G11" s="61"/>
      <c r="H11" s="61"/>
      <c r="I11" s="61"/>
      <c r="J11" s="61"/>
      <c r="K11" s="61"/>
      <c r="L11" s="61"/>
      <c r="M11" s="61"/>
      <c r="N11" s="61"/>
      <c r="O11" s="61"/>
      <c r="P11"/>
      <c r="Q11"/>
      <c r="R11"/>
      <c r="S11"/>
    </row>
    <row r="12" spans="1:20">
      <c r="A12" s="123">
        <v>41927</v>
      </c>
      <c r="B12" s="123">
        <f t="shared" si="3"/>
        <v>41886</v>
      </c>
      <c r="C12" s="123">
        <f t="shared" si="4"/>
        <v>41915</v>
      </c>
      <c r="D12" s="125">
        <f t="shared" si="0"/>
        <v>56</v>
      </c>
      <c r="E12" s="121">
        <f t="shared" si="1"/>
        <v>41983</v>
      </c>
      <c r="F12" s="121">
        <f t="shared" si="2"/>
        <v>41871</v>
      </c>
      <c r="G12" s="61"/>
      <c r="H12" s="61"/>
      <c r="I12" s="61"/>
      <c r="J12" s="61"/>
      <c r="K12" s="61"/>
      <c r="L12" s="61"/>
      <c r="M12" s="61"/>
      <c r="N12" s="61"/>
      <c r="O12" s="61"/>
      <c r="P12"/>
      <c r="Q12"/>
      <c r="R12"/>
      <c r="S12"/>
    </row>
    <row r="13" spans="1:20">
      <c r="A13" s="123">
        <v>41983</v>
      </c>
      <c r="B13" s="123">
        <f t="shared" si="3"/>
        <v>41942</v>
      </c>
      <c r="C13" s="123">
        <f t="shared" si="4"/>
        <v>41971</v>
      </c>
      <c r="D13" s="125">
        <f t="shared" si="0"/>
        <v>98</v>
      </c>
      <c r="E13" s="121">
        <f t="shared" si="1"/>
        <v>42081</v>
      </c>
      <c r="F13" s="121">
        <f t="shared" si="2"/>
        <v>41927</v>
      </c>
      <c r="G13" s="61"/>
      <c r="H13" s="61"/>
      <c r="I13" s="61"/>
      <c r="J13" s="61"/>
      <c r="K13" s="61"/>
      <c r="L13" s="61"/>
      <c r="M13" s="61"/>
      <c r="N13" s="61"/>
      <c r="O13" s="61"/>
      <c r="P13"/>
      <c r="Q13"/>
      <c r="R13"/>
      <c r="S13"/>
    </row>
    <row r="14" spans="1:20">
      <c r="A14" s="123">
        <v>42081</v>
      </c>
      <c r="B14" s="123">
        <f t="shared" si="3"/>
        <v>42040</v>
      </c>
      <c r="C14" s="123">
        <f t="shared" si="4"/>
        <v>42069</v>
      </c>
      <c r="D14" s="125">
        <f t="shared" si="0"/>
        <v>92</v>
      </c>
      <c r="E14" s="121">
        <f t="shared" si="1"/>
        <v>42173</v>
      </c>
      <c r="F14" s="121">
        <f t="shared" si="2"/>
        <v>41983</v>
      </c>
      <c r="G14" s="2"/>
      <c r="H14" s="2"/>
      <c r="I14" s="61"/>
      <c r="J14" s="61"/>
      <c r="K14" s="61"/>
      <c r="L14" s="61"/>
      <c r="M14" s="61"/>
      <c r="N14" s="61"/>
      <c r="O14" s="61"/>
      <c r="P14"/>
      <c r="Q14"/>
      <c r="R14"/>
      <c r="S14"/>
    </row>
    <row r="15" spans="1:20">
      <c r="A15" s="123">
        <v>42173</v>
      </c>
      <c r="B15" s="123">
        <f t="shared" si="3"/>
        <v>42132</v>
      </c>
      <c r="C15" s="123">
        <f t="shared" si="4"/>
        <v>42163</v>
      </c>
      <c r="D15" s="125">
        <f>A16-A15</f>
        <v>63</v>
      </c>
      <c r="E15" s="121">
        <f t="shared" si="1"/>
        <v>42236</v>
      </c>
      <c r="F15" s="121">
        <f t="shared" si="2"/>
        <v>42081</v>
      </c>
      <c r="G15" s="2"/>
      <c r="H15" s="2"/>
      <c r="I15" s="2"/>
      <c r="J15" s="2"/>
      <c r="K15" s="66"/>
      <c r="L15" s="66"/>
      <c r="M15" s="2"/>
      <c r="N15" s="2"/>
      <c r="O15" s="2"/>
      <c r="P15" s="1"/>
      <c r="Q15" s="1"/>
    </row>
    <row r="16" spans="1:20">
      <c r="A16" s="123">
        <v>42236</v>
      </c>
      <c r="B16" s="123">
        <f t="shared" si="3"/>
        <v>42195</v>
      </c>
      <c r="C16" s="123">
        <f t="shared" si="4"/>
        <v>42226</v>
      </c>
      <c r="D16" s="125">
        <f>A17-A16</f>
        <v>63</v>
      </c>
      <c r="E16" s="121">
        <f t="shared" si="1"/>
        <v>42299</v>
      </c>
      <c r="F16" s="121">
        <f t="shared" si="2"/>
        <v>42173</v>
      </c>
      <c r="G16" s="2"/>
      <c r="H16" s="2"/>
      <c r="I16" s="2"/>
      <c r="J16" s="2"/>
      <c r="K16" s="66"/>
      <c r="L16" s="66"/>
      <c r="M16" s="2"/>
      <c r="N16" s="2"/>
      <c r="O16" s="2"/>
      <c r="P16" s="1"/>
      <c r="Q16" s="1"/>
    </row>
    <row r="17" spans="1:20">
      <c r="A17" s="123">
        <v>42299</v>
      </c>
      <c r="B17" s="123">
        <f t="shared" si="3"/>
        <v>42258</v>
      </c>
      <c r="C17" s="123">
        <f t="shared" si="4"/>
        <v>42289</v>
      </c>
      <c r="D17" s="125">
        <f>A18-A17</f>
        <v>56</v>
      </c>
      <c r="E17" s="121">
        <f t="shared" si="1"/>
        <v>42355</v>
      </c>
      <c r="F17" s="121">
        <f t="shared" si="2"/>
        <v>42236</v>
      </c>
      <c r="G17" s="2"/>
      <c r="H17" s="2"/>
      <c r="I17" s="2"/>
      <c r="J17" s="2"/>
      <c r="K17" s="66"/>
      <c r="L17" s="66"/>
      <c r="M17" s="2"/>
      <c r="N17" s="2"/>
      <c r="O17" s="2"/>
      <c r="P17" s="1"/>
      <c r="Q17" s="1"/>
    </row>
    <row r="18" spans="1:20">
      <c r="A18" s="123">
        <v>42355</v>
      </c>
      <c r="B18" s="123">
        <f t="shared" si="3"/>
        <v>42314</v>
      </c>
      <c r="C18" s="123">
        <f t="shared" si="4"/>
        <v>42345</v>
      </c>
      <c r="D18" s="125">
        <f>A19-A18</f>
        <v>90</v>
      </c>
      <c r="E18" s="121">
        <f t="shared" si="1"/>
        <v>42445</v>
      </c>
      <c r="F18" s="121">
        <f t="shared" si="2"/>
        <v>42299</v>
      </c>
      <c r="G18" s="2"/>
      <c r="H18" s="2"/>
      <c r="I18" s="2"/>
      <c r="J18" s="2"/>
      <c r="K18" s="66"/>
      <c r="L18" s="66"/>
      <c r="M18" s="2"/>
      <c r="N18" s="2"/>
      <c r="O18" s="2"/>
      <c r="P18" s="1"/>
      <c r="Q18" s="1"/>
    </row>
    <row r="19" spans="1:20">
      <c r="A19" s="123">
        <v>42445</v>
      </c>
      <c r="B19" s="123">
        <f t="shared" si="3"/>
        <v>42404</v>
      </c>
      <c r="C19" s="123">
        <f t="shared" si="4"/>
        <v>42433</v>
      </c>
      <c r="D19" s="125">
        <f>A20-A19</f>
        <v>91</v>
      </c>
      <c r="E19" s="121">
        <f t="shared" si="1"/>
        <v>42536</v>
      </c>
      <c r="F19" s="121">
        <f t="shared" si="2"/>
        <v>42355</v>
      </c>
      <c r="G19" s="2"/>
      <c r="H19" s="2"/>
      <c r="I19" s="2"/>
      <c r="J19" s="2"/>
      <c r="K19" s="66"/>
      <c r="L19" s="66"/>
      <c r="M19" s="2"/>
      <c r="N19" s="2"/>
      <c r="O19" s="2"/>
      <c r="P19" s="1"/>
      <c r="Q19" s="1"/>
    </row>
    <row r="20" spans="1:20">
      <c r="A20" s="123">
        <v>42536</v>
      </c>
      <c r="B20" s="123">
        <f t="shared" si="3"/>
        <v>42495</v>
      </c>
      <c r="C20" s="123">
        <f t="shared" si="4"/>
        <v>42524</v>
      </c>
      <c r="D20" s="146">
        <f>D19</f>
        <v>91</v>
      </c>
      <c r="E20" s="2"/>
      <c r="F20" s="2"/>
      <c r="G20" s="2"/>
      <c r="H20" s="2"/>
      <c r="I20" s="2"/>
      <c r="J20" s="2"/>
      <c r="K20" s="66"/>
      <c r="L20" s="66"/>
      <c r="M20" s="2"/>
      <c r="N20" s="2"/>
      <c r="O20" s="2"/>
      <c r="P20" s="1"/>
      <c r="Q20" s="1"/>
    </row>
    <row r="21" spans="1:20">
      <c r="A21" s="8"/>
      <c r="B21" s="8"/>
      <c r="C21" s="9"/>
      <c r="D21" s="9"/>
      <c r="E21" s="68"/>
      <c r="F21" s="68"/>
      <c r="G21" s="68"/>
      <c r="H21" s="68"/>
      <c r="I21" s="2"/>
      <c r="J21" s="34" t="s">
        <v>39</v>
      </c>
      <c r="K21" s="2"/>
      <c r="L21" s="9"/>
      <c r="M21" s="9"/>
      <c r="N21" s="61"/>
      <c r="O21" s="61"/>
      <c r="P21" s="66"/>
      <c r="Q21" s="66"/>
      <c r="R21" s="2"/>
      <c r="S21" s="2"/>
      <c r="T21" s="2"/>
    </row>
    <row r="22" spans="1:20">
      <c r="A22" s="10" t="s">
        <v>20</v>
      </c>
      <c r="B22" s="10"/>
      <c r="C22" s="9"/>
      <c r="D22" s="9"/>
      <c r="E22" s="68"/>
      <c r="F22" s="68"/>
      <c r="G22" s="68"/>
      <c r="H22" s="68"/>
      <c r="I22" s="2"/>
      <c r="J22" s="842" t="s">
        <v>38</v>
      </c>
      <c r="K22" s="842"/>
      <c r="L22" s="842"/>
      <c r="M22" s="842"/>
      <c r="N22" s="842"/>
      <c r="O22" s="842"/>
      <c r="P22" s="842"/>
      <c r="Q22" s="66"/>
      <c r="R22" s="2"/>
      <c r="S22" s="2"/>
      <c r="T22" s="2"/>
    </row>
    <row r="23" spans="1:20">
      <c r="A23" s="22">
        <v>41275</v>
      </c>
      <c r="B23" s="20" t="s">
        <v>5</v>
      </c>
      <c r="C23" s="33">
        <f>A23</f>
        <v>41275</v>
      </c>
      <c r="D23" s="33"/>
      <c r="E23" s="68"/>
      <c r="F23" s="68"/>
      <c r="G23" s="68"/>
      <c r="H23" s="68"/>
      <c r="I23" s="2"/>
      <c r="J23" s="842"/>
      <c r="K23" s="842"/>
      <c r="L23" s="842"/>
      <c r="M23" s="842"/>
      <c r="N23" s="842"/>
      <c r="O23" s="842"/>
      <c r="P23" s="842"/>
      <c r="Q23" s="66"/>
      <c r="R23" s="2"/>
      <c r="S23" s="2"/>
      <c r="T23" s="2"/>
    </row>
    <row r="24" spans="1:20">
      <c r="A24" s="22">
        <v>41292</v>
      </c>
      <c r="B24" s="20" t="s">
        <v>3</v>
      </c>
      <c r="C24" s="33">
        <f t="shared" ref="C24:C71" si="5">A24</f>
        <v>41292</v>
      </c>
      <c r="D24" s="33"/>
      <c r="E24" s="68"/>
      <c r="F24" s="68"/>
      <c r="G24" s="68"/>
      <c r="H24" s="68"/>
      <c r="I24" s="2"/>
      <c r="J24" s="842"/>
      <c r="K24" s="842"/>
      <c r="L24" s="842"/>
      <c r="M24" s="842"/>
      <c r="N24" s="842"/>
      <c r="O24" s="842"/>
      <c r="P24" s="842"/>
      <c r="Q24" s="66"/>
      <c r="R24" s="2"/>
      <c r="S24" s="2"/>
      <c r="T24" s="2"/>
    </row>
    <row r="25" spans="1:20">
      <c r="A25" s="22">
        <v>41295</v>
      </c>
      <c r="B25" s="20" t="s">
        <v>6</v>
      </c>
      <c r="C25" s="33">
        <f t="shared" si="5"/>
        <v>41295</v>
      </c>
      <c r="D25" s="33"/>
      <c r="E25" s="68"/>
      <c r="F25" s="68"/>
      <c r="G25" s="68"/>
      <c r="H25" s="68"/>
      <c r="I25" s="2"/>
      <c r="J25" s="842"/>
      <c r="K25" s="842"/>
      <c r="L25" s="842"/>
      <c r="M25" s="842"/>
      <c r="N25" s="842"/>
      <c r="O25" s="842"/>
      <c r="P25" s="842"/>
      <c r="Q25" s="66"/>
      <c r="R25" s="2"/>
      <c r="S25" s="2"/>
      <c r="T25" s="2"/>
    </row>
    <row r="26" spans="1:20">
      <c r="A26" s="22">
        <v>41323</v>
      </c>
      <c r="B26" s="20" t="s">
        <v>7</v>
      </c>
      <c r="C26" s="33">
        <f t="shared" si="5"/>
        <v>41323</v>
      </c>
      <c r="D26" s="33"/>
      <c r="E26" s="68"/>
      <c r="F26" s="68"/>
      <c r="G26" s="68"/>
      <c r="H26" s="68"/>
      <c r="I26" s="2"/>
      <c r="J26" s="842"/>
      <c r="K26" s="842"/>
      <c r="L26" s="842"/>
      <c r="M26" s="842"/>
      <c r="N26" s="842"/>
      <c r="O26" s="842"/>
      <c r="P26" s="842"/>
      <c r="Q26" s="66"/>
      <c r="R26" s="2"/>
      <c r="S26" s="2"/>
      <c r="T26" s="2"/>
    </row>
    <row r="27" spans="1:20">
      <c r="A27" s="22">
        <v>41383</v>
      </c>
      <c r="B27" s="20" t="s">
        <v>3</v>
      </c>
      <c r="C27" s="33">
        <f t="shared" si="5"/>
        <v>41383</v>
      </c>
      <c r="D27" s="33"/>
      <c r="E27" s="68"/>
      <c r="F27" s="68"/>
      <c r="G27" s="68"/>
      <c r="H27" s="68"/>
      <c r="I27" s="2"/>
      <c r="J27" s="842"/>
      <c r="K27" s="842"/>
      <c r="L27" s="842"/>
      <c r="M27" s="842"/>
      <c r="N27" s="842"/>
      <c r="O27" s="842"/>
      <c r="P27" s="842"/>
      <c r="Q27" s="66"/>
      <c r="R27" s="2"/>
      <c r="S27" s="2"/>
      <c r="T27" s="2"/>
    </row>
    <row r="28" spans="1:20">
      <c r="A28" s="22">
        <v>41418</v>
      </c>
      <c r="B28" s="20" t="s">
        <v>3</v>
      </c>
      <c r="C28" s="33">
        <f t="shared" si="5"/>
        <v>41418</v>
      </c>
      <c r="D28" s="33"/>
      <c r="E28" s="68"/>
      <c r="F28" s="68"/>
      <c r="G28" s="68"/>
      <c r="H28" s="68"/>
      <c r="I28" s="2"/>
      <c r="J28" s="842"/>
      <c r="K28" s="842"/>
      <c r="L28" s="842"/>
      <c r="M28" s="842"/>
      <c r="N28" s="842"/>
      <c r="O28" s="842"/>
      <c r="P28" s="842"/>
      <c r="Q28" s="66"/>
      <c r="R28" s="2"/>
      <c r="S28" s="2"/>
      <c r="T28" s="2"/>
    </row>
    <row r="29" spans="1:20">
      <c r="A29" s="22">
        <v>41421</v>
      </c>
      <c r="B29" s="20" t="s">
        <v>8</v>
      </c>
      <c r="C29" s="33">
        <f t="shared" si="5"/>
        <v>41421</v>
      </c>
      <c r="D29" s="33"/>
      <c r="E29" s="68"/>
      <c r="F29" s="68"/>
      <c r="G29" s="68"/>
      <c r="H29" s="68"/>
      <c r="I29" s="2"/>
      <c r="J29" s="842"/>
      <c r="K29" s="842"/>
      <c r="L29" s="842"/>
      <c r="M29" s="842"/>
      <c r="N29" s="842"/>
      <c r="O29" s="842"/>
      <c r="P29" s="842"/>
      <c r="Q29" s="66"/>
      <c r="R29" s="2"/>
      <c r="S29" s="2"/>
      <c r="T29" s="2"/>
    </row>
    <row r="30" spans="1:20">
      <c r="A30" s="22">
        <v>41459</v>
      </c>
      <c r="B30" s="20" t="s">
        <v>9</v>
      </c>
      <c r="C30" s="33">
        <f t="shared" si="5"/>
        <v>41459</v>
      </c>
      <c r="D30" s="33"/>
      <c r="E30" s="68"/>
      <c r="F30" s="68"/>
      <c r="G30" s="68"/>
      <c r="H30" s="68"/>
      <c r="I30" s="2"/>
      <c r="J30" s="842"/>
      <c r="K30" s="842"/>
      <c r="L30" s="842"/>
      <c r="M30" s="842"/>
      <c r="N30" s="842"/>
      <c r="O30" s="842"/>
      <c r="P30" s="842"/>
      <c r="Q30" s="66"/>
      <c r="R30" s="2"/>
      <c r="S30" s="2"/>
      <c r="T30" s="2"/>
    </row>
    <row r="31" spans="1:20">
      <c r="A31" s="22">
        <v>41519</v>
      </c>
      <c r="B31" s="20" t="s">
        <v>10</v>
      </c>
      <c r="C31" s="33">
        <f t="shared" si="5"/>
        <v>41519</v>
      </c>
      <c r="D31" s="33"/>
      <c r="E31" s="68"/>
      <c r="F31" s="68"/>
      <c r="G31" s="68"/>
      <c r="H31" s="68"/>
      <c r="I31" s="2"/>
      <c r="J31" s="842"/>
      <c r="K31" s="842"/>
      <c r="L31" s="842"/>
      <c r="M31" s="842"/>
      <c r="N31" s="842"/>
      <c r="O31" s="842"/>
      <c r="P31" s="842"/>
      <c r="Q31" s="66"/>
      <c r="R31" s="2"/>
      <c r="S31" s="2"/>
      <c r="T31" s="2"/>
    </row>
    <row r="32" spans="1:20">
      <c r="A32" s="22">
        <v>41589</v>
      </c>
      <c r="B32" s="20" t="s">
        <v>1</v>
      </c>
      <c r="C32" s="33">
        <f t="shared" si="5"/>
        <v>41589</v>
      </c>
      <c r="D32" s="33"/>
      <c r="E32" s="68"/>
      <c r="F32" s="68"/>
      <c r="G32" s="68"/>
      <c r="H32" s="68"/>
      <c r="I32" s="2"/>
      <c r="J32" s="842"/>
      <c r="K32" s="842"/>
      <c r="L32" s="842"/>
      <c r="M32" s="842"/>
      <c r="N32" s="842"/>
      <c r="O32" s="842"/>
      <c r="P32" s="842"/>
      <c r="Q32" s="66"/>
      <c r="R32" s="2"/>
      <c r="S32" s="2"/>
      <c r="T32" s="2"/>
    </row>
    <row r="33" spans="1:20">
      <c r="A33" s="22">
        <v>41606</v>
      </c>
      <c r="B33" s="20" t="s">
        <v>2</v>
      </c>
      <c r="C33" s="33">
        <f t="shared" si="5"/>
        <v>41606</v>
      </c>
      <c r="D33" s="33"/>
      <c r="E33" s="68"/>
      <c r="F33" s="68"/>
      <c r="G33" s="68"/>
      <c r="H33" s="68"/>
      <c r="I33" s="2"/>
      <c r="J33" s="842"/>
      <c r="K33" s="842"/>
      <c r="L33" s="842"/>
      <c r="M33" s="842"/>
      <c r="N33" s="842"/>
      <c r="O33" s="842"/>
      <c r="P33" s="842"/>
      <c r="Q33" s="66"/>
      <c r="R33" s="2"/>
      <c r="S33" s="2"/>
      <c r="T33" s="2"/>
    </row>
    <row r="34" spans="1:20">
      <c r="A34" s="22">
        <v>41633</v>
      </c>
      <c r="B34" s="20" t="s">
        <v>4</v>
      </c>
      <c r="C34" s="33">
        <f t="shared" si="5"/>
        <v>41633</v>
      </c>
      <c r="D34" s="33"/>
      <c r="E34" s="68"/>
      <c r="F34" s="68"/>
      <c r="G34" s="68"/>
      <c r="H34" s="68"/>
      <c r="I34" s="2"/>
      <c r="J34" s="842"/>
      <c r="K34" s="842"/>
      <c r="L34" s="842"/>
      <c r="M34" s="842"/>
      <c r="N34" s="842"/>
      <c r="O34" s="842"/>
      <c r="P34" s="842"/>
      <c r="Q34" s="66"/>
      <c r="R34" s="2"/>
      <c r="S34" s="2"/>
      <c r="T34" s="2"/>
    </row>
    <row r="35" spans="1:20">
      <c r="A35" s="22">
        <v>41640</v>
      </c>
      <c r="B35" s="20" t="s">
        <v>5</v>
      </c>
      <c r="C35" s="33">
        <f t="shared" si="5"/>
        <v>41640</v>
      </c>
      <c r="D35" s="33"/>
      <c r="E35" s="68"/>
      <c r="F35" s="68"/>
      <c r="G35" s="68"/>
      <c r="H35" s="68"/>
      <c r="I35" s="2"/>
      <c r="J35" s="842"/>
      <c r="K35" s="842"/>
      <c r="L35" s="842"/>
      <c r="M35" s="842"/>
      <c r="N35" s="842"/>
      <c r="O35" s="842"/>
      <c r="P35" s="842"/>
      <c r="Q35" s="66"/>
      <c r="R35" s="2"/>
      <c r="S35" s="2"/>
      <c r="T35" s="2"/>
    </row>
    <row r="36" spans="1:20">
      <c r="A36" s="22">
        <v>41659</v>
      </c>
      <c r="B36" s="20" t="s">
        <v>6</v>
      </c>
      <c r="C36" s="33">
        <f t="shared" si="5"/>
        <v>41659</v>
      </c>
      <c r="D36" s="33"/>
      <c r="E36" s="68"/>
      <c r="F36" s="68"/>
      <c r="G36" s="68"/>
      <c r="H36" s="68"/>
      <c r="I36" s="2"/>
      <c r="J36" s="842"/>
      <c r="K36" s="842"/>
      <c r="L36" s="842"/>
      <c r="M36" s="842"/>
      <c r="N36" s="842"/>
      <c r="O36" s="842"/>
      <c r="P36" s="842"/>
      <c r="Q36" s="66"/>
      <c r="R36" s="2"/>
      <c r="S36" s="2"/>
      <c r="T36" s="2"/>
    </row>
    <row r="37" spans="1:20">
      <c r="A37" s="22">
        <v>41687</v>
      </c>
      <c r="B37" s="20" t="s">
        <v>7</v>
      </c>
      <c r="C37" s="33">
        <f t="shared" si="5"/>
        <v>41687</v>
      </c>
      <c r="D37" s="33"/>
      <c r="E37" s="68"/>
      <c r="F37" s="68"/>
      <c r="G37" s="68"/>
      <c r="H37" s="68"/>
      <c r="I37" s="2"/>
      <c r="J37" s="842"/>
      <c r="K37" s="842"/>
      <c r="L37" s="842"/>
      <c r="M37" s="842"/>
      <c r="N37" s="842"/>
      <c r="O37" s="842"/>
      <c r="P37" s="842"/>
      <c r="Q37" s="66"/>
      <c r="R37" s="2"/>
      <c r="S37" s="2"/>
      <c r="T37" s="2"/>
    </row>
    <row r="38" spans="1:20">
      <c r="A38" s="22">
        <v>41785</v>
      </c>
      <c r="B38" s="20" t="s">
        <v>8</v>
      </c>
      <c r="C38" s="33">
        <f t="shared" si="5"/>
        <v>41785</v>
      </c>
      <c r="D38" s="33"/>
      <c r="E38" s="68"/>
      <c r="F38" s="68"/>
      <c r="G38" s="68"/>
      <c r="H38" s="68"/>
      <c r="I38" s="2"/>
      <c r="J38" s="842"/>
      <c r="K38" s="842"/>
      <c r="L38" s="842"/>
      <c r="M38" s="842"/>
      <c r="N38" s="842"/>
      <c r="O38" s="842"/>
      <c r="P38" s="842"/>
      <c r="Q38" s="66"/>
      <c r="R38" s="2"/>
      <c r="S38" s="2"/>
      <c r="T38" s="2"/>
    </row>
    <row r="39" spans="1:20">
      <c r="A39" s="22">
        <v>41824</v>
      </c>
      <c r="B39" s="20" t="s">
        <v>9</v>
      </c>
      <c r="C39" s="33">
        <f t="shared" si="5"/>
        <v>41824</v>
      </c>
      <c r="D39" s="33"/>
      <c r="E39" s="68"/>
      <c r="F39" s="68"/>
      <c r="G39" s="68"/>
      <c r="H39" s="68"/>
      <c r="I39" s="2"/>
      <c r="J39" s="842"/>
      <c r="K39" s="842"/>
      <c r="L39" s="842"/>
      <c r="M39" s="842"/>
      <c r="N39" s="842"/>
      <c r="O39" s="842"/>
      <c r="P39" s="842"/>
      <c r="Q39" s="66"/>
      <c r="R39" s="2"/>
      <c r="S39" s="2"/>
      <c r="T39" s="2"/>
    </row>
    <row r="40" spans="1:20">
      <c r="A40" s="22">
        <v>41884</v>
      </c>
      <c r="B40" s="20" t="s">
        <v>10</v>
      </c>
      <c r="C40" s="33">
        <f t="shared" si="5"/>
        <v>41884</v>
      </c>
      <c r="D40" s="33"/>
      <c r="E40" s="68"/>
      <c r="F40" s="68"/>
      <c r="G40" s="68"/>
      <c r="H40" s="68"/>
      <c r="I40" s="2"/>
      <c r="J40" s="842"/>
      <c r="K40" s="842"/>
      <c r="L40" s="842"/>
      <c r="M40" s="842"/>
      <c r="N40" s="842"/>
      <c r="O40" s="842"/>
      <c r="P40" s="842"/>
      <c r="Q40" s="66"/>
      <c r="R40" s="2"/>
      <c r="S40" s="2"/>
      <c r="T40" s="2"/>
    </row>
    <row r="41" spans="1:20">
      <c r="A41" s="22">
        <v>41954</v>
      </c>
      <c r="B41" s="20" t="s">
        <v>1</v>
      </c>
      <c r="C41" s="33">
        <f t="shared" si="5"/>
        <v>41954</v>
      </c>
      <c r="D41" s="33"/>
      <c r="E41" s="68"/>
      <c r="F41" s="68"/>
      <c r="G41" s="68"/>
      <c r="H41" s="68"/>
      <c r="I41" s="2"/>
      <c r="J41" s="842"/>
      <c r="K41" s="842"/>
      <c r="L41" s="842"/>
      <c r="M41" s="842"/>
      <c r="N41" s="842"/>
      <c r="O41" s="842"/>
      <c r="P41" s="842"/>
      <c r="Q41" s="66"/>
      <c r="R41" s="2"/>
      <c r="S41" s="2"/>
      <c r="T41" s="2"/>
    </row>
    <row r="42" spans="1:20">
      <c r="A42" s="22">
        <v>41970</v>
      </c>
      <c r="B42" s="20" t="s">
        <v>2</v>
      </c>
      <c r="C42" s="33">
        <f t="shared" si="5"/>
        <v>41970</v>
      </c>
      <c r="D42" s="33"/>
      <c r="E42" s="68"/>
      <c r="F42" s="68"/>
      <c r="G42" s="68"/>
      <c r="H42" s="68"/>
      <c r="I42" s="2"/>
      <c r="J42" s="842"/>
      <c r="K42" s="842"/>
      <c r="L42" s="842"/>
      <c r="M42" s="842"/>
      <c r="N42" s="842"/>
      <c r="O42" s="842"/>
      <c r="P42" s="842"/>
      <c r="Q42" s="66"/>
      <c r="R42" s="2"/>
      <c r="S42" s="2"/>
      <c r="T42" s="2"/>
    </row>
    <row r="43" spans="1:20">
      <c r="A43" s="22">
        <v>41998</v>
      </c>
      <c r="B43" s="20" t="s">
        <v>4</v>
      </c>
      <c r="C43" s="33">
        <f t="shared" si="5"/>
        <v>41998</v>
      </c>
      <c r="D43" s="33"/>
      <c r="E43" s="68"/>
      <c r="F43" s="68"/>
      <c r="G43" s="68"/>
      <c r="H43" s="68"/>
      <c r="I43" s="2"/>
      <c r="J43" s="842"/>
      <c r="K43" s="842"/>
      <c r="L43" s="842"/>
      <c r="M43" s="842"/>
      <c r="N43" s="842"/>
      <c r="O43" s="842"/>
      <c r="P43" s="842"/>
      <c r="Q43" s="66"/>
      <c r="R43" s="2"/>
      <c r="S43" s="2"/>
      <c r="T43" s="2"/>
    </row>
    <row r="44" spans="1:20">
      <c r="A44" s="22">
        <v>42005</v>
      </c>
      <c r="B44" s="20" t="s">
        <v>5</v>
      </c>
      <c r="C44" s="33">
        <f t="shared" si="5"/>
        <v>42005</v>
      </c>
      <c r="D44" s="33"/>
      <c r="E44" s="68"/>
      <c r="F44" s="68"/>
      <c r="G44" s="68"/>
      <c r="H44" s="68"/>
      <c r="I44" s="2"/>
      <c r="J44" s="842"/>
      <c r="K44" s="842"/>
      <c r="L44" s="842"/>
      <c r="M44" s="842"/>
      <c r="N44" s="842"/>
      <c r="O44" s="842"/>
      <c r="P44" s="842"/>
      <c r="Q44" s="66"/>
      <c r="R44" s="2"/>
      <c r="S44" s="2"/>
      <c r="T44" s="2"/>
    </row>
    <row r="45" spans="1:20">
      <c r="A45" s="22">
        <v>42023</v>
      </c>
      <c r="B45" s="20" t="s">
        <v>6</v>
      </c>
      <c r="C45" s="33">
        <f t="shared" si="5"/>
        <v>42023</v>
      </c>
      <c r="D45" s="33"/>
      <c r="E45" s="68"/>
      <c r="F45" s="68"/>
      <c r="G45" s="68"/>
      <c r="H45" s="68"/>
      <c r="I45" s="2"/>
      <c r="J45" s="842"/>
      <c r="K45" s="842"/>
      <c r="L45" s="842"/>
      <c r="M45" s="842"/>
      <c r="N45" s="842"/>
      <c r="O45" s="842"/>
      <c r="P45" s="842"/>
      <c r="Q45" s="66"/>
      <c r="R45" s="2"/>
      <c r="S45" s="2"/>
      <c r="T45" s="2"/>
    </row>
    <row r="46" spans="1:20">
      <c r="A46" s="22">
        <v>42051</v>
      </c>
      <c r="B46" s="20" t="s">
        <v>7</v>
      </c>
      <c r="C46" s="33">
        <f t="shared" si="5"/>
        <v>42051</v>
      </c>
      <c r="D46" s="33"/>
      <c r="E46" s="68"/>
      <c r="F46" s="68"/>
      <c r="G46" s="68"/>
      <c r="H46" s="68"/>
      <c r="I46" s="2"/>
      <c r="J46" s="842"/>
      <c r="K46" s="842"/>
      <c r="L46" s="842"/>
      <c r="M46" s="842"/>
      <c r="N46" s="842"/>
      <c r="O46" s="842"/>
      <c r="P46" s="842"/>
      <c r="Q46" s="66"/>
      <c r="R46" s="2"/>
      <c r="S46" s="2"/>
      <c r="T46" s="2"/>
    </row>
    <row r="47" spans="1:20">
      <c r="A47" s="22">
        <v>42149</v>
      </c>
      <c r="B47" s="20" t="s">
        <v>8</v>
      </c>
      <c r="C47" s="33">
        <f t="shared" si="5"/>
        <v>42149</v>
      </c>
      <c r="D47" s="33"/>
      <c r="E47" s="68"/>
      <c r="F47" s="68"/>
      <c r="G47" s="68"/>
      <c r="H47" s="68"/>
      <c r="I47" s="2"/>
      <c r="J47" s="842"/>
      <c r="K47" s="842"/>
      <c r="L47" s="842"/>
      <c r="M47" s="842"/>
      <c r="N47" s="842"/>
      <c r="O47" s="842"/>
      <c r="P47" s="842"/>
      <c r="Q47" s="66"/>
      <c r="R47" s="2"/>
      <c r="S47" s="2"/>
      <c r="T47" s="2"/>
    </row>
    <row r="48" spans="1:20">
      <c r="A48" s="22">
        <v>42188</v>
      </c>
      <c r="B48" s="20" t="s">
        <v>9</v>
      </c>
      <c r="C48" s="33">
        <f t="shared" si="5"/>
        <v>42188</v>
      </c>
      <c r="D48" s="33"/>
      <c r="E48" s="68"/>
      <c r="F48" s="68"/>
      <c r="G48" s="68"/>
      <c r="H48" s="68"/>
      <c r="I48" s="2"/>
      <c r="J48" s="842"/>
      <c r="K48" s="842"/>
      <c r="L48" s="842"/>
      <c r="M48" s="842"/>
      <c r="N48" s="842"/>
      <c r="O48" s="842"/>
      <c r="P48" s="842"/>
      <c r="Q48" s="66"/>
      <c r="R48" s="2"/>
      <c r="S48" s="2"/>
      <c r="T48" s="2"/>
    </row>
    <row r="49" spans="1:20">
      <c r="A49" s="22">
        <v>42254</v>
      </c>
      <c r="B49" s="20" t="s">
        <v>10</v>
      </c>
      <c r="C49" s="33">
        <f t="shared" si="5"/>
        <v>42254</v>
      </c>
      <c r="D49" s="33"/>
      <c r="E49" s="68"/>
      <c r="F49" s="68"/>
      <c r="G49" s="68"/>
      <c r="H49" s="68"/>
      <c r="I49" s="2"/>
      <c r="J49" s="842"/>
      <c r="K49" s="842"/>
      <c r="L49" s="842"/>
      <c r="M49" s="842"/>
      <c r="N49" s="842"/>
      <c r="O49" s="842"/>
      <c r="P49" s="842"/>
      <c r="Q49" s="66"/>
      <c r="R49" s="2"/>
      <c r="S49" s="2"/>
      <c r="T49" s="2"/>
    </row>
    <row r="50" spans="1:20">
      <c r="A50" s="22">
        <v>42319</v>
      </c>
      <c r="B50" s="20" t="s">
        <v>1</v>
      </c>
      <c r="C50" s="33">
        <f t="shared" si="5"/>
        <v>42319</v>
      </c>
      <c r="D50" s="33"/>
      <c r="E50" s="68"/>
      <c r="F50" s="68"/>
      <c r="G50" s="68"/>
      <c r="H50" s="68"/>
      <c r="I50" s="2"/>
      <c r="J50" s="842"/>
      <c r="K50" s="842"/>
      <c r="L50" s="842"/>
      <c r="M50" s="842"/>
      <c r="N50" s="842"/>
      <c r="O50" s="842"/>
      <c r="P50" s="842"/>
      <c r="Q50" s="66"/>
      <c r="R50" s="2"/>
      <c r="S50" s="2"/>
      <c r="T50" s="2"/>
    </row>
    <row r="51" spans="1:20">
      <c r="A51" s="22">
        <v>42334</v>
      </c>
      <c r="B51" s="20" t="s">
        <v>2</v>
      </c>
      <c r="C51" s="33">
        <f t="shared" si="5"/>
        <v>42334</v>
      </c>
      <c r="D51" s="33"/>
      <c r="E51" s="68"/>
      <c r="F51" s="68"/>
      <c r="G51" s="68"/>
      <c r="H51" s="68"/>
      <c r="I51" s="2"/>
      <c r="J51" s="842"/>
      <c r="K51" s="842"/>
      <c r="L51" s="842"/>
      <c r="M51" s="842"/>
      <c r="N51" s="842"/>
      <c r="O51" s="842"/>
      <c r="P51" s="842"/>
      <c r="Q51" s="66"/>
      <c r="R51" s="2"/>
      <c r="S51" s="2"/>
      <c r="T51" s="2"/>
    </row>
    <row r="52" spans="1:20">
      <c r="A52" s="22">
        <v>42363</v>
      </c>
      <c r="B52" s="20" t="s">
        <v>4</v>
      </c>
      <c r="C52" s="33">
        <f t="shared" si="5"/>
        <v>42363</v>
      </c>
      <c r="D52" s="33"/>
      <c r="E52" s="68"/>
      <c r="F52" s="68"/>
      <c r="G52" s="68"/>
      <c r="H52" s="68"/>
      <c r="I52" s="2"/>
      <c r="J52" s="842"/>
      <c r="K52" s="842"/>
      <c r="L52" s="842"/>
      <c r="M52" s="842"/>
      <c r="N52" s="842"/>
      <c r="O52" s="842"/>
      <c r="P52" s="842"/>
      <c r="Q52" s="66"/>
      <c r="R52" s="2"/>
      <c r="S52" s="2"/>
      <c r="T52" s="2"/>
    </row>
    <row r="53" spans="1:20">
      <c r="A53" s="22">
        <v>42370</v>
      </c>
      <c r="B53" s="20" t="s">
        <v>5</v>
      </c>
      <c r="C53" s="33">
        <f t="shared" ref="C53:C61" si="6">A53</f>
        <v>42370</v>
      </c>
      <c r="D53" s="33"/>
      <c r="E53" s="68"/>
      <c r="F53" s="68"/>
      <c r="G53" s="68"/>
      <c r="H53" s="68"/>
      <c r="I53" s="2"/>
      <c r="J53" s="842"/>
      <c r="K53" s="842"/>
      <c r="L53" s="842"/>
      <c r="M53" s="842"/>
      <c r="N53" s="842"/>
      <c r="O53" s="842"/>
      <c r="P53" s="842"/>
      <c r="Q53" s="66"/>
      <c r="R53" s="2"/>
      <c r="S53" s="2"/>
      <c r="T53" s="2"/>
    </row>
    <row r="54" spans="1:20">
      <c r="A54" s="22">
        <v>42387</v>
      </c>
      <c r="B54" s="20" t="s">
        <v>6</v>
      </c>
      <c r="C54" s="33">
        <f t="shared" si="6"/>
        <v>42387</v>
      </c>
      <c r="D54" s="33"/>
      <c r="E54" s="68"/>
      <c r="F54" s="68"/>
      <c r="G54" s="68"/>
      <c r="H54" s="68"/>
      <c r="I54" s="2"/>
      <c r="J54" s="842"/>
      <c r="K54" s="842"/>
      <c r="L54" s="842"/>
      <c r="M54" s="842"/>
      <c r="N54" s="842"/>
      <c r="O54" s="842"/>
      <c r="P54" s="842"/>
      <c r="Q54" s="66"/>
      <c r="R54" s="2"/>
      <c r="S54" s="2"/>
      <c r="T54" s="2"/>
    </row>
    <row r="55" spans="1:20">
      <c r="A55" s="22">
        <v>42415</v>
      </c>
      <c r="B55" s="20" t="s">
        <v>7</v>
      </c>
      <c r="C55" s="33">
        <f t="shared" si="6"/>
        <v>42415</v>
      </c>
      <c r="D55" s="33"/>
      <c r="E55" s="68"/>
      <c r="F55" s="68"/>
      <c r="G55" s="68"/>
      <c r="H55" s="68"/>
      <c r="I55" s="2"/>
      <c r="J55" s="842"/>
      <c r="K55" s="842"/>
      <c r="L55" s="842"/>
      <c r="M55" s="842"/>
      <c r="N55" s="842"/>
      <c r="O55" s="842"/>
      <c r="P55" s="842"/>
      <c r="Q55" s="66"/>
      <c r="R55" s="2"/>
      <c r="S55" s="2"/>
      <c r="T55" s="2"/>
    </row>
    <row r="56" spans="1:20">
      <c r="A56" s="22">
        <v>42520</v>
      </c>
      <c r="B56" s="20" t="s">
        <v>8</v>
      </c>
      <c r="C56" s="33">
        <f t="shared" si="6"/>
        <v>42520</v>
      </c>
      <c r="D56" s="33"/>
      <c r="E56" s="68"/>
      <c r="F56" s="68"/>
      <c r="G56" s="68"/>
      <c r="H56" s="68"/>
      <c r="I56" s="2"/>
      <c r="J56" s="842"/>
      <c r="K56" s="842"/>
      <c r="L56" s="842"/>
      <c r="M56" s="842"/>
      <c r="N56" s="842"/>
      <c r="O56" s="842"/>
      <c r="P56" s="842"/>
      <c r="Q56" s="66"/>
      <c r="R56" s="2"/>
      <c r="S56" s="2"/>
      <c r="T56" s="2"/>
    </row>
    <row r="57" spans="1:20">
      <c r="A57" s="22">
        <v>42555</v>
      </c>
      <c r="B57" s="20" t="s">
        <v>9</v>
      </c>
      <c r="C57" s="33">
        <f t="shared" si="6"/>
        <v>42555</v>
      </c>
      <c r="D57" s="33"/>
      <c r="E57" s="68"/>
      <c r="F57" s="68"/>
      <c r="G57" s="68"/>
      <c r="H57" s="68"/>
      <c r="I57" s="2"/>
      <c r="J57" s="842"/>
      <c r="K57" s="842"/>
      <c r="L57" s="842"/>
      <c r="M57" s="842"/>
      <c r="N57" s="842"/>
      <c r="O57" s="842"/>
      <c r="P57" s="842"/>
      <c r="Q57" s="66"/>
      <c r="R57" s="2"/>
      <c r="S57" s="2"/>
      <c r="T57" s="2"/>
    </row>
    <row r="58" spans="1:20">
      <c r="A58" s="22">
        <v>42618</v>
      </c>
      <c r="B58" s="20" t="s">
        <v>10</v>
      </c>
      <c r="C58" s="33">
        <f t="shared" si="6"/>
        <v>42618</v>
      </c>
      <c r="D58" s="33"/>
      <c r="E58" s="68"/>
      <c r="F58" s="68"/>
      <c r="G58" s="68"/>
      <c r="H58" s="68"/>
      <c r="I58" s="2"/>
      <c r="J58" s="842"/>
      <c r="K58" s="842"/>
      <c r="L58" s="842"/>
      <c r="M58" s="842"/>
      <c r="N58" s="842"/>
      <c r="O58" s="842"/>
      <c r="P58" s="842"/>
      <c r="Q58" s="66"/>
      <c r="R58" s="2"/>
      <c r="S58" s="2"/>
      <c r="T58" s="2"/>
    </row>
    <row r="59" spans="1:20">
      <c r="A59" s="22">
        <v>42685</v>
      </c>
      <c r="B59" s="20" t="s">
        <v>1</v>
      </c>
      <c r="C59" s="33">
        <f t="shared" si="6"/>
        <v>42685</v>
      </c>
      <c r="D59" s="33"/>
      <c r="E59" s="68"/>
      <c r="F59" s="68"/>
      <c r="G59" s="68"/>
      <c r="H59" s="68"/>
      <c r="I59" s="2"/>
      <c r="J59" s="842"/>
      <c r="K59" s="842"/>
      <c r="L59" s="842"/>
      <c r="M59" s="842"/>
      <c r="N59" s="842"/>
      <c r="O59" s="842"/>
      <c r="P59" s="842"/>
      <c r="Q59" s="66"/>
      <c r="R59" s="2"/>
      <c r="S59" s="2"/>
      <c r="T59" s="2"/>
    </row>
    <row r="60" spans="1:20">
      <c r="A60" s="22">
        <v>42698</v>
      </c>
      <c r="B60" s="20" t="s">
        <v>2</v>
      </c>
      <c r="C60" s="33">
        <f t="shared" si="6"/>
        <v>42698</v>
      </c>
      <c r="D60" s="33"/>
      <c r="E60" s="68"/>
      <c r="F60" s="68"/>
      <c r="G60" s="68"/>
      <c r="H60" s="68"/>
      <c r="I60" s="2"/>
      <c r="J60" s="842"/>
      <c r="K60" s="842"/>
      <c r="L60" s="842"/>
      <c r="M60" s="842"/>
      <c r="N60" s="842"/>
      <c r="O60" s="842"/>
      <c r="P60" s="842"/>
      <c r="Q60" s="66"/>
      <c r="R60" s="2"/>
      <c r="S60" s="2"/>
      <c r="T60" s="2"/>
    </row>
    <row r="61" spans="1:20">
      <c r="A61" s="22">
        <v>42730</v>
      </c>
      <c r="B61" s="20" t="s">
        <v>4</v>
      </c>
      <c r="C61" s="33">
        <f t="shared" si="6"/>
        <v>42730</v>
      </c>
      <c r="D61" s="33"/>
      <c r="E61" s="68"/>
      <c r="F61" s="68"/>
      <c r="G61" s="68"/>
      <c r="H61" s="68"/>
      <c r="I61" s="2"/>
      <c r="J61" s="842"/>
      <c r="K61" s="842"/>
      <c r="L61" s="842"/>
      <c r="M61" s="842"/>
      <c r="N61" s="842"/>
      <c r="O61" s="842"/>
      <c r="P61" s="842"/>
      <c r="Q61" s="66"/>
      <c r="R61" s="2"/>
      <c r="S61" s="2"/>
      <c r="T61" s="2"/>
    </row>
    <row r="62" spans="1:20">
      <c r="A62" s="22">
        <v>42737</v>
      </c>
      <c r="B62" s="20" t="s">
        <v>5</v>
      </c>
      <c r="C62" s="33">
        <f t="shared" ref="C62:C70" si="7">A62</f>
        <v>42737</v>
      </c>
      <c r="D62" s="33"/>
      <c r="E62" s="68"/>
      <c r="F62" s="68"/>
      <c r="G62" s="68"/>
      <c r="H62" s="68"/>
      <c r="I62" s="2"/>
      <c r="J62" s="842"/>
      <c r="K62" s="842"/>
      <c r="L62" s="842"/>
      <c r="M62" s="842"/>
      <c r="N62" s="842"/>
      <c r="O62" s="842"/>
      <c r="P62" s="842"/>
      <c r="Q62" s="66"/>
      <c r="R62" s="2"/>
      <c r="S62" s="2"/>
      <c r="T62" s="2"/>
    </row>
    <row r="63" spans="1:20">
      <c r="A63" s="22">
        <v>42751</v>
      </c>
      <c r="B63" s="20" t="s">
        <v>6</v>
      </c>
      <c r="C63" s="33">
        <f t="shared" si="7"/>
        <v>42751</v>
      </c>
      <c r="D63" s="33"/>
      <c r="E63" s="68"/>
      <c r="F63" s="68"/>
      <c r="G63" s="68"/>
      <c r="H63" s="68"/>
      <c r="I63" s="2"/>
      <c r="J63" s="842"/>
      <c r="K63" s="842"/>
      <c r="L63" s="842"/>
      <c r="M63" s="842"/>
      <c r="N63" s="842"/>
      <c r="O63" s="842"/>
      <c r="P63" s="842"/>
      <c r="Q63" s="66"/>
      <c r="R63" s="2"/>
      <c r="S63" s="2"/>
      <c r="T63" s="2"/>
    </row>
    <row r="64" spans="1:20">
      <c r="A64" s="22">
        <v>42786</v>
      </c>
      <c r="B64" s="20" t="s">
        <v>7</v>
      </c>
      <c r="C64" s="33">
        <f t="shared" si="7"/>
        <v>42786</v>
      </c>
      <c r="D64" s="33"/>
      <c r="E64" s="68"/>
      <c r="F64" s="68"/>
      <c r="G64" s="68"/>
      <c r="H64" s="68"/>
      <c r="I64" s="2"/>
      <c r="J64" s="842"/>
      <c r="K64" s="842"/>
      <c r="L64" s="842"/>
      <c r="M64" s="842"/>
      <c r="N64" s="842"/>
      <c r="O64" s="842"/>
      <c r="P64" s="842"/>
      <c r="Q64" s="66"/>
      <c r="R64" s="2"/>
      <c r="S64" s="2"/>
      <c r="T64" s="2"/>
    </row>
    <row r="65" spans="1:20">
      <c r="A65" s="22">
        <v>42884</v>
      </c>
      <c r="B65" s="20" t="s">
        <v>8</v>
      </c>
      <c r="C65" s="33">
        <f t="shared" si="7"/>
        <v>42884</v>
      </c>
      <c r="D65" s="33"/>
      <c r="E65" s="68"/>
      <c r="F65" s="68"/>
      <c r="G65" s="68"/>
      <c r="H65" s="68"/>
      <c r="I65" s="2"/>
      <c r="J65" s="842"/>
      <c r="K65" s="842"/>
      <c r="L65" s="842"/>
      <c r="M65" s="842"/>
      <c r="N65" s="842"/>
      <c r="O65" s="842"/>
      <c r="P65" s="842"/>
      <c r="Q65" s="66"/>
      <c r="R65" s="2"/>
      <c r="S65" s="2"/>
      <c r="T65" s="2"/>
    </row>
    <row r="66" spans="1:20">
      <c r="A66" s="22">
        <v>42920</v>
      </c>
      <c r="B66" s="20" t="s">
        <v>9</v>
      </c>
      <c r="C66" s="33">
        <f t="shared" si="7"/>
        <v>42920</v>
      </c>
      <c r="D66" s="33"/>
      <c r="E66" s="68"/>
      <c r="F66" s="68"/>
      <c r="G66" s="68"/>
      <c r="H66" s="68"/>
      <c r="I66" s="2"/>
      <c r="J66" s="842"/>
      <c r="K66" s="842"/>
      <c r="L66" s="842"/>
      <c r="M66" s="842"/>
      <c r="N66" s="842"/>
      <c r="O66" s="842"/>
      <c r="P66" s="842"/>
      <c r="Q66" s="66"/>
      <c r="R66" s="2"/>
      <c r="S66" s="2"/>
      <c r="T66" s="2"/>
    </row>
    <row r="67" spans="1:20">
      <c r="A67" s="22">
        <v>42982</v>
      </c>
      <c r="B67" s="20" t="s">
        <v>10</v>
      </c>
      <c r="C67" s="33">
        <f t="shared" si="7"/>
        <v>42982</v>
      </c>
      <c r="D67" s="33"/>
      <c r="E67" s="68"/>
      <c r="F67" s="68"/>
      <c r="G67" s="68"/>
      <c r="H67" s="68"/>
      <c r="I67" s="2"/>
      <c r="J67" s="842"/>
      <c r="K67" s="842"/>
      <c r="L67" s="842"/>
      <c r="M67" s="842"/>
      <c r="N67" s="842"/>
      <c r="O67" s="842"/>
      <c r="P67" s="842"/>
      <c r="Q67" s="66"/>
      <c r="R67" s="2"/>
      <c r="S67" s="2"/>
      <c r="T67" s="2"/>
    </row>
    <row r="68" spans="1:20">
      <c r="A68" s="22">
        <v>43049</v>
      </c>
      <c r="B68" s="20" t="s">
        <v>1</v>
      </c>
      <c r="C68" s="33">
        <f t="shared" si="7"/>
        <v>43049</v>
      </c>
      <c r="D68" s="33"/>
      <c r="E68" s="68"/>
      <c r="F68" s="68"/>
      <c r="G68" s="68"/>
      <c r="H68" s="68"/>
      <c r="I68" s="2"/>
      <c r="J68" s="842"/>
      <c r="K68" s="842"/>
      <c r="L68" s="842"/>
      <c r="M68" s="842"/>
      <c r="N68" s="842"/>
      <c r="O68" s="842"/>
      <c r="P68" s="842"/>
      <c r="Q68" s="66"/>
      <c r="R68" s="2"/>
      <c r="S68" s="2"/>
      <c r="T68" s="2"/>
    </row>
    <row r="69" spans="1:20">
      <c r="A69" s="22">
        <v>43062</v>
      </c>
      <c r="B69" s="20" t="s">
        <v>2</v>
      </c>
      <c r="C69" s="33">
        <f t="shared" si="7"/>
        <v>43062</v>
      </c>
      <c r="D69" s="33"/>
      <c r="E69" s="68"/>
      <c r="F69" s="68"/>
      <c r="G69" s="68"/>
      <c r="H69" s="68"/>
      <c r="I69" s="2"/>
      <c r="J69" s="842"/>
      <c r="K69" s="842"/>
      <c r="L69" s="842"/>
      <c r="M69" s="842"/>
      <c r="N69" s="842"/>
      <c r="O69" s="842"/>
      <c r="P69" s="842"/>
      <c r="Q69" s="66"/>
      <c r="R69" s="2"/>
      <c r="S69" s="2"/>
      <c r="T69" s="2"/>
    </row>
    <row r="70" spans="1:20">
      <c r="A70" s="22">
        <v>43094</v>
      </c>
      <c r="B70" s="20" t="s">
        <v>4</v>
      </c>
      <c r="C70" s="33">
        <f t="shared" si="7"/>
        <v>43094</v>
      </c>
      <c r="D70" s="33"/>
      <c r="E70" s="68"/>
      <c r="F70" s="68"/>
      <c r="G70" s="68"/>
      <c r="H70" s="68"/>
      <c r="I70" s="2"/>
      <c r="J70" s="842"/>
      <c r="K70" s="842"/>
      <c r="L70" s="842"/>
      <c r="M70" s="842"/>
      <c r="N70" s="842"/>
      <c r="O70" s="842"/>
      <c r="P70" s="842"/>
      <c r="Q70" s="66"/>
      <c r="R70" s="2"/>
      <c r="S70" s="2"/>
      <c r="T70" s="2"/>
    </row>
    <row r="71" spans="1:20">
      <c r="A71" s="22">
        <v>43101</v>
      </c>
      <c r="B71" s="20" t="s">
        <v>5</v>
      </c>
      <c r="C71" s="33">
        <f t="shared" si="5"/>
        <v>43101</v>
      </c>
      <c r="D71" s="33"/>
      <c r="E71" s="68"/>
      <c r="F71" s="68"/>
      <c r="G71" s="68"/>
      <c r="H71" s="68"/>
      <c r="I71" s="2"/>
      <c r="J71" s="842"/>
      <c r="K71" s="842"/>
      <c r="L71" s="842"/>
      <c r="M71" s="842"/>
      <c r="N71" s="842"/>
      <c r="O71" s="842"/>
      <c r="P71" s="842"/>
      <c r="Q71" s="66"/>
      <c r="R71" s="2"/>
      <c r="S71" s="2"/>
      <c r="T71" s="2"/>
    </row>
    <row r="72" spans="1:20">
      <c r="A72" s="18" t="s">
        <v>18</v>
      </c>
      <c r="B72" s="19"/>
      <c r="C72" s="7"/>
      <c r="D72" s="7"/>
      <c r="E72" s="69"/>
      <c r="F72" s="69"/>
      <c r="G72" s="69"/>
      <c r="H72" s="69"/>
      <c r="I72" s="2"/>
      <c r="J72" s="842"/>
      <c r="K72" s="842"/>
      <c r="L72" s="842"/>
      <c r="M72" s="842"/>
      <c r="N72" s="842"/>
      <c r="O72" s="842"/>
      <c r="P72" s="842"/>
      <c r="Q72" s="66"/>
      <c r="R72" s="2"/>
      <c r="S72" s="2"/>
      <c r="T72" s="2"/>
    </row>
    <row r="73" spans="1:20">
      <c r="A73" s="11"/>
      <c r="B73" s="11"/>
      <c r="C73" s="12"/>
      <c r="D73" s="12"/>
      <c r="E73" s="70"/>
      <c r="F73" s="70"/>
      <c r="G73" s="70"/>
      <c r="H73" s="70"/>
      <c r="I73" s="2"/>
      <c r="J73" s="2"/>
      <c r="K73" s="2"/>
      <c r="L73" s="12"/>
      <c r="M73" s="12"/>
      <c r="N73" s="2"/>
      <c r="O73" s="2"/>
      <c r="P73" s="66"/>
      <c r="Q73" s="66"/>
      <c r="R73" s="2"/>
      <c r="S73" s="2"/>
      <c r="T73" s="2"/>
    </row>
    <row r="74" spans="1:20">
      <c r="A74" s="21" t="s">
        <v>13</v>
      </c>
      <c r="B74" s="21" t="s">
        <v>14</v>
      </c>
      <c r="C74" s="2"/>
      <c r="D74" s="2"/>
      <c r="E74" s="64"/>
      <c r="F74" s="64"/>
      <c r="G74" s="64"/>
      <c r="H74" s="64"/>
      <c r="I74" s="2"/>
      <c r="J74" s="2"/>
      <c r="K74" s="2"/>
      <c r="L74" s="2"/>
      <c r="M74" s="2"/>
      <c r="N74" s="2"/>
      <c r="O74" s="2"/>
      <c r="P74" s="66"/>
      <c r="Q74" s="66"/>
      <c r="R74" s="2"/>
      <c r="S74" s="2"/>
      <c r="T74" s="2"/>
    </row>
    <row r="75" spans="1:20">
      <c r="A75" s="28">
        <v>41275</v>
      </c>
      <c r="B75" s="28">
        <v>41257</v>
      </c>
      <c r="C75" s="31">
        <f>WORKDAY(B75,0,S.DDL_DEQClosed)</f>
        <v>41257</v>
      </c>
      <c r="D75" s="31"/>
      <c r="E75" s="23"/>
      <c r="F75" s="23"/>
      <c r="G75" s="23"/>
      <c r="H75" s="23"/>
      <c r="I75" s="2"/>
      <c r="J75" s="2"/>
      <c r="K75" s="61"/>
      <c r="L75" s="61"/>
      <c r="M75" s="13"/>
      <c r="N75" s="2"/>
      <c r="O75" s="2"/>
      <c r="P75" s="66"/>
      <c r="Q75" s="66"/>
      <c r="R75" s="2"/>
      <c r="S75" s="2"/>
      <c r="T75" s="2"/>
    </row>
    <row r="76" spans="1:20">
      <c r="A76" s="28">
        <v>41306</v>
      </c>
      <c r="B76" s="28">
        <v>41289</v>
      </c>
      <c r="C76" s="31">
        <f t="shared" ref="C76:C93" si="8">WORKDAY(B76,0,S.DDL_DEQClosed)</f>
        <v>41289</v>
      </c>
      <c r="D76" s="31"/>
      <c r="E76" s="23"/>
      <c r="F76" s="23"/>
      <c r="G76" s="23"/>
      <c r="H76" s="23"/>
      <c r="I76" s="2"/>
      <c r="J76" s="2"/>
      <c r="K76" s="61"/>
      <c r="L76" s="61"/>
      <c r="M76" s="13"/>
      <c r="N76" s="2"/>
      <c r="O76" s="2"/>
      <c r="P76" s="66"/>
      <c r="Q76" s="66"/>
      <c r="R76" s="2"/>
      <c r="S76" s="2"/>
      <c r="T76" s="2"/>
    </row>
    <row r="77" spans="1:20">
      <c r="A77" s="28">
        <v>41334</v>
      </c>
      <c r="B77" s="28">
        <v>41320</v>
      </c>
      <c r="C77" s="31">
        <f t="shared" si="8"/>
        <v>41320</v>
      </c>
      <c r="D77" s="31"/>
      <c r="E77" s="23"/>
      <c r="F77" s="23"/>
      <c r="G77" s="23"/>
      <c r="H77" s="23"/>
      <c r="I77" s="2"/>
      <c r="J77" s="2"/>
      <c r="K77" s="61"/>
      <c r="L77" s="61"/>
      <c r="M77" s="13"/>
      <c r="N77" s="2"/>
      <c r="O77" s="2"/>
      <c r="P77" s="66"/>
      <c r="Q77" s="66"/>
      <c r="R77" s="2"/>
      <c r="S77" s="2"/>
      <c r="T77" s="2"/>
    </row>
    <row r="78" spans="1:20">
      <c r="A78" s="28">
        <v>41365</v>
      </c>
      <c r="B78" s="28">
        <v>41348</v>
      </c>
      <c r="C78" s="31">
        <f t="shared" si="8"/>
        <v>41348</v>
      </c>
      <c r="D78" s="31"/>
      <c r="E78" s="23"/>
      <c r="F78" s="23"/>
      <c r="G78" s="23"/>
      <c r="H78" s="23"/>
      <c r="I78" s="2"/>
      <c r="J78" s="2"/>
      <c r="K78" s="61"/>
      <c r="L78" s="61"/>
      <c r="M78" s="13"/>
      <c r="N78" s="2"/>
      <c r="O78" s="2"/>
      <c r="P78" s="66"/>
      <c r="Q78" s="66"/>
      <c r="R78" s="2"/>
      <c r="S78" s="2"/>
      <c r="T78" s="2"/>
    </row>
    <row r="79" spans="1:20">
      <c r="A79" s="28">
        <v>41395</v>
      </c>
      <c r="B79" s="28">
        <v>41379</v>
      </c>
      <c r="C79" s="31">
        <f t="shared" si="8"/>
        <v>41379</v>
      </c>
      <c r="D79" s="31"/>
      <c r="E79" s="23"/>
      <c r="F79" s="23"/>
      <c r="G79" s="23"/>
      <c r="H79" s="23"/>
      <c r="I79" s="2"/>
      <c r="J79" s="2"/>
      <c r="K79" s="61"/>
      <c r="L79" s="61"/>
      <c r="M79" s="13"/>
      <c r="N79" s="2"/>
      <c r="O79" s="2"/>
      <c r="P79" s="66"/>
      <c r="Q79" s="66"/>
      <c r="R79" s="2"/>
      <c r="S79" s="2"/>
      <c r="T79" s="2"/>
    </row>
    <row r="80" spans="1:20">
      <c r="A80" s="28">
        <v>41426</v>
      </c>
      <c r="B80" s="28">
        <v>41409</v>
      </c>
      <c r="C80" s="31">
        <f t="shared" si="8"/>
        <v>41409</v>
      </c>
      <c r="D80" s="31"/>
      <c r="E80" s="23"/>
      <c r="F80" s="23"/>
      <c r="G80" s="23"/>
      <c r="H80" s="23"/>
      <c r="I80" s="2"/>
      <c r="J80" s="2"/>
      <c r="K80" s="61"/>
      <c r="L80" s="61"/>
      <c r="M80" s="13"/>
      <c r="N80" s="2"/>
      <c r="O80" s="2"/>
      <c r="P80" s="66"/>
      <c r="Q80" s="66"/>
      <c r="R80" s="2"/>
      <c r="S80" s="2"/>
      <c r="T80" s="2"/>
    </row>
    <row r="81" spans="1:20">
      <c r="A81" s="28">
        <v>41456</v>
      </c>
      <c r="B81" s="28">
        <v>41439</v>
      </c>
      <c r="C81" s="31">
        <f t="shared" si="8"/>
        <v>41439</v>
      </c>
      <c r="D81" s="31"/>
      <c r="E81" s="23"/>
      <c r="F81" s="23"/>
      <c r="G81" s="23"/>
      <c r="H81" s="23"/>
      <c r="I81" s="2"/>
      <c r="J81" s="2"/>
      <c r="K81" s="61"/>
      <c r="L81" s="61"/>
      <c r="M81" s="13"/>
      <c r="N81" s="2"/>
      <c r="O81" s="2"/>
      <c r="P81" s="66"/>
      <c r="Q81" s="66"/>
      <c r="R81" s="2"/>
      <c r="S81" s="2"/>
      <c r="T81" s="2"/>
    </row>
    <row r="82" spans="1:20">
      <c r="A82" s="28">
        <v>41487</v>
      </c>
      <c r="B82" s="28">
        <v>41470</v>
      </c>
      <c r="C82" s="31">
        <f t="shared" si="8"/>
        <v>41470</v>
      </c>
      <c r="D82" s="31"/>
      <c r="E82" s="23"/>
      <c r="F82" s="23"/>
      <c r="G82" s="23"/>
      <c r="H82" s="23"/>
      <c r="I82" s="2"/>
      <c r="J82" s="2"/>
      <c r="K82" s="61"/>
      <c r="L82" s="61"/>
      <c r="M82" s="13"/>
      <c r="N82" s="2"/>
      <c r="O82" s="2"/>
      <c r="P82" s="66"/>
      <c r="Q82" s="66"/>
      <c r="R82" s="2"/>
      <c r="S82" s="2"/>
      <c r="T82" s="2"/>
    </row>
    <row r="83" spans="1:20">
      <c r="A83" s="28">
        <v>41518</v>
      </c>
      <c r="B83" s="28">
        <v>41501</v>
      </c>
      <c r="C83" s="31">
        <f t="shared" si="8"/>
        <v>41501</v>
      </c>
      <c r="D83" s="31"/>
      <c r="E83" s="23"/>
      <c r="F83" s="23"/>
      <c r="G83" s="23"/>
      <c r="H83" s="23"/>
      <c r="I83" s="2"/>
      <c r="J83" s="2"/>
      <c r="K83" s="61"/>
      <c r="L83" s="61"/>
      <c r="M83" s="13"/>
      <c r="N83" s="2"/>
      <c r="O83" s="2"/>
      <c r="P83" s="66"/>
      <c r="Q83" s="66"/>
      <c r="R83" s="2"/>
      <c r="S83" s="2"/>
      <c r="T83" s="2"/>
    </row>
    <row r="84" spans="1:20">
      <c r="A84" s="28">
        <v>41548</v>
      </c>
      <c r="B84" s="28">
        <v>41530</v>
      </c>
      <c r="C84" s="31">
        <f t="shared" si="8"/>
        <v>41530</v>
      </c>
      <c r="D84" s="31"/>
      <c r="E84" s="23"/>
      <c r="F84" s="23"/>
      <c r="G84" s="23"/>
      <c r="H84" s="23"/>
      <c r="I84" s="2"/>
      <c r="J84" s="2"/>
      <c r="K84" s="61"/>
      <c r="L84" s="61"/>
      <c r="M84" s="13"/>
      <c r="N84" s="2"/>
      <c r="O84" s="2"/>
      <c r="P84" s="66"/>
      <c r="Q84" s="66"/>
      <c r="R84" s="2"/>
      <c r="S84" s="2"/>
      <c r="T84" s="2"/>
    </row>
    <row r="85" spans="1:20">
      <c r="A85" s="28">
        <v>41579</v>
      </c>
      <c r="B85" s="28">
        <v>41562</v>
      </c>
      <c r="C85" s="31">
        <f t="shared" si="8"/>
        <v>41562</v>
      </c>
      <c r="D85" s="31"/>
      <c r="E85" s="23"/>
      <c r="F85" s="23"/>
      <c r="G85" s="23"/>
      <c r="H85" s="23"/>
      <c r="I85" s="2"/>
      <c r="J85" s="2"/>
      <c r="K85" s="61"/>
      <c r="L85" s="61"/>
      <c r="M85" s="13"/>
      <c r="N85" s="2"/>
      <c r="O85" s="2"/>
      <c r="P85" s="66"/>
      <c r="Q85" s="66"/>
      <c r="R85" s="2"/>
      <c r="S85" s="2"/>
      <c r="T85" s="2"/>
    </row>
    <row r="86" spans="1:20">
      <c r="A86" s="28">
        <v>41609</v>
      </c>
      <c r="B86" s="28">
        <v>41593</v>
      </c>
      <c r="C86" s="31">
        <f t="shared" si="8"/>
        <v>41593</v>
      </c>
      <c r="D86" s="31"/>
      <c r="E86" s="23"/>
      <c r="F86" s="23"/>
      <c r="G86" s="23"/>
      <c r="H86" s="23"/>
      <c r="I86" s="2"/>
      <c r="J86" s="2"/>
      <c r="K86" s="61"/>
      <c r="L86" s="61"/>
      <c r="M86" s="13"/>
      <c r="N86" s="2"/>
      <c r="O86" s="2"/>
      <c r="P86" s="66"/>
      <c r="Q86" s="66"/>
      <c r="R86" s="2"/>
      <c r="S86" s="2"/>
      <c r="T86" s="2"/>
    </row>
    <row r="87" spans="1:20">
      <c r="A87" s="28">
        <v>41640</v>
      </c>
      <c r="B87" s="28">
        <v>41621</v>
      </c>
      <c r="C87" s="31">
        <f t="shared" si="8"/>
        <v>41621</v>
      </c>
      <c r="D87" s="31"/>
      <c r="E87" s="23"/>
      <c r="F87" s="23"/>
      <c r="G87" s="23"/>
      <c r="H87" s="23"/>
      <c r="I87" s="2"/>
      <c r="J87" s="2"/>
      <c r="K87" s="61"/>
      <c r="L87" s="61"/>
      <c r="M87" s="13"/>
      <c r="N87" s="2"/>
      <c r="O87" s="2"/>
      <c r="P87" s="66"/>
      <c r="Q87" s="66"/>
      <c r="R87" s="2"/>
      <c r="S87" s="2"/>
      <c r="T87" s="2"/>
    </row>
    <row r="88" spans="1:20">
      <c r="A88" s="28">
        <v>41671</v>
      </c>
      <c r="B88" s="28">
        <v>41654</v>
      </c>
      <c r="C88" s="31">
        <f t="shared" si="8"/>
        <v>41654</v>
      </c>
      <c r="D88" s="31"/>
      <c r="E88" s="23"/>
      <c r="F88" s="23"/>
      <c r="G88" s="23"/>
      <c r="H88" s="23"/>
      <c r="I88" s="2"/>
      <c r="J88" s="2"/>
      <c r="K88" s="61"/>
      <c r="L88" s="61"/>
      <c r="M88" s="13"/>
      <c r="N88" s="2"/>
      <c r="O88" s="2"/>
      <c r="P88" s="66"/>
      <c r="Q88" s="66"/>
      <c r="R88" s="2"/>
      <c r="S88" s="2"/>
      <c r="T88" s="2"/>
    </row>
    <row r="89" spans="1:20">
      <c r="A89" s="28">
        <v>41699</v>
      </c>
      <c r="B89" s="29">
        <v>41684</v>
      </c>
      <c r="C89" s="31">
        <f t="shared" si="8"/>
        <v>41684</v>
      </c>
      <c r="D89" s="31"/>
      <c r="E89" s="23"/>
      <c r="F89" s="23"/>
      <c r="G89" s="23"/>
      <c r="H89" s="23"/>
      <c r="I89" s="2"/>
      <c r="J89" s="2"/>
      <c r="K89" s="61"/>
      <c r="L89" s="61"/>
      <c r="M89" s="13"/>
      <c r="N89" s="2"/>
      <c r="O89" s="2"/>
      <c r="P89" s="66"/>
      <c r="Q89" s="66"/>
      <c r="R89" s="2"/>
      <c r="S89" s="2"/>
      <c r="T89" s="2"/>
    </row>
    <row r="90" spans="1:20">
      <c r="A90" s="28">
        <v>41730</v>
      </c>
      <c r="B90" s="28">
        <v>41712</v>
      </c>
      <c r="C90" s="31">
        <f t="shared" si="8"/>
        <v>41712</v>
      </c>
      <c r="D90" s="31"/>
      <c r="E90" s="23"/>
      <c r="F90" s="23"/>
      <c r="G90" s="23"/>
      <c r="H90" s="23"/>
      <c r="I90" s="2"/>
      <c r="J90" s="2"/>
      <c r="K90" s="61"/>
      <c r="L90" s="61"/>
      <c r="M90" s="13"/>
      <c r="N90" s="2"/>
      <c r="O90" s="2"/>
      <c r="P90" s="66"/>
      <c r="Q90" s="66"/>
      <c r="R90" s="2"/>
      <c r="S90" s="2"/>
      <c r="T90" s="2"/>
    </row>
    <row r="91" spans="1:20">
      <c r="A91" s="28">
        <v>41760</v>
      </c>
      <c r="B91" s="28">
        <v>41744</v>
      </c>
      <c r="C91" s="31">
        <f t="shared" si="8"/>
        <v>41744</v>
      </c>
      <c r="D91" s="31"/>
      <c r="E91" s="23"/>
      <c r="F91" s="23"/>
      <c r="G91" s="23"/>
      <c r="H91" s="23"/>
      <c r="I91" s="2"/>
      <c r="J91" s="2"/>
      <c r="K91" s="61"/>
      <c r="L91" s="61"/>
      <c r="M91" s="13"/>
      <c r="N91" s="2"/>
      <c r="O91" s="2"/>
      <c r="P91" s="66"/>
      <c r="Q91" s="66"/>
      <c r="R91" s="2"/>
      <c r="S91" s="2"/>
      <c r="T91" s="2"/>
    </row>
    <row r="92" spans="1:20">
      <c r="A92" s="28">
        <v>41791</v>
      </c>
      <c r="B92" s="28">
        <v>41774</v>
      </c>
      <c r="C92" s="31">
        <f t="shared" si="8"/>
        <v>41774</v>
      </c>
      <c r="D92" s="31"/>
      <c r="E92" s="23"/>
      <c r="F92" s="23"/>
      <c r="G92" s="23"/>
      <c r="H92" s="23"/>
      <c r="I92" s="2"/>
      <c r="J92" s="2"/>
      <c r="K92" s="61"/>
      <c r="L92" s="61"/>
      <c r="M92" s="13"/>
      <c r="N92" s="2"/>
      <c r="O92" s="2"/>
      <c r="P92" s="66"/>
      <c r="Q92" s="66"/>
      <c r="R92" s="2"/>
      <c r="S92" s="2"/>
      <c r="T92" s="2"/>
    </row>
    <row r="93" spans="1:20">
      <c r="A93" s="28">
        <v>41821</v>
      </c>
      <c r="B93" s="28">
        <v>41803</v>
      </c>
      <c r="C93" s="31">
        <f t="shared" si="8"/>
        <v>41803</v>
      </c>
      <c r="D93" s="31"/>
      <c r="E93" s="23"/>
      <c r="F93" s="23"/>
      <c r="G93" s="23"/>
      <c r="H93" s="23"/>
      <c r="I93" s="2"/>
      <c r="J93" s="2"/>
      <c r="K93" s="61"/>
      <c r="L93" s="61"/>
      <c r="M93" s="13"/>
      <c r="N93" s="2"/>
      <c r="O93" s="2"/>
      <c r="P93" s="66"/>
      <c r="Q93" s="66"/>
      <c r="R93" s="2"/>
      <c r="S93" s="2"/>
      <c r="T93" s="2"/>
    </row>
    <row r="94" spans="1:20">
      <c r="A94" s="28">
        <v>41852</v>
      </c>
      <c r="B94" s="28">
        <v>41835</v>
      </c>
      <c r="C94" s="31">
        <f t="shared" ref="C94:C125" si="9">WORKDAY(B94,0,S.DDL_DEQClosed)</f>
        <v>41835</v>
      </c>
      <c r="D94" s="31"/>
      <c r="E94" s="23"/>
      <c r="F94" s="23"/>
      <c r="G94" s="23"/>
      <c r="H94" s="23"/>
      <c r="I94" s="2"/>
      <c r="J94" s="2"/>
      <c r="K94" s="61"/>
      <c r="L94" s="61"/>
      <c r="M94" s="13"/>
      <c r="N94" s="2"/>
      <c r="O94" s="2"/>
      <c r="P94" s="66"/>
      <c r="Q94" s="66"/>
      <c r="R94" s="2"/>
      <c r="S94" s="2"/>
      <c r="T94" s="2"/>
    </row>
    <row r="95" spans="1:20">
      <c r="A95" s="28">
        <v>41883</v>
      </c>
      <c r="B95" s="28">
        <v>41866</v>
      </c>
      <c r="C95" s="31">
        <f t="shared" si="9"/>
        <v>41866</v>
      </c>
      <c r="D95" s="31"/>
      <c r="E95" s="23"/>
      <c r="F95" s="23"/>
      <c r="G95" s="23"/>
      <c r="H95" s="23"/>
      <c r="I95" s="2"/>
      <c r="J95" s="2"/>
      <c r="K95" s="61"/>
      <c r="L95" s="61"/>
      <c r="M95" s="13"/>
      <c r="N95" s="2"/>
      <c r="O95" s="2"/>
      <c r="P95" s="66"/>
      <c r="Q95" s="66"/>
      <c r="R95" s="2"/>
      <c r="S95" s="2"/>
      <c r="T95" s="2"/>
    </row>
    <row r="96" spans="1:20">
      <c r="A96" s="28">
        <v>41913</v>
      </c>
      <c r="B96" s="28">
        <v>41897</v>
      </c>
      <c r="C96" s="31">
        <f t="shared" si="9"/>
        <v>41897</v>
      </c>
      <c r="D96" s="31"/>
      <c r="E96" s="23"/>
      <c r="F96" s="23"/>
      <c r="G96" s="23"/>
      <c r="H96" s="23"/>
      <c r="I96" s="2"/>
      <c r="J96" s="2"/>
      <c r="K96" s="61"/>
      <c r="L96" s="61"/>
      <c r="M96" s="13"/>
      <c r="N96" s="2"/>
      <c r="O96" s="2"/>
      <c r="P96" s="66"/>
      <c r="Q96" s="66"/>
      <c r="R96" s="2"/>
      <c r="S96" s="2"/>
      <c r="T96" s="2"/>
    </row>
    <row r="97" spans="1:20">
      <c r="A97" s="28">
        <v>41944</v>
      </c>
      <c r="B97" s="28">
        <v>41927</v>
      </c>
      <c r="C97" s="31">
        <f t="shared" si="9"/>
        <v>41927</v>
      </c>
      <c r="D97" s="31"/>
      <c r="E97" s="23"/>
      <c r="F97" s="23"/>
      <c r="G97" s="23"/>
      <c r="H97" s="23"/>
      <c r="I97" s="2"/>
      <c r="J97" s="2"/>
      <c r="K97" s="61"/>
      <c r="L97" s="61"/>
      <c r="M97" s="13"/>
      <c r="N97" s="2"/>
      <c r="O97" s="2"/>
      <c r="P97" s="66"/>
      <c r="Q97" s="66"/>
      <c r="R97" s="2"/>
      <c r="S97" s="2"/>
      <c r="T97" s="2"/>
    </row>
    <row r="98" spans="1:20">
      <c r="A98" s="28">
        <v>41974</v>
      </c>
      <c r="B98" s="28">
        <v>41957</v>
      </c>
      <c r="C98" s="31">
        <f t="shared" si="9"/>
        <v>41957</v>
      </c>
      <c r="D98" s="31"/>
      <c r="E98" s="23"/>
      <c r="F98" s="23"/>
      <c r="G98" s="23"/>
      <c r="H98" s="23"/>
      <c r="I98" s="2"/>
      <c r="J98" s="2"/>
      <c r="K98" s="61"/>
      <c r="L98" s="61"/>
      <c r="M98" s="13"/>
      <c r="N98" s="2"/>
      <c r="O98" s="2"/>
      <c r="P98" s="66"/>
      <c r="Q98" s="66"/>
      <c r="R98" s="2"/>
      <c r="S98" s="2"/>
      <c r="T98" s="2"/>
    </row>
    <row r="99" spans="1:20">
      <c r="A99" s="28">
        <v>42005</v>
      </c>
      <c r="B99" s="28">
        <v>41988</v>
      </c>
      <c r="C99" s="31">
        <f t="shared" si="9"/>
        <v>41988</v>
      </c>
      <c r="D99" s="31"/>
      <c r="E99" s="23"/>
      <c r="F99" s="23"/>
      <c r="G99" s="23"/>
      <c r="H99" s="23"/>
      <c r="I99" s="2"/>
      <c r="J99" s="2"/>
      <c r="K99" s="61"/>
      <c r="L99" s="61"/>
      <c r="M99" s="13"/>
      <c r="N99" s="2"/>
      <c r="O99" s="2"/>
      <c r="P99" s="66"/>
      <c r="Q99" s="66"/>
      <c r="R99" s="2"/>
      <c r="S99" s="2"/>
      <c r="T99" s="2"/>
    </row>
    <row r="100" spans="1:20">
      <c r="A100" s="28">
        <v>42036</v>
      </c>
      <c r="B100" s="28">
        <v>42019</v>
      </c>
      <c r="C100" s="31">
        <f t="shared" si="9"/>
        <v>42019</v>
      </c>
      <c r="D100" s="31"/>
      <c r="E100" s="23"/>
      <c r="F100" s="23"/>
      <c r="G100" s="23"/>
      <c r="H100" s="23"/>
      <c r="I100" s="2"/>
      <c r="J100" s="2"/>
      <c r="K100" s="61"/>
      <c r="L100" s="61"/>
      <c r="M100" s="13"/>
      <c r="N100" s="2"/>
      <c r="O100" s="2"/>
      <c r="P100" s="66"/>
      <c r="Q100" s="66"/>
      <c r="R100" s="2"/>
      <c r="S100" s="2"/>
      <c r="T100" s="2"/>
    </row>
    <row r="101" spans="1:20">
      <c r="A101" s="28">
        <v>42064</v>
      </c>
      <c r="B101" s="28">
        <v>42048</v>
      </c>
      <c r="C101" s="31">
        <f t="shared" si="9"/>
        <v>42048</v>
      </c>
      <c r="D101" s="31"/>
      <c r="E101" s="23"/>
      <c r="F101" s="23"/>
      <c r="G101" s="23"/>
      <c r="H101" s="23"/>
      <c r="I101" s="2"/>
      <c r="J101" s="2"/>
      <c r="K101" s="61"/>
      <c r="L101" s="61"/>
      <c r="M101" s="13"/>
      <c r="N101" s="2"/>
      <c r="O101" s="2"/>
      <c r="P101" s="66"/>
      <c r="Q101" s="66"/>
      <c r="R101" s="2"/>
      <c r="S101" s="2"/>
      <c r="T101" s="2"/>
    </row>
    <row r="102" spans="1:20">
      <c r="A102" s="28">
        <v>42095</v>
      </c>
      <c r="B102" s="28">
        <v>42076</v>
      </c>
      <c r="C102" s="31">
        <f t="shared" si="9"/>
        <v>42076</v>
      </c>
      <c r="D102" s="31"/>
      <c r="E102" s="23"/>
      <c r="F102" s="23"/>
      <c r="G102" s="23"/>
      <c r="H102" s="23"/>
      <c r="I102" s="2"/>
      <c r="J102" s="2"/>
      <c r="K102" s="61"/>
      <c r="L102" s="61"/>
      <c r="M102" s="13"/>
      <c r="N102" s="2"/>
      <c r="O102" s="2"/>
      <c r="P102" s="66"/>
      <c r="Q102" s="66"/>
      <c r="R102" s="2"/>
      <c r="S102" s="2"/>
      <c r="T102" s="2"/>
    </row>
    <row r="103" spans="1:20">
      <c r="A103" s="28">
        <v>42125</v>
      </c>
      <c r="B103" s="28">
        <v>42109</v>
      </c>
      <c r="C103" s="31">
        <f t="shared" si="9"/>
        <v>42109</v>
      </c>
      <c r="D103" s="31"/>
      <c r="E103" s="23"/>
      <c r="F103" s="23"/>
      <c r="G103" s="23"/>
      <c r="H103" s="23"/>
      <c r="I103" s="2"/>
      <c r="J103" s="2"/>
      <c r="K103" s="61"/>
      <c r="L103" s="61"/>
      <c r="M103" s="13"/>
      <c r="N103" s="2"/>
      <c r="O103" s="2"/>
      <c r="P103" s="66"/>
      <c r="Q103" s="66"/>
      <c r="R103" s="2"/>
      <c r="S103" s="2"/>
      <c r="T103" s="2"/>
    </row>
    <row r="104" spans="1:20">
      <c r="A104" s="28">
        <v>42156</v>
      </c>
      <c r="B104" s="28">
        <v>42139</v>
      </c>
      <c r="C104" s="31">
        <f t="shared" si="9"/>
        <v>42139</v>
      </c>
      <c r="D104" s="31"/>
      <c r="E104" s="23"/>
      <c r="F104" s="23"/>
      <c r="G104" s="23"/>
      <c r="H104" s="23"/>
      <c r="I104" s="2"/>
      <c r="J104" s="2"/>
      <c r="K104" s="61"/>
      <c r="L104" s="61"/>
      <c r="M104" s="13"/>
      <c r="N104" s="2"/>
      <c r="O104" s="2"/>
      <c r="P104" s="66"/>
      <c r="Q104" s="66"/>
      <c r="R104" s="2"/>
      <c r="S104" s="2"/>
      <c r="T104" s="2"/>
    </row>
    <row r="105" spans="1:20">
      <c r="A105" s="28">
        <v>42186</v>
      </c>
      <c r="B105" s="28">
        <v>42170</v>
      </c>
      <c r="C105" s="31">
        <f t="shared" si="9"/>
        <v>42170</v>
      </c>
      <c r="D105" s="31"/>
      <c r="E105" s="23"/>
      <c r="F105" s="23"/>
      <c r="G105" s="23"/>
      <c r="H105" s="23"/>
      <c r="I105" s="2"/>
      <c r="J105" s="2"/>
      <c r="K105" s="61"/>
      <c r="L105" s="61"/>
      <c r="M105" s="13"/>
      <c r="N105" s="2"/>
      <c r="O105" s="2"/>
      <c r="P105" s="66"/>
      <c r="Q105" s="66"/>
      <c r="R105" s="2"/>
      <c r="S105" s="2"/>
      <c r="T105" s="2"/>
    </row>
    <row r="106" spans="1:20">
      <c r="A106" s="28">
        <v>42217</v>
      </c>
      <c r="B106" s="28">
        <v>42200</v>
      </c>
      <c r="C106" s="31">
        <f t="shared" si="9"/>
        <v>42200</v>
      </c>
      <c r="D106" s="31"/>
      <c r="E106" s="23"/>
      <c r="F106" s="23"/>
      <c r="G106" s="23"/>
      <c r="H106" s="23"/>
      <c r="I106" s="2"/>
      <c r="J106" s="2"/>
      <c r="K106" s="61"/>
      <c r="L106" s="61"/>
      <c r="M106" s="13"/>
      <c r="N106" s="2"/>
      <c r="O106" s="2"/>
      <c r="P106" s="66"/>
      <c r="Q106" s="66"/>
      <c r="R106" s="2"/>
      <c r="S106" s="2"/>
      <c r="T106" s="2"/>
    </row>
    <row r="107" spans="1:20">
      <c r="A107" s="28">
        <v>42248</v>
      </c>
      <c r="B107" s="28">
        <v>42231</v>
      </c>
      <c r="C107" s="31">
        <f t="shared" si="9"/>
        <v>42231</v>
      </c>
      <c r="D107" s="31"/>
      <c r="E107" s="23"/>
      <c r="F107" s="23"/>
      <c r="G107" s="23"/>
      <c r="H107" s="23"/>
      <c r="I107" s="2"/>
      <c r="J107" s="2"/>
      <c r="K107" s="61"/>
      <c r="L107" s="61"/>
      <c r="M107" s="13"/>
      <c r="N107" s="2"/>
      <c r="O107" s="2"/>
      <c r="P107" s="66"/>
      <c r="Q107" s="66"/>
      <c r="R107" s="2"/>
      <c r="S107" s="2"/>
      <c r="T107" s="2"/>
    </row>
    <row r="108" spans="1:20">
      <c r="A108" s="28">
        <v>42278</v>
      </c>
      <c r="B108" s="28">
        <v>42262</v>
      </c>
      <c r="C108" s="31">
        <f t="shared" si="9"/>
        <v>42262</v>
      </c>
      <c r="D108" s="31"/>
      <c r="E108" s="23"/>
      <c r="F108" s="23"/>
      <c r="G108" s="23"/>
      <c r="H108" s="23"/>
      <c r="I108" s="2"/>
      <c r="J108" s="2"/>
      <c r="K108" s="61"/>
      <c r="L108" s="61"/>
      <c r="M108" s="13"/>
      <c r="N108" s="2"/>
      <c r="O108" s="2"/>
      <c r="P108" s="66"/>
      <c r="Q108" s="66"/>
      <c r="R108" s="2"/>
      <c r="S108" s="2"/>
      <c r="T108" s="2"/>
    </row>
    <row r="109" spans="1:20">
      <c r="A109" s="28">
        <v>42309</v>
      </c>
      <c r="B109" s="28">
        <v>42292</v>
      </c>
      <c r="C109" s="31">
        <f t="shared" si="9"/>
        <v>42292</v>
      </c>
      <c r="D109" s="31"/>
      <c r="E109" s="23"/>
      <c r="F109" s="23"/>
      <c r="G109" s="23"/>
      <c r="H109" s="23"/>
      <c r="I109" s="2"/>
      <c r="J109" s="2"/>
      <c r="K109" s="61"/>
      <c r="L109" s="61"/>
      <c r="M109" s="13"/>
      <c r="N109" s="2"/>
      <c r="O109" s="2"/>
      <c r="P109" s="66"/>
      <c r="Q109" s="66"/>
      <c r="R109" s="2"/>
      <c r="S109" s="2"/>
      <c r="T109" s="2"/>
    </row>
    <row r="110" spans="1:20">
      <c r="A110" s="28">
        <v>42339</v>
      </c>
      <c r="B110" s="28">
        <v>42321</v>
      </c>
      <c r="C110" s="31">
        <f t="shared" si="9"/>
        <v>42321</v>
      </c>
      <c r="D110" s="31"/>
      <c r="E110" s="23"/>
      <c r="F110" s="23"/>
      <c r="G110" s="23"/>
      <c r="H110" s="23"/>
      <c r="I110" s="2"/>
      <c r="J110" s="2"/>
      <c r="K110" s="61"/>
      <c r="L110" s="61"/>
      <c r="M110" s="13"/>
      <c r="N110" s="2"/>
      <c r="O110" s="2"/>
      <c r="P110" s="66"/>
      <c r="Q110" s="66"/>
      <c r="R110" s="2"/>
      <c r="S110" s="2"/>
      <c r="T110" s="2"/>
    </row>
    <row r="111" spans="1:20">
      <c r="A111" s="28">
        <v>42370</v>
      </c>
      <c r="B111" s="28">
        <v>42353</v>
      </c>
      <c r="C111" s="31">
        <f t="shared" si="9"/>
        <v>42353</v>
      </c>
      <c r="D111" s="31"/>
      <c r="E111" s="23"/>
      <c r="F111" s="23"/>
      <c r="G111" s="23"/>
      <c r="H111" s="23"/>
      <c r="I111" s="2"/>
      <c r="J111" s="2"/>
      <c r="K111" s="61"/>
      <c r="L111" s="61"/>
      <c r="M111" s="13"/>
      <c r="N111" s="2"/>
      <c r="O111" s="2"/>
      <c r="P111" s="66"/>
      <c r="Q111" s="66"/>
      <c r="R111" s="2"/>
      <c r="S111" s="2"/>
      <c r="T111" s="2"/>
    </row>
    <row r="112" spans="1:20">
      <c r="A112" s="28">
        <v>42401</v>
      </c>
      <c r="B112" s="28">
        <v>42384</v>
      </c>
      <c r="C112" s="31">
        <f t="shared" si="9"/>
        <v>42384</v>
      </c>
      <c r="D112" s="31"/>
      <c r="E112" s="23"/>
      <c r="F112" s="23"/>
      <c r="G112" s="23"/>
      <c r="H112" s="23"/>
      <c r="I112" s="2"/>
      <c r="J112" s="2"/>
      <c r="K112" s="61"/>
      <c r="L112" s="61"/>
      <c r="M112" s="13"/>
      <c r="N112" s="2"/>
      <c r="O112" s="2"/>
      <c r="P112" s="66"/>
      <c r="Q112" s="66"/>
      <c r="R112" s="2"/>
      <c r="S112" s="2"/>
      <c r="T112" s="2"/>
    </row>
    <row r="113" spans="1:20">
      <c r="A113" s="28">
        <v>42430</v>
      </c>
      <c r="B113" s="29">
        <v>42415</v>
      </c>
      <c r="C113" s="31">
        <f t="shared" si="9"/>
        <v>42415</v>
      </c>
      <c r="D113" s="31"/>
      <c r="E113" s="23"/>
      <c r="F113" s="23"/>
      <c r="G113" s="23"/>
      <c r="H113" s="23"/>
      <c r="I113" s="2"/>
      <c r="J113" s="2"/>
      <c r="K113" s="61"/>
      <c r="L113" s="61"/>
      <c r="M113" s="13"/>
      <c r="N113" s="2"/>
      <c r="O113" s="2"/>
      <c r="P113" s="66"/>
      <c r="Q113" s="66"/>
      <c r="R113" s="2"/>
      <c r="S113" s="2"/>
      <c r="T113" s="2"/>
    </row>
    <row r="114" spans="1:20">
      <c r="A114" s="28">
        <v>42461</v>
      </c>
      <c r="B114" s="28">
        <v>42444</v>
      </c>
      <c r="C114" s="31">
        <f t="shared" si="9"/>
        <v>42444</v>
      </c>
      <c r="D114" s="31"/>
      <c r="E114" s="23"/>
      <c r="F114" s="23"/>
      <c r="G114" s="23"/>
      <c r="H114" s="23"/>
      <c r="I114" s="2"/>
      <c r="J114" s="2"/>
      <c r="K114" s="61"/>
      <c r="L114" s="61"/>
      <c r="M114" s="13"/>
      <c r="N114" s="2"/>
      <c r="O114" s="2"/>
      <c r="P114" s="66"/>
      <c r="Q114" s="66"/>
      <c r="R114" s="2"/>
      <c r="S114" s="2"/>
      <c r="T114" s="2"/>
    </row>
    <row r="115" spans="1:20">
      <c r="A115" s="28">
        <v>42491</v>
      </c>
      <c r="B115" s="28">
        <v>42475</v>
      </c>
      <c r="C115" s="31">
        <f t="shared" si="9"/>
        <v>42475</v>
      </c>
      <c r="D115" s="31"/>
      <c r="E115" s="23"/>
      <c r="F115" s="23"/>
      <c r="G115" s="23"/>
      <c r="H115" s="23"/>
      <c r="I115" s="2"/>
      <c r="J115" s="2"/>
      <c r="K115" s="61"/>
      <c r="L115" s="61"/>
      <c r="M115" s="13"/>
      <c r="N115" s="2"/>
      <c r="O115" s="2"/>
      <c r="P115" s="66"/>
      <c r="Q115" s="66"/>
      <c r="R115" s="2"/>
      <c r="S115" s="2"/>
      <c r="T115" s="2"/>
    </row>
    <row r="116" spans="1:20">
      <c r="A116" s="28">
        <v>42522</v>
      </c>
      <c r="B116" s="28">
        <v>42503</v>
      </c>
      <c r="C116" s="31">
        <f t="shared" si="9"/>
        <v>42503</v>
      </c>
      <c r="D116" s="31"/>
      <c r="E116" s="23"/>
      <c r="F116" s="23"/>
      <c r="G116" s="23"/>
      <c r="H116" s="23"/>
      <c r="I116" s="2"/>
      <c r="J116" s="2"/>
      <c r="K116" s="61"/>
      <c r="L116" s="61"/>
      <c r="M116" s="13"/>
      <c r="N116" s="2"/>
      <c r="O116" s="2"/>
      <c r="P116" s="66"/>
      <c r="Q116" s="66"/>
      <c r="R116" s="2"/>
      <c r="S116" s="2"/>
      <c r="T116" s="2"/>
    </row>
    <row r="117" spans="1:20">
      <c r="A117" s="28">
        <v>42552</v>
      </c>
      <c r="B117" s="28">
        <v>42536</v>
      </c>
      <c r="C117" s="31">
        <f t="shared" si="9"/>
        <v>42536</v>
      </c>
      <c r="D117" s="31"/>
      <c r="E117" s="23"/>
      <c r="F117" s="23"/>
      <c r="G117" s="23"/>
      <c r="H117" s="23"/>
      <c r="I117" s="2"/>
      <c r="J117" s="2"/>
      <c r="K117" s="61"/>
      <c r="L117" s="61"/>
      <c r="M117" s="13"/>
      <c r="N117" s="2"/>
      <c r="O117" s="2"/>
      <c r="P117" s="66"/>
      <c r="Q117" s="66"/>
      <c r="R117" s="2"/>
      <c r="S117" s="2"/>
      <c r="T117" s="2"/>
    </row>
    <row r="118" spans="1:20">
      <c r="A118" s="28">
        <v>42583</v>
      </c>
      <c r="B118" s="28">
        <v>42566</v>
      </c>
      <c r="C118" s="31">
        <f t="shared" si="9"/>
        <v>42566</v>
      </c>
      <c r="D118" s="31"/>
      <c r="E118" s="23"/>
      <c r="F118" s="23"/>
      <c r="G118" s="23"/>
      <c r="H118" s="23"/>
      <c r="I118" s="2"/>
      <c r="J118" s="2"/>
      <c r="K118" s="61"/>
      <c r="L118" s="61"/>
      <c r="M118" s="13"/>
      <c r="N118" s="2"/>
      <c r="O118" s="2"/>
      <c r="P118" s="66"/>
      <c r="Q118" s="66"/>
      <c r="R118" s="2"/>
      <c r="S118" s="2"/>
      <c r="T118" s="2"/>
    </row>
    <row r="119" spans="1:20">
      <c r="A119" s="28">
        <v>42614</v>
      </c>
      <c r="B119" s="28">
        <v>42597</v>
      </c>
      <c r="C119" s="31">
        <f t="shared" si="9"/>
        <v>42597</v>
      </c>
      <c r="D119" s="31"/>
      <c r="E119" s="23"/>
      <c r="F119" s="23"/>
      <c r="G119" s="23"/>
      <c r="H119" s="23"/>
      <c r="I119" s="2"/>
      <c r="J119" s="2"/>
      <c r="K119" s="61"/>
      <c r="L119" s="61"/>
      <c r="M119" s="13"/>
      <c r="N119" s="2"/>
      <c r="O119" s="2"/>
      <c r="P119" s="66"/>
      <c r="Q119" s="66"/>
      <c r="R119" s="2"/>
      <c r="S119" s="2"/>
      <c r="T119" s="2"/>
    </row>
    <row r="120" spans="1:20">
      <c r="A120" s="28">
        <v>42644</v>
      </c>
      <c r="B120" s="28">
        <v>42628</v>
      </c>
      <c r="C120" s="31">
        <f t="shared" si="9"/>
        <v>42628</v>
      </c>
      <c r="D120" s="31"/>
      <c r="E120" s="23"/>
      <c r="F120" s="23"/>
      <c r="G120" s="23"/>
      <c r="H120" s="23"/>
      <c r="I120" s="2"/>
      <c r="J120" s="2"/>
      <c r="K120" s="61"/>
      <c r="L120" s="61"/>
      <c r="M120" s="13"/>
      <c r="N120" s="2"/>
      <c r="O120" s="2"/>
      <c r="P120" s="66"/>
      <c r="Q120" s="66"/>
      <c r="R120" s="2"/>
      <c r="S120" s="2"/>
      <c r="T120" s="2"/>
    </row>
    <row r="121" spans="1:20">
      <c r="A121" s="28">
        <v>42675</v>
      </c>
      <c r="B121" s="28">
        <v>42657</v>
      </c>
      <c r="C121" s="31">
        <f t="shared" si="9"/>
        <v>42657</v>
      </c>
      <c r="D121" s="31"/>
      <c r="E121" s="23"/>
      <c r="F121" s="23"/>
      <c r="G121" s="23"/>
      <c r="H121" s="23"/>
      <c r="I121" s="2"/>
      <c r="J121" s="2"/>
      <c r="K121" s="61"/>
      <c r="L121" s="61"/>
      <c r="M121" s="13"/>
      <c r="N121" s="2"/>
      <c r="O121" s="2"/>
      <c r="P121" s="66"/>
      <c r="Q121" s="66"/>
      <c r="R121" s="2"/>
      <c r="S121" s="2"/>
      <c r="T121" s="2"/>
    </row>
    <row r="122" spans="1:20">
      <c r="A122" s="28">
        <v>42705</v>
      </c>
      <c r="B122" s="28">
        <v>42689</v>
      </c>
      <c r="C122" s="31">
        <f t="shared" si="9"/>
        <v>42689</v>
      </c>
      <c r="D122" s="31"/>
      <c r="E122" s="23"/>
      <c r="F122" s="23"/>
      <c r="G122" s="23"/>
      <c r="H122" s="23"/>
      <c r="I122" s="2"/>
      <c r="J122" s="2"/>
      <c r="K122" s="61"/>
      <c r="L122" s="61"/>
      <c r="M122" s="13"/>
      <c r="N122" s="2"/>
      <c r="O122" s="2"/>
      <c r="P122" s="66"/>
      <c r="Q122" s="66"/>
      <c r="R122" s="2"/>
      <c r="S122" s="2"/>
      <c r="T122" s="2"/>
    </row>
    <row r="123" spans="1:20">
      <c r="A123" s="28">
        <v>42736</v>
      </c>
      <c r="B123" s="28">
        <v>42719</v>
      </c>
      <c r="C123" s="31">
        <f t="shared" si="9"/>
        <v>42719</v>
      </c>
      <c r="D123" s="31"/>
      <c r="E123" s="23"/>
      <c r="F123" s="23"/>
      <c r="G123" s="23"/>
      <c r="H123" s="23"/>
      <c r="I123" s="2"/>
      <c r="J123" s="2"/>
      <c r="K123" s="61"/>
      <c r="L123" s="61"/>
      <c r="M123" s="13"/>
      <c r="N123" s="2"/>
      <c r="O123" s="2"/>
      <c r="P123" s="66"/>
      <c r="Q123" s="66"/>
      <c r="R123" s="2"/>
      <c r="S123" s="2"/>
      <c r="T123" s="2"/>
    </row>
    <row r="124" spans="1:20">
      <c r="A124" s="28">
        <v>42767</v>
      </c>
      <c r="B124" s="28">
        <v>42748</v>
      </c>
      <c r="C124" s="31">
        <f t="shared" si="9"/>
        <v>42748</v>
      </c>
      <c r="D124" s="31"/>
      <c r="E124" s="23"/>
      <c r="F124" s="23"/>
      <c r="G124" s="23"/>
      <c r="H124" s="23"/>
      <c r="I124" s="2"/>
      <c r="J124" s="2"/>
      <c r="K124" s="61"/>
      <c r="L124" s="61"/>
      <c r="M124" s="13"/>
      <c r="N124" s="2"/>
      <c r="O124" s="2"/>
      <c r="P124" s="66"/>
      <c r="Q124" s="66"/>
      <c r="R124" s="2"/>
      <c r="S124" s="2"/>
      <c r="T124" s="2"/>
    </row>
    <row r="125" spans="1:20">
      <c r="A125" s="28">
        <v>42795</v>
      </c>
      <c r="B125" s="28">
        <v>42781</v>
      </c>
      <c r="C125" s="31">
        <f t="shared" si="9"/>
        <v>42781</v>
      </c>
      <c r="D125" s="31"/>
      <c r="E125" s="23"/>
      <c r="F125" s="23"/>
      <c r="G125" s="23"/>
      <c r="H125" s="23"/>
      <c r="I125" s="2"/>
      <c r="J125" s="2"/>
      <c r="K125" s="61"/>
      <c r="L125" s="61"/>
      <c r="M125" s="13"/>
      <c r="N125" s="2"/>
      <c r="O125" s="2"/>
      <c r="P125" s="66"/>
      <c r="Q125" s="66"/>
      <c r="R125" s="2"/>
      <c r="S125" s="2"/>
      <c r="T125" s="2"/>
    </row>
    <row r="126" spans="1:20">
      <c r="A126" s="28">
        <v>42826</v>
      </c>
      <c r="B126" s="28">
        <v>42809</v>
      </c>
      <c r="C126" s="31">
        <f t="shared" ref="C126:C157" si="10">WORKDAY(B126,0,S.DDL_DEQClosed)</f>
        <v>42809</v>
      </c>
      <c r="D126" s="31"/>
      <c r="E126" s="23"/>
      <c r="F126" s="23"/>
      <c r="G126" s="23"/>
      <c r="H126" s="23"/>
      <c r="I126" s="2"/>
      <c r="J126" s="2"/>
      <c r="K126" s="61"/>
      <c r="L126" s="61"/>
      <c r="M126" s="13"/>
      <c r="N126" s="2"/>
      <c r="O126" s="2"/>
      <c r="P126" s="66"/>
      <c r="Q126" s="66"/>
      <c r="R126" s="2"/>
      <c r="S126" s="2"/>
      <c r="T126" s="2"/>
    </row>
    <row r="127" spans="1:20">
      <c r="A127" s="28">
        <v>42856</v>
      </c>
      <c r="B127" s="28">
        <v>42839</v>
      </c>
      <c r="C127" s="31">
        <f t="shared" si="10"/>
        <v>42839</v>
      </c>
      <c r="D127" s="31"/>
      <c r="E127" s="23"/>
      <c r="F127" s="23"/>
      <c r="G127" s="23"/>
      <c r="H127" s="23"/>
      <c r="I127" s="2"/>
      <c r="J127" s="2"/>
      <c r="K127" s="61"/>
      <c r="L127" s="61"/>
      <c r="M127" s="13"/>
      <c r="N127" s="2"/>
      <c r="O127" s="2"/>
      <c r="P127" s="66"/>
      <c r="Q127" s="66"/>
      <c r="R127" s="2"/>
      <c r="S127" s="2"/>
      <c r="T127" s="2"/>
    </row>
    <row r="128" spans="1:20">
      <c r="A128" s="28">
        <v>42887</v>
      </c>
      <c r="B128" s="28">
        <v>42870</v>
      </c>
      <c r="C128" s="31">
        <f t="shared" si="10"/>
        <v>42870</v>
      </c>
      <c r="D128" s="31"/>
      <c r="E128" s="23"/>
      <c r="F128" s="23"/>
      <c r="G128" s="23"/>
      <c r="H128" s="23"/>
      <c r="I128" s="2"/>
      <c r="J128" s="2"/>
      <c r="K128" s="61"/>
      <c r="L128" s="61"/>
      <c r="M128" s="13"/>
      <c r="N128" s="2"/>
      <c r="O128" s="2"/>
      <c r="P128" s="66"/>
      <c r="Q128" s="66"/>
      <c r="R128" s="2"/>
      <c r="S128" s="2"/>
      <c r="T128" s="2"/>
    </row>
    <row r="129" spans="1:20">
      <c r="A129" s="28">
        <v>42917</v>
      </c>
      <c r="B129" s="28">
        <v>42901</v>
      </c>
      <c r="C129" s="31">
        <f t="shared" si="10"/>
        <v>42901</v>
      </c>
      <c r="D129" s="31"/>
      <c r="E129" s="23"/>
      <c r="F129" s="23"/>
      <c r="G129" s="23"/>
      <c r="H129" s="23"/>
      <c r="I129" s="2"/>
      <c r="J129" s="2"/>
      <c r="K129" s="61"/>
      <c r="L129" s="61"/>
      <c r="M129" s="13"/>
      <c r="N129" s="2"/>
      <c r="O129" s="2"/>
      <c r="P129" s="66"/>
      <c r="Q129" s="66"/>
      <c r="R129" s="2"/>
      <c r="S129" s="2"/>
      <c r="T129" s="2"/>
    </row>
    <row r="130" spans="1:20">
      <c r="A130" s="28">
        <v>42948</v>
      </c>
      <c r="B130" s="28">
        <v>42930</v>
      </c>
      <c r="C130" s="31">
        <f t="shared" si="10"/>
        <v>42930</v>
      </c>
      <c r="D130" s="31"/>
      <c r="E130" s="23"/>
      <c r="F130" s="23"/>
      <c r="G130" s="23"/>
      <c r="H130" s="23"/>
      <c r="I130" s="2"/>
      <c r="J130" s="2"/>
      <c r="K130" s="61"/>
      <c r="L130" s="61"/>
      <c r="M130" s="13"/>
      <c r="N130" s="2"/>
      <c r="O130" s="2"/>
      <c r="P130" s="66"/>
      <c r="Q130" s="66"/>
      <c r="R130" s="2"/>
      <c r="S130" s="2"/>
      <c r="T130" s="2"/>
    </row>
    <row r="131" spans="1:20">
      <c r="A131" s="28">
        <v>42979</v>
      </c>
      <c r="B131" s="28">
        <v>42962</v>
      </c>
      <c r="C131" s="31">
        <f t="shared" si="10"/>
        <v>42962</v>
      </c>
      <c r="D131" s="31"/>
      <c r="E131" s="23"/>
      <c r="F131" s="23"/>
      <c r="G131" s="23"/>
      <c r="H131" s="23"/>
      <c r="I131" s="2"/>
      <c r="J131" s="2"/>
      <c r="K131" s="61"/>
      <c r="L131" s="61"/>
      <c r="M131" s="13"/>
      <c r="N131" s="2"/>
      <c r="O131" s="2"/>
      <c r="P131" s="66"/>
      <c r="Q131" s="66"/>
      <c r="R131" s="2"/>
      <c r="S131" s="2"/>
      <c r="T131" s="2"/>
    </row>
    <row r="132" spans="1:20">
      <c r="A132" s="28">
        <v>43009</v>
      </c>
      <c r="B132" s="28">
        <v>42993</v>
      </c>
      <c r="C132" s="31">
        <f t="shared" si="10"/>
        <v>42993</v>
      </c>
      <c r="D132" s="31"/>
      <c r="E132" s="23"/>
      <c r="F132" s="23"/>
      <c r="G132" s="23"/>
      <c r="H132" s="23"/>
      <c r="I132" s="2"/>
      <c r="J132" s="2"/>
      <c r="K132" s="61"/>
      <c r="L132" s="61"/>
      <c r="M132" s="13"/>
      <c r="N132" s="2"/>
      <c r="O132" s="2"/>
      <c r="P132" s="66"/>
      <c r="Q132" s="66"/>
      <c r="R132" s="2"/>
      <c r="S132" s="2"/>
      <c r="T132" s="2"/>
    </row>
    <row r="133" spans="1:20">
      <c r="A133" s="28">
        <v>43040</v>
      </c>
      <c r="B133" s="28">
        <v>43021</v>
      </c>
      <c r="C133" s="31">
        <f t="shared" si="10"/>
        <v>43021</v>
      </c>
      <c r="D133" s="31"/>
      <c r="E133" s="23"/>
      <c r="F133" s="23"/>
      <c r="G133" s="23"/>
      <c r="H133" s="23"/>
      <c r="I133" s="2"/>
      <c r="J133" s="2"/>
      <c r="K133" s="61"/>
      <c r="L133" s="61"/>
      <c r="M133" s="13"/>
      <c r="N133" s="2"/>
      <c r="O133" s="2"/>
      <c r="P133" s="66"/>
      <c r="Q133" s="66"/>
      <c r="R133" s="2"/>
      <c r="S133" s="2"/>
      <c r="T133" s="2"/>
    </row>
    <row r="134" spans="1:20">
      <c r="A134" s="28">
        <v>43070</v>
      </c>
      <c r="B134" s="28">
        <v>43054</v>
      </c>
      <c r="C134" s="31">
        <f t="shared" si="10"/>
        <v>43054</v>
      </c>
      <c r="D134" s="31"/>
      <c r="E134" s="23"/>
      <c r="F134" s="23"/>
      <c r="G134" s="23"/>
      <c r="H134" s="23"/>
      <c r="I134" s="2"/>
      <c r="J134" s="2"/>
      <c r="K134" s="61"/>
      <c r="L134" s="61"/>
      <c r="M134" s="13"/>
      <c r="N134" s="2"/>
      <c r="O134" s="2"/>
      <c r="P134" s="66"/>
      <c r="Q134" s="66"/>
      <c r="R134" s="2"/>
      <c r="S134" s="2"/>
      <c r="T134" s="2"/>
    </row>
    <row r="135" spans="1:20">
      <c r="A135" s="28">
        <v>43101</v>
      </c>
      <c r="B135" s="28">
        <v>43084</v>
      </c>
      <c r="C135" s="31">
        <f t="shared" si="10"/>
        <v>43084</v>
      </c>
      <c r="D135" s="31"/>
      <c r="E135" s="23"/>
      <c r="F135" s="23"/>
      <c r="G135" s="23"/>
      <c r="H135" s="23"/>
      <c r="I135" s="2"/>
      <c r="J135" s="2"/>
      <c r="K135" s="61"/>
      <c r="L135" s="61"/>
      <c r="M135" s="13"/>
      <c r="N135" s="2"/>
      <c r="O135" s="2"/>
      <c r="P135" s="66"/>
      <c r="Q135" s="66"/>
      <c r="R135" s="2"/>
      <c r="S135" s="2"/>
      <c r="T135" s="2"/>
    </row>
    <row r="136" spans="1:20">
      <c r="A136" s="28">
        <v>43132</v>
      </c>
      <c r="B136" s="28">
        <v>43115</v>
      </c>
      <c r="C136" s="31">
        <f t="shared" si="10"/>
        <v>43115</v>
      </c>
      <c r="D136" s="31"/>
      <c r="E136" s="23"/>
      <c r="F136" s="23"/>
      <c r="G136" s="23"/>
      <c r="H136" s="23"/>
      <c r="I136" s="2"/>
      <c r="J136" s="2"/>
      <c r="K136" s="61"/>
      <c r="L136" s="61"/>
      <c r="M136" s="13"/>
      <c r="N136" s="2"/>
      <c r="O136" s="2"/>
      <c r="P136" s="66"/>
      <c r="Q136" s="66"/>
      <c r="R136" s="2"/>
      <c r="S136" s="2"/>
      <c r="T136" s="2"/>
    </row>
    <row r="137" spans="1:20">
      <c r="A137" s="28">
        <v>43160</v>
      </c>
      <c r="B137" s="29">
        <v>43146</v>
      </c>
      <c r="C137" s="31">
        <f t="shared" si="10"/>
        <v>43146</v>
      </c>
      <c r="D137" s="31"/>
      <c r="E137" s="23"/>
      <c r="F137" s="23"/>
      <c r="G137" s="23"/>
      <c r="H137" s="23"/>
      <c r="I137" s="2"/>
      <c r="J137" s="2"/>
      <c r="K137" s="61"/>
      <c r="L137" s="61"/>
      <c r="M137" s="13"/>
      <c r="N137" s="2"/>
      <c r="O137" s="2"/>
      <c r="P137" s="66"/>
      <c r="Q137" s="66"/>
      <c r="R137" s="2"/>
      <c r="S137" s="2"/>
      <c r="T137" s="2"/>
    </row>
    <row r="138" spans="1:20">
      <c r="A138" s="28">
        <v>43191</v>
      </c>
      <c r="B138" s="28">
        <v>43173</v>
      </c>
      <c r="C138" s="31">
        <f t="shared" si="10"/>
        <v>43173</v>
      </c>
      <c r="D138" s="31"/>
      <c r="E138" s="23"/>
      <c r="F138" s="23"/>
      <c r="G138" s="23"/>
      <c r="H138" s="23"/>
      <c r="I138" s="2"/>
      <c r="J138" s="2"/>
      <c r="K138" s="61"/>
      <c r="L138" s="61"/>
      <c r="M138" s="13"/>
      <c r="N138" s="2"/>
      <c r="O138" s="2"/>
      <c r="P138" s="66"/>
      <c r="Q138" s="66"/>
      <c r="R138" s="2"/>
      <c r="S138" s="2"/>
      <c r="T138" s="2"/>
    </row>
    <row r="139" spans="1:20">
      <c r="A139" s="28">
        <v>43221</v>
      </c>
      <c r="B139" s="28">
        <v>43203</v>
      </c>
      <c r="C139" s="31">
        <f t="shared" si="10"/>
        <v>43203</v>
      </c>
      <c r="D139" s="31"/>
      <c r="E139" s="23"/>
      <c r="F139" s="23"/>
      <c r="G139" s="23"/>
      <c r="H139" s="23"/>
      <c r="I139" s="2"/>
      <c r="J139" s="2"/>
      <c r="K139" s="61"/>
      <c r="L139" s="61"/>
      <c r="M139" s="13"/>
      <c r="N139" s="2"/>
      <c r="O139" s="2"/>
      <c r="P139" s="66"/>
      <c r="Q139" s="66"/>
      <c r="R139" s="2"/>
      <c r="S139" s="2"/>
      <c r="T139" s="2"/>
    </row>
    <row r="140" spans="1:20">
      <c r="A140" s="28">
        <v>43252</v>
      </c>
      <c r="B140" s="28">
        <v>43235</v>
      </c>
      <c r="C140" s="31">
        <f t="shared" si="10"/>
        <v>43235</v>
      </c>
      <c r="D140" s="31"/>
      <c r="E140" s="23"/>
      <c r="F140" s="23"/>
      <c r="G140" s="23"/>
      <c r="H140" s="23"/>
      <c r="I140" s="2"/>
      <c r="J140" s="2"/>
      <c r="K140" s="61"/>
      <c r="L140" s="61"/>
      <c r="M140" s="13"/>
      <c r="N140" s="2"/>
      <c r="O140" s="2"/>
      <c r="P140" s="66"/>
      <c r="Q140" s="66"/>
      <c r="R140" s="2"/>
      <c r="S140" s="2"/>
      <c r="T140" s="2"/>
    </row>
    <row r="141" spans="1:20">
      <c r="A141" s="28">
        <v>43282</v>
      </c>
      <c r="B141" s="28">
        <v>43266</v>
      </c>
      <c r="C141" s="31">
        <f t="shared" si="10"/>
        <v>43266</v>
      </c>
      <c r="D141" s="31"/>
      <c r="E141" s="23"/>
      <c r="F141" s="23"/>
      <c r="G141" s="23"/>
      <c r="H141" s="23"/>
      <c r="I141" s="2"/>
      <c r="J141" s="2"/>
      <c r="K141" s="61"/>
      <c r="L141" s="61"/>
      <c r="M141" s="13"/>
      <c r="N141" s="2"/>
      <c r="O141" s="2"/>
      <c r="P141" s="66"/>
      <c r="Q141" s="66"/>
      <c r="R141" s="2"/>
      <c r="S141" s="2"/>
      <c r="T141" s="2"/>
    </row>
    <row r="142" spans="1:20">
      <c r="A142" s="28">
        <v>43313</v>
      </c>
      <c r="B142" s="28">
        <v>43294</v>
      </c>
      <c r="C142" s="31">
        <f t="shared" si="10"/>
        <v>43294</v>
      </c>
      <c r="D142" s="31"/>
      <c r="E142" s="23"/>
      <c r="F142" s="23"/>
      <c r="G142" s="23"/>
      <c r="H142" s="23"/>
      <c r="I142" s="2"/>
      <c r="J142" s="2"/>
      <c r="K142" s="61"/>
      <c r="L142" s="61"/>
      <c r="M142" s="13"/>
      <c r="N142" s="2"/>
      <c r="O142" s="2"/>
      <c r="P142" s="66"/>
      <c r="Q142" s="66"/>
      <c r="R142" s="2"/>
      <c r="S142" s="2"/>
      <c r="T142" s="2"/>
    </row>
    <row r="143" spans="1:20">
      <c r="A143" s="28">
        <v>43344</v>
      </c>
      <c r="B143" s="28">
        <v>43327</v>
      </c>
      <c r="C143" s="31">
        <f t="shared" si="10"/>
        <v>43327</v>
      </c>
      <c r="D143" s="31"/>
      <c r="E143" s="23"/>
      <c r="F143" s="23"/>
      <c r="G143" s="23"/>
      <c r="H143" s="23"/>
      <c r="I143" s="2"/>
      <c r="J143" s="2"/>
      <c r="K143" s="61"/>
      <c r="L143" s="61"/>
      <c r="M143" s="13"/>
      <c r="N143" s="2"/>
      <c r="O143" s="2"/>
      <c r="P143" s="66"/>
      <c r="Q143" s="66"/>
      <c r="R143" s="2"/>
      <c r="S143" s="2"/>
      <c r="T143" s="2"/>
    </row>
    <row r="144" spans="1:20">
      <c r="A144" s="28">
        <v>43374</v>
      </c>
      <c r="B144" s="28">
        <v>43357</v>
      </c>
      <c r="C144" s="31">
        <f t="shared" si="10"/>
        <v>43357</v>
      </c>
      <c r="D144" s="31"/>
      <c r="E144" s="23"/>
      <c r="F144" s="23"/>
      <c r="G144" s="23"/>
      <c r="H144" s="23"/>
      <c r="I144" s="2"/>
      <c r="J144" s="2"/>
      <c r="K144" s="61"/>
      <c r="L144" s="61"/>
      <c r="M144" s="13"/>
      <c r="N144" s="2"/>
      <c r="O144" s="2"/>
      <c r="P144" s="66"/>
      <c r="Q144" s="66"/>
      <c r="R144" s="2"/>
      <c r="S144" s="2"/>
      <c r="T144" s="2"/>
    </row>
    <row r="145" spans="1:20">
      <c r="A145" s="28">
        <v>43405</v>
      </c>
      <c r="B145" s="28">
        <v>43388</v>
      </c>
      <c r="C145" s="31">
        <f t="shared" si="10"/>
        <v>43388</v>
      </c>
      <c r="D145" s="31"/>
      <c r="E145" s="23"/>
      <c r="F145" s="23"/>
      <c r="G145" s="23"/>
      <c r="H145" s="23"/>
      <c r="I145" s="2"/>
      <c r="J145" s="2"/>
      <c r="K145" s="61"/>
      <c r="L145" s="61"/>
      <c r="M145" s="13"/>
      <c r="N145" s="2"/>
      <c r="O145" s="2"/>
      <c r="P145" s="66"/>
      <c r="Q145" s="66"/>
      <c r="R145" s="2"/>
      <c r="S145" s="2"/>
      <c r="T145" s="2"/>
    </row>
    <row r="146" spans="1:20">
      <c r="A146" s="28">
        <v>43435</v>
      </c>
      <c r="B146" s="28">
        <v>43419</v>
      </c>
      <c r="C146" s="31">
        <f t="shared" si="10"/>
        <v>43419</v>
      </c>
      <c r="D146" s="31"/>
      <c r="E146" s="23"/>
      <c r="F146" s="23"/>
      <c r="G146" s="23"/>
      <c r="H146" s="23"/>
      <c r="I146" s="2"/>
      <c r="J146" s="2"/>
      <c r="K146" s="61"/>
      <c r="L146" s="61"/>
      <c r="M146" s="13"/>
      <c r="N146" s="2"/>
      <c r="O146" s="2"/>
      <c r="P146" s="66"/>
      <c r="Q146" s="66"/>
      <c r="R146" s="2"/>
      <c r="S146" s="2"/>
      <c r="T146" s="2"/>
    </row>
    <row r="147" spans="1:20">
      <c r="A147" s="28">
        <v>43466</v>
      </c>
      <c r="B147" s="28">
        <v>43448</v>
      </c>
      <c r="C147" s="31">
        <f t="shared" si="10"/>
        <v>43448</v>
      </c>
      <c r="D147" s="31"/>
      <c r="E147" s="23"/>
      <c r="F147" s="23"/>
      <c r="G147" s="23"/>
      <c r="H147" s="23"/>
      <c r="I147" s="2"/>
      <c r="J147" s="2"/>
      <c r="K147" s="61"/>
      <c r="L147" s="61"/>
      <c r="M147" s="13"/>
      <c r="N147" s="2"/>
      <c r="O147" s="2"/>
      <c r="P147" s="66"/>
      <c r="Q147" s="66"/>
      <c r="R147" s="2"/>
      <c r="S147" s="2"/>
      <c r="T147" s="2"/>
    </row>
    <row r="148" spans="1:20">
      <c r="A148" s="28">
        <v>43497</v>
      </c>
      <c r="B148" s="28">
        <v>43480</v>
      </c>
      <c r="C148" s="31">
        <f t="shared" si="10"/>
        <v>43480</v>
      </c>
      <c r="D148" s="31"/>
      <c r="E148" s="23"/>
      <c r="F148" s="23"/>
      <c r="G148" s="23"/>
      <c r="H148" s="23"/>
      <c r="I148" s="2"/>
      <c r="J148" s="2"/>
      <c r="K148" s="61"/>
      <c r="L148" s="61"/>
      <c r="M148" s="13"/>
      <c r="N148" s="2"/>
      <c r="O148" s="2"/>
      <c r="P148" s="66"/>
      <c r="Q148" s="66"/>
      <c r="R148" s="2"/>
      <c r="S148" s="2"/>
      <c r="T148" s="2"/>
    </row>
    <row r="149" spans="1:20">
      <c r="A149" s="28">
        <v>43525</v>
      </c>
      <c r="B149" s="28">
        <v>43511</v>
      </c>
      <c r="C149" s="31">
        <f t="shared" si="10"/>
        <v>43511</v>
      </c>
      <c r="D149" s="31"/>
      <c r="E149" s="23"/>
      <c r="F149" s="23"/>
      <c r="G149" s="23"/>
      <c r="H149" s="23"/>
      <c r="I149" s="2"/>
      <c r="J149" s="2"/>
      <c r="K149" s="61"/>
      <c r="L149" s="61"/>
      <c r="M149" s="13"/>
      <c r="N149" s="2"/>
      <c r="O149" s="2"/>
      <c r="P149" s="66"/>
      <c r="Q149" s="66"/>
      <c r="R149" s="2"/>
      <c r="S149" s="2"/>
      <c r="T149" s="2"/>
    </row>
    <row r="150" spans="1:20">
      <c r="A150" s="28">
        <v>43556</v>
      </c>
      <c r="B150" s="28">
        <v>43539</v>
      </c>
      <c r="C150" s="31">
        <f t="shared" si="10"/>
        <v>43539</v>
      </c>
      <c r="D150" s="31"/>
      <c r="E150" s="23"/>
      <c r="F150" s="23"/>
      <c r="G150" s="23"/>
      <c r="H150" s="23"/>
      <c r="I150" s="2"/>
      <c r="J150" s="2"/>
      <c r="K150" s="61"/>
      <c r="L150" s="61"/>
      <c r="M150" s="13"/>
      <c r="N150" s="2"/>
      <c r="O150" s="2"/>
      <c r="P150" s="66"/>
      <c r="Q150" s="66"/>
      <c r="R150" s="2"/>
      <c r="S150" s="2"/>
      <c r="T150" s="2"/>
    </row>
    <row r="151" spans="1:20">
      <c r="A151" s="28">
        <v>43586</v>
      </c>
      <c r="B151" s="28">
        <v>43570</v>
      </c>
      <c r="C151" s="31">
        <f t="shared" si="10"/>
        <v>43570</v>
      </c>
      <c r="D151" s="31"/>
      <c r="E151" s="23"/>
      <c r="F151" s="23"/>
      <c r="G151" s="23"/>
      <c r="H151" s="23"/>
      <c r="I151" s="2"/>
      <c r="J151" s="2"/>
      <c r="K151" s="61"/>
      <c r="L151" s="61"/>
      <c r="M151" s="13"/>
      <c r="N151" s="2"/>
      <c r="O151" s="2"/>
      <c r="P151" s="66"/>
      <c r="Q151" s="66"/>
      <c r="R151" s="2"/>
      <c r="S151" s="2"/>
      <c r="T151" s="2"/>
    </row>
    <row r="152" spans="1:20">
      <c r="A152" s="28">
        <v>43617</v>
      </c>
      <c r="B152" s="28">
        <v>43600</v>
      </c>
      <c r="C152" s="31">
        <f t="shared" si="10"/>
        <v>43600</v>
      </c>
      <c r="D152" s="31"/>
      <c r="E152" s="23"/>
      <c r="F152" s="23"/>
      <c r="G152" s="23"/>
      <c r="H152" s="23"/>
      <c r="I152" s="2"/>
      <c r="J152" s="2"/>
      <c r="K152" s="61"/>
      <c r="L152" s="61"/>
      <c r="M152" s="13"/>
      <c r="N152" s="2"/>
      <c r="O152" s="2"/>
      <c r="P152" s="66"/>
      <c r="Q152" s="66"/>
      <c r="R152" s="2"/>
      <c r="S152" s="2"/>
      <c r="T152" s="2"/>
    </row>
    <row r="153" spans="1:20">
      <c r="A153" s="28">
        <v>43647</v>
      </c>
      <c r="B153" s="28">
        <v>43630</v>
      </c>
      <c r="C153" s="31">
        <f t="shared" si="10"/>
        <v>43630</v>
      </c>
      <c r="D153" s="31"/>
      <c r="E153" s="23"/>
      <c r="F153" s="23"/>
      <c r="G153" s="23"/>
      <c r="H153" s="23"/>
      <c r="I153" s="2"/>
      <c r="J153" s="2"/>
      <c r="K153" s="61"/>
      <c r="L153" s="61"/>
      <c r="M153" s="13"/>
      <c r="N153" s="2"/>
      <c r="O153" s="2"/>
      <c r="P153" s="66"/>
      <c r="Q153" s="66"/>
      <c r="R153" s="2"/>
      <c r="S153" s="2"/>
      <c r="T153" s="2"/>
    </row>
    <row r="154" spans="1:20">
      <c r="A154" s="28">
        <v>43678</v>
      </c>
      <c r="B154" s="28">
        <v>43661</v>
      </c>
      <c r="C154" s="31">
        <f t="shared" si="10"/>
        <v>43661</v>
      </c>
      <c r="D154" s="31"/>
      <c r="E154" s="23"/>
      <c r="F154" s="23"/>
      <c r="G154" s="23"/>
      <c r="H154" s="23"/>
      <c r="I154" s="2"/>
      <c r="J154" s="2"/>
      <c r="K154" s="61"/>
      <c r="L154" s="61"/>
      <c r="M154" s="13"/>
      <c r="N154" s="2"/>
      <c r="O154" s="2"/>
      <c r="P154" s="66"/>
      <c r="Q154" s="66"/>
      <c r="R154" s="2"/>
      <c r="S154" s="2"/>
      <c r="T154" s="2"/>
    </row>
    <row r="155" spans="1:20">
      <c r="A155" s="28">
        <v>43709</v>
      </c>
      <c r="B155" s="28">
        <v>43692</v>
      </c>
      <c r="C155" s="31">
        <f t="shared" si="10"/>
        <v>43692</v>
      </c>
      <c r="D155" s="31"/>
      <c r="E155" s="23"/>
      <c r="F155" s="23"/>
      <c r="G155" s="23"/>
      <c r="H155" s="23"/>
      <c r="I155" s="2"/>
      <c r="J155" s="2"/>
      <c r="K155" s="61"/>
      <c r="L155" s="61"/>
      <c r="M155" s="13"/>
      <c r="N155" s="2"/>
      <c r="O155" s="2"/>
      <c r="P155" s="66"/>
      <c r="Q155" s="66"/>
      <c r="R155" s="2"/>
      <c r="S155" s="2"/>
      <c r="T155" s="2"/>
    </row>
    <row r="156" spans="1:20">
      <c r="A156" s="28">
        <v>43739</v>
      </c>
      <c r="B156" s="28">
        <v>43721</v>
      </c>
      <c r="C156" s="31">
        <f t="shared" si="10"/>
        <v>43721</v>
      </c>
      <c r="D156" s="31"/>
      <c r="E156" s="23"/>
      <c r="F156" s="23"/>
      <c r="G156" s="23"/>
      <c r="H156" s="23"/>
      <c r="I156" s="2"/>
      <c r="J156" s="2"/>
      <c r="K156" s="61"/>
      <c r="L156" s="61"/>
      <c r="M156" s="13"/>
      <c r="N156" s="2"/>
      <c r="O156" s="2"/>
      <c r="P156" s="66"/>
      <c r="Q156" s="66"/>
      <c r="R156" s="2"/>
      <c r="S156" s="2"/>
      <c r="T156" s="2"/>
    </row>
    <row r="157" spans="1:20">
      <c r="A157" s="28">
        <v>43770</v>
      </c>
      <c r="B157" s="28">
        <v>43753</v>
      </c>
      <c r="C157" s="31">
        <f t="shared" si="10"/>
        <v>43753</v>
      </c>
      <c r="D157" s="31"/>
      <c r="E157" s="23"/>
      <c r="F157" s="23"/>
      <c r="G157" s="23"/>
      <c r="H157" s="23"/>
      <c r="I157" s="2"/>
      <c r="J157" s="2"/>
      <c r="K157" s="61"/>
      <c r="L157" s="61"/>
      <c r="M157" s="13"/>
      <c r="N157" s="2"/>
      <c r="O157" s="2"/>
      <c r="P157" s="66"/>
      <c r="Q157" s="66"/>
      <c r="R157" s="2"/>
      <c r="S157" s="2"/>
      <c r="T157" s="2"/>
    </row>
    <row r="158" spans="1:20">
      <c r="A158" s="28">
        <v>43800</v>
      </c>
      <c r="B158" s="28">
        <v>43784</v>
      </c>
      <c r="C158" s="31">
        <f t="shared" ref="C158:C182" si="11">WORKDAY(B158,0,S.DDL_DEQClosed)</f>
        <v>43784</v>
      </c>
      <c r="D158" s="31"/>
      <c r="E158" s="23"/>
      <c r="F158" s="23"/>
      <c r="G158" s="23"/>
      <c r="H158" s="23"/>
      <c r="I158" s="2"/>
      <c r="J158" s="2"/>
      <c r="K158" s="61"/>
      <c r="L158" s="61"/>
      <c r="M158" s="13"/>
      <c r="N158" s="2"/>
      <c r="O158" s="2"/>
      <c r="P158" s="66"/>
      <c r="Q158" s="66"/>
      <c r="R158" s="2"/>
      <c r="S158" s="2"/>
      <c r="T158" s="2"/>
    </row>
    <row r="159" spans="1:20">
      <c r="A159" s="28">
        <v>43831</v>
      </c>
      <c r="B159" s="28">
        <v>43812</v>
      </c>
      <c r="C159" s="31">
        <f t="shared" si="11"/>
        <v>43812</v>
      </c>
      <c r="D159" s="31"/>
      <c r="E159" s="23"/>
      <c r="F159" s="23"/>
      <c r="G159" s="23"/>
      <c r="H159" s="23"/>
      <c r="I159" s="2"/>
      <c r="J159" s="2"/>
      <c r="K159" s="61"/>
      <c r="L159" s="61"/>
      <c r="M159" s="13"/>
      <c r="N159" s="2"/>
      <c r="O159" s="2"/>
      <c r="P159" s="66"/>
      <c r="Q159" s="66"/>
      <c r="R159" s="2"/>
      <c r="S159" s="2"/>
      <c r="T159" s="2"/>
    </row>
    <row r="160" spans="1:20">
      <c r="A160" s="28">
        <v>43862</v>
      </c>
      <c r="B160" s="28">
        <v>43845</v>
      </c>
      <c r="C160" s="31">
        <f t="shared" si="11"/>
        <v>43845</v>
      </c>
      <c r="D160" s="31"/>
      <c r="E160" s="23"/>
      <c r="F160" s="23"/>
      <c r="G160" s="23"/>
      <c r="H160" s="23"/>
      <c r="I160" s="2"/>
      <c r="J160" s="2"/>
      <c r="K160" s="61"/>
      <c r="L160" s="61"/>
      <c r="M160" s="13"/>
      <c r="N160" s="2"/>
      <c r="O160" s="2"/>
      <c r="P160" s="66"/>
      <c r="Q160" s="66"/>
      <c r="R160" s="2"/>
      <c r="S160" s="2"/>
      <c r="T160" s="2"/>
    </row>
    <row r="161" spans="1:20">
      <c r="A161" s="28">
        <v>43891</v>
      </c>
      <c r="B161" s="29">
        <v>43875</v>
      </c>
      <c r="C161" s="31">
        <f t="shared" si="11"/>
        <v>43875</v>
      </c>
      <c r="D161" s="31"/>
      <c r="E161" s="23"/>
      <c r="F161" s="23"/>
      <c r="G161" s="23"/>
      <c r="H161" s="23"/>
      <c r="I161" s="2"/>
      <c r="J161" s="2"/>
      <c r="K161" s="61"/>
      <c r="L161" s="61"/>
      <c r="M161" s="13"/>
      <c r="N161" s="2"/>
      <c r="O161" s="2"/>
      <c r="P161" s="66"/>
      <c r="Q161" s="66"/>
      <c r="R161" s="2"/>
      <c r="S161" s="2"/>
      <c r="T161" s="2"/>
    </row>
    <row r="162" spans="1:20">
      <c r="A162" s="28">
        <v>43922</v>
      </c>
      <c r="B162" s="28">
        <v>43903</v>
      </c>
      <c r="C162" s="31">
        <f t="shared" si="11"/>
        <v>43903</v>
      </c>
      <c r="D162" s="31"/>
      <c r="E162" s="23"/>
      <c r="F162" s="23"/>
      <c r="G162" s="23"/>
      <c r="H162" s="23"/>
      <c r="I162" s="2"/>
      <c r="J162" s="2"/>
      <c r="K162" s="61"/>
      <c r="L162" s="61"/>
      <c r="M162" s="13"/>
      <c r="N162" s="2"/>
      <c r="O162" s="2"/>
      <c r="P162" s="66"/>
      <c r="Q162" s="66"/>
      <c r="R162" s="2"/>
      <c r="S162" s="2"/>
      <c r="T162" s="2"/>
    </row>
    <row r="163" spans="1:20">
      <c r="A163" s="28">
        <v>43952</v>
      </c>
      <c r="B163" s="28">
        <v>43936</v>
      </c>
      <c r="C163" s="31">
        <f t="shared" si="11"/>
        <v>43936</v>
      </c>
      <c r="D163" s="31"/>
      <c r="E163" s="23"/>
      <c r="F163" s="23"/>
      <c r="G163" s="23"/>
      <c r="H163" s="23"/>
      <c r="I163" s="2"/>
      <c r="J163" s="2"/>
      <c r="K163" s="61"/>
      <c r="L163" s="61"/>
      <c r="M163" s="13"/>
      <c r="N163" s="2"/>
      <c r="O163" s="2"/>
      <c r="P163" s="66"/>
      <c r="Q163" s="66"/>
      <c r="R163" s="2"/>
      <c r="S163" s="2"/>
      <c r="T163" s="2"/>
    </row>
    <row r="164" spans="1:20">
      <c r="A164" s="28">
        <v>43983</v>
      </c>
      <c r="B164" s="28">
        <v>43966</v>
      </c>
      <c r="C164" s="31">
        <f t="shared" si="11"/>
        <v>43966</v>
      </c>
      <c r="D164" s="31"/>
      <c r="E164" s="23"/>
      <c r="F164" s="23"/>
      <c r="G164" s="23"/>
      <c r="H164" s="23"/>
      <c r="I164" s="2"/>
      <c r="J164" s="2"/>
      <c r="K164" s="61"/>
      <c r="L164" s="61"/>
      <c r="M164" s="13"/>
      <c r="N164" s="2"/>
      <c r="O164" s="2"/>
      <c r="P164" s="66"/>
      <c r="Q164" s="66"/>
      <c r="R164" s="2"/>
      <c r="S164" s="2"/>
      <c r="T164" s="2"/>
    </row>
    <row r="165" spans="1:20">
      <c r="A165" s="28">
        <v>44013</v>
      </c>
      <c r="B165" s="28">
        <v>43997</v>
      </c>
      <c r="C165" s="31">
        <f t="shared" si="11"/>
        <v>43997</v>
      </c>
      <c r="D165" s="31"/>
      <c r="E165" s="23"/>
      <c r="F165" s="23"/>
      <c r="G165" s="23"/>
      <c r="H165" s="23"/>
      <c r="I165" s="2"/>
      <c r="J165" s="2"/>
      <c r="K165" s="61"/>
      <c r="L165" s="61"/>
      <c r="M165" s="13"/>
      <c r="N165" s="2"/>
      <c r="O165" s="2"/>
      <c r="P165" s="66"/>
      <c r="Q165" s="66"/>
      <c r="R165" s="2"/>
      <c r="S165" s="2"/>
      <c r="T165" s="2"/>
    </row>
    <row r="166" spans="1:20">
      <c r="A166" s="28">
        <v>44044</v>
      </c>
      <c r="B166" s="28">
        <v>44027</v>
      </c>
      <c r="C166" s="31">
        <f t="shared" si="11"/>
        <v>44027</v>
      </c>
      <c r="D166" s="31"/>
      <c r="E166" s="23"/>
      <c r="F166" s="23"/>
      <c r="G166" s="23"/>
      <c r="H166" s="23"/>
      <c r="I166" s="2"/>
      <c r="J166" s="2"/>
      <c r="K166" s="61"/>
      <c r="L166" s="61"/>
      <c r="M166" s="13"/>
      <c r="N166" s="2"/>
      <c r="O166" s="2"/>
      <c r="P166" s="66"/>
      <c r="Q166" s="66"/>
      <c r="R166" s="2"/>
      <c r="S166" s="2"/>
      <c r="T166" s="2"/>
    </row>
    <row r="167" spans="1:20">
      <c r="A167" s="28">
        <v>44075</v>
      </c>
      <c r="B167" s="28">
        <v>44057</v>
      </c>
      <c r="C167" s="31">
        <f t="shared" si="11"/>
        <v>44057</v>
      </c>
      <c r="D167" s="31"/>
      <c r="E167" s="23"/>
      <c r="F167" s="23"/>
      <c r="G167" s="23"/>
      <c r="H167" s="23"/>
      <c r="I167" s="2"/>
      <c r="J167" s="2"/>
      <c r="K167" s="61"/>
      <c r="L167" s="61"/>
      <c r="M167" s="13"/>
      <c r="N167" s="2"/>
      <c r="O167" s="2"/>
      <c r="P167" s="66"/>
      <c r="Q167" s="66"/>
      <c r="R167" s="2"/>
      <c r="S167" s="2"/>
      <c r="T167" s="2"/>
    </row>
    <row r="168" spans="1:20">
      <c r="A168" s="28">
        <v>44105</v>
      </c>
      <c r="B168" s="28">
        <v>44089</v>
      </c>
      <c r="C168" s="31">
        <f t="shared" si="11"/>
        <v>44089</v>
      </c>
      <c r="D168" s="31"/>
      <c r="E168" s="23"/>
      <c r="F168" s="23"/>
      <c r="G168" s="23"/>
      <c r="H168" s="23"/>
      <c r="I168" s="2"/>
      <c r="J168" s="2"/>
      <c r="K168" s="61"/>
      <c r="L168" s="61"/>
      <c r="M168" s="13"/>
      <c r="N168" s="2"/>
      <c r="O168" s="2"/>
      <c r="P168" s="66"/>
      <c r="Q168" s="66"/>
      <c r="R168" s="2"/>
      <c r="S168" s="2"/>
      <c r="T168" s="2"/>
    </row>
    <row r="169" spans="1:20">
      <c r="A169" s="28">
        <v>44136</v>
      </c>
      <c r="B169" s="28">
        <v>44119</v>
      </c>
      <c r="C169" s="31">
        <f t="shared" si="11"/>
        <v>44119</v>
      </c>
      <c r="D169" s="31"/>
      <c r="E169" s="23"/>
      <c r="F169" s="23"/>
      <c r="G169" s="23"/>
      <c r="H169" s="23"/>
      <c r="I169" s="2"/>
      <c r="J169" s="2"/>
      <c r="K169" s="61"/>
      <c r="L169" s="61"/>
      <c r="M169" s="13"/>
      <c r="N169" s="2"/>
      <c r="O169" s="2"/>
      <c r="P169" s="66"/>
      <c r="Q169" s="66"/>
      <c r="R169" s="2"/>
      <c r="S169" s="2"/>
      <c r="T169" s="2"/>
    </row>
    <row r="170" spans="1:20">
      <c r="A170" s="28">
        <v>44166</v>
      </c>
      <c r="B170" s="28">
        <v>44148</v>
      </c>
      <c r="C170" s="31">
        <f t="shared" si="11"/>
        <v>44148</v>
      </c>
      <c r="D170" s="31"/>
      <c r="E170" s="23"/>
      <c r="F170" s="23"/>
      <c r="G170" s="23"/>
      <c r="H170" s="23"/>
      <c r="I170" s="2"/>
      <c r="J170" s="2"/>
      <c r="K170" s="61"/>
      <c r="L170" s="61"/>
      <c r="M170" s="13"/>
      <c r="N170" s="2"/>
      <c r="O170" s="2"/>
      <c r="P170" s="66"/>
      <c r="Q170" s="66"/>
      <c r="R170" s="2"/>
      <c r="S170" s="2"/>
      <c r="T170" s="2"/>
    </row>
    <row r="171" spans="1:20">
      <c r="A171" s="28">
        <v>44197</v>
      </c>
      <c r="B171" s="28">
        <v>44180</v>
      </c>
      <c r="C171" s="31">
        <f t="shared" si="11"/>
        <v>44180</v>
      </c>
      <c r="D171" s="31"/>
      <c r="E171" s="23"/>
      <c r="F171" s="23"/>
      <c r="G171" s="23"/>
      <c r="H171" s="23"/>
      <c r="I171" s="2"/>
      <c r="J171" s="2"/>
      <c r="K171" s="61"/>
      <c r="L171" s="61"/>
      <c r="M171" s="13"/>
      <c r="N171" s="2"/>
      <c r="O171" s="2"/>
      <c r="P171" s="66"/>
      <c r="Q171" s="66"/>
      <c r="R171" s="2"/>
      <c r="S171" s="2"/>
      <c r="T171" s="2"/>
    </row>
    <row r="172" spans="1:20">
      <c r="A172" s="28">
        <v>44228</v>
      </c>
      <c r="B172" s="28">
        <v>44211</v>
      </c>
      <c r="C172" s="31">
        <f t="shared" si="11"/>
        <v>44211</v>
      </c>
      <c r="D172" s="31"/>
      <c r="E172" s="23"/>
      <c r="F172" s="23"/>
      <c r="G172" s="23"/>
      <c r="H172" s="23"/>
      <c r="I172" s="2"/>
      <c r="J172" s="2"/>
      <c r="K172" s="61"/>
      <c r="L172" s="61"/>
      <c r="M172" s="13"/>
      <c r="N172" s="2"/>
      <c r="O172" s="2"/>
      <c r="P172" s="66"/>
      <c r="Q172" s="66"/>
      <c r="R172" s="2"/>
      <c r="S172" s="2"/>
      <c r="T172" s="2"/>
    </row>
    <row r="173" spans="1:20">
      <c r="A173" s="28">
        <v>44256</v>
      </c>
      <c r="B173" s="29">
        <v>44242</v>
      </c>
      <c r="C173" s="31">
        <f t="shared" si="11"/>
        <v>44242</v>
      </c>
      <c r="D173" s="31"/>
      <c r="E173" s="23"/>
      <c r="F173" s="23"/>
      <c r="G173" s="23"/>
      <c r="H173" s="23"/>
      <c r="I173" s="2"/>
      <c r="J173" s="2"/>
      <c r="K173" s="61"/>
      <c r="L173" s="61"/>
      <c r="M173" s="13"/>
      <c r="N173" s="2"/>
      <c r="O173" s="2"/>
      <c r="P173" s="66"/>
      <c r="Q173" s="66"/>
      <c r="R173" s="2"/>
      <c r="S173" s="2"/>
      <c r="T173" s="2"/>
    </row>
    <row r="174" spans="1:20">
      <c r="A174" s="28">
        <v>44287</v>
      </c>
      <c r="B174" s="28">
        <v>44270</v>
      </c>
      <c r="C174" s="31">
        <f t="shared" si="11"/>
        <v>44270</v>
      </c>
      <c r="D174" s="31"/>
      <c r="E174" s="23"/>
      <c r="F174" s="23"/>
      <c r="G174" s="23"/>
      <c r="H174" s="23"/>
      <c r="I174" s="2"/>
      <c r="J174" s="2"/>
      <c r="K174" s="61"/>
      <c r="L174" s="61"/>
      <c r="M174" s="13"/>
      <c r="N174" s="2"/>
      <c r="O174" s="2"/>
      <c r="P174" s="66"/>
      <c r="Q174" s="66"/>
      <c r="R174" s="2"/>
      <c r="S174" s="2"/>
      <c r="T174" s="2"/>
    </row>
    <row r="175" spans="1:20">
      <c r="A175" s="28">
        <v>44317</v>
      </c>
      <c r="B175" s="28">
        <v>44301</v>
      </c>
      <c r="C175" s="31">
        <f t="shared" si="11"/>
        <v>44301</v>
      </c>
      <c r="D175" s="31"/>
      <c r="E175" s="23"/>
      <c r="F175" s="23"/>
      <c r="G175" s="23"/>
      <c r="H175" s="23"/>
      <c r="I175" s="2"/>
      <c r="J175" s="2"/>
      <c r="K175" s="61"/>
      <c r="L175" s="61"/>
      <c r="M175" s="13"/>
      <c r="N175" s="2"/>
      <c r="O175" s="2"/>
      <c r="P175" s="66"/>
      <c r="Q175" s="66"/>
      <c r="R175" s="2"/>
      <c r="S175" s="2"/>
      <c r="T175" s="2"/>
    </row>
    <row r="176" spans="1:20">
      <c r="A176" s="28">
        <v>44348</v>
      </c>
      <c r="B176" s="28">
        <v>44330</v>
      </c>
      <c r="C176" s="31">
        <f t="shared" si="11"/>
        <v>44330</v>
      </c>
      <c r="D176" s="31"/>
      <c r="E176" s="23"/>
      <c r="F176" s="23"/>
      <c r="G176" s="23"/>
      <c r="H176" s="23"/>
      <c r="I176" s="2"/>
      <c r="J176" s="2"/>
      <c r="K176" s="61"/>
      <c r="L176" s="61"/>
      <c r="M176" s="13"/>
      <c r="N176" s="2"/>
      <c r="O176" s="2"/>
      <c r="P176" s="66"/>
      <c r="Q176" s="66"/>
      <c r="R176" s="2"/>
      <c r="S176" s="2"/>
      <c r="T176" s="2"/>
    </row>
    <row r="177" spans="1:20">
      <c r="A177" s="28">
        <v>44378</v>
      </c>
      <c r="B177" s="28">
        <v>44362</v>
      </c>
      <c r="C177" s="31">
        <f t="shared" si="11"/>
        <v>44362</v>
      </c>
      <c r="D177" s="31"/>
      <c r="E177" s="23"/>
      <c r="F177" s="23"/>
      <c r="G177" s="23"/>
      <c r="H177" s="23"/>
      <c r="I177" s="2"/>
      <c r="J177" s="2"/>
      <c r="K177" s="61"/>
      <c r="L177" s="61"/>
      <c r="M177" s="13"/>
      <c r="N177" s="2"/>
      <c r="O177" s="2"/>
      <c r="P177" s="66"/>
      <c r="Q177" s="66"/>
      <c r="R177" s="2"/>
      <c r="S177" s="2"/>
      <c r="T177" s="2"/>
    </row>
    <row r="178" spans="1:20">
      <c r="A178" s="28">
        <v>44409</v>
      </c>
      <c r="B178" s="28">
        <v>44392</v>
      </c>
      <c r="C178" s="31">
        <f t="shared" si="11"/>
        <v>44392</v>
      </c>
      <c r="D178" s="31"/>
      <c r="E178" s="23"/>
      <c r="F178" s="23"/>
      <c r="G178" s="23"/>
      <c r="H178" s="23"/>
      <c r="I178" s="2"/>
      <c r="J178" s="2"/>
      <c r="K178" s="61"/>
      <c r="L178" s="61"/>
      <c r="M178" s="13"/>
      <c r="N178" s="2"/>
      <c r="O178" s="2"/>
      <c r="P178" s="66"/>
      <c r="Q178" s="66"/>
      <c r="R178" s="2"/>
      <c r="S178" s="2"/>
      <c r="T178" s="2"/>
    </row>
    <row r="179" spans="1:20">
      <c r="A179" s="28">
        <v>44440</v>
      </c>
      <c r="B179" s="28">
        <v>44421</v>
      </c>
      <c r="C179" s="31">
        <f t="shared" si="11"/>
        <v>44421</v>
      </c>
      <c r="D179" s="31"/>
      <c r="E179" s="23"/>
      <c r="F179" s="23"/>
      <c r="G179" s="23"/>
      <c r="H179" s="23"/>
      <c r="I179" s="2"/>
      <c r="J179" s="2"/>
      <c r="K179" s="61"/>
      <c r="L179" s="61"/>
      <c r="M179" s="13"/>
      <c r="N179" s="2"/>
      <c r="O179" s="2"/>
      <c r="P179" s="66"/>
      <c r="Q179" s="66"/>
      <c r="R179" s="2"/>
      <c r="S179" s="2"/>
      <c r="T179" s="2"/>
    </row>
    <row r="180" spans="1:20">
      <c r="A180" s="28">
        <v>44470</v>
      </c>
      <c r="B180" s="28">
        <v>44454</v>
      </c>
      <c r="C180" s="31">
        <f t="shared" si="11"/>
        <v>44454</v>
      </c>
      <c r="D180" s="31"/>
      <c r="E180" s="23"/>
      <c r="F180" s="23"/>
      <c r="G180" s="23"/>
      <c r="H180" s="23"/>
      <c r="I180" s="2"/>
      <c r="J180" s="2"/>
      <c r="K180" s="61"/>
      <c r="L180" s="61"/>
      <c r="M180" s="13"/>
      <c r="N180" s="2"/>
      <c r="O180" s="2"/>
      <c r="P180" s="66"/>
      <c r="Q180" s="66"/>
      <c r="R180" s="2"/>
      <c r="S180" s="2"/>
      <c r="T180" s="2"/>
    </row>
    <row r="181" spans="1:20">
      <c r="A181" s="28">
        <v>44501</v>
      </c>
      <c r="B181" s="28">
        <v>44484</v>
      </c>
      <c r="C181" s="31">
        <f t="shared" si="11"/>
        <v>44484</v>
      </c>
      <c r="D181" s="31"/>
      <c r="E181" s="23"/>
      <c r="F181" s="23"/>
      <c r="G181" s="23"/>
      <c r="H181" s="23"/>
      <c r="I181" s="2"/>
      <c r="J181" s="2"/>
      <c r="K181" s="61"/>
      <c r="L181" s="61"/>
      <c r="M181" s="13"/>
      <c r="N181" s="2"/>
      <c r="O181" s="2"/>
      <c r="P181" s="66"/>
      <c r="Q181" s="66"/>
      <c r="R181" s="2"/>
      <c r="S181" s="2"/>
      <c r="T181" s="2"/>
    </row>
    <row r="182" spans="1:20">
      <c r="A182" s="28">
        <v>44531</v>
      </c>
      <c r="B182" s="28">
        <v>44515</v>
      </c>
      <c r="C182" s="31">
        <f t="shared" si="11"/>
        <v>44515</v>
      </c>
      <c r="D182" s="31"/>
      <c r="E182" s="23"/>
      <c r="F182" s="23"/>
      <c r="G182" s="23"/>
      <c r="H182" s="23"/>
      <c r="I182" s="2"/>
      <c r="J182" s="2"/>
      <c r="K182" s="61"/>
      <c r="L182" s="61"/>
      <c r="M182" s="13"/>
      <c r="N182" s="2"/>
      <c r="O182" s="2"/>
      <c r="P182" s="66"/>
      <c r="Q182" s="66"/>
      <c r="R182" s="2"/>
      <c r="S182" s="2"/>
      <c r="T182" s="2"/>
    </row>
    <row r="183" spans="1:20">
      <c r="A183" s="5" t="s">
        <v>18</v>
      </c>
      <c r="B183" s="6"/>
      <c r="C183" s="37"/>
      <c r="D183" s="37"/>
      <c r="E183" s="69"/>
      <c r="F183" s="69"/>
      <c r="G183" s="69"/>
      <c r="H183" s="69"/>
      <c r="I183" s="2"/>
      <c r="J183" s="2"/>
      <c r="K183" s="2"/>
      <c r="L183" s="7"/>
      <c r="M183" s="7"/>
      <c r="N183" s="2"/>
      <c r="O183" s="2"/>
      <c r="P183" s="66"/>
      <c r="Q183" s="66"/>
      <c r="R183" s="2"/>
      <c r="S183" s="2"/>
      <c r="T183" s="2"/>
    </row>
    <row r="184" spans="1:20">
      <c r="A184" s="14"/>
      <c r="B184" s="14"/>
      <c r="C184" s="15"/>
      <c r="D184" s="15"/>
      <c r="E184" s="69"/>
      <c r="F184" s="69"/>
      <c r="G184" s="69"/>
      <c r="H184" s="69"/>
      <c r="I184" s="2"/>
      <c r="J184" s="2"/>
      <c r="K184" s="2"/>
      <c r="L184" s="15"/>
      <c r="M184" s="15"/>
      <c r="N184" s="2"/>
      <c r="O184" s="2"/>
      <c r="P184" s="66"/>
      <c r="Q184" s="66"/>
      <c r="R184" s="2"/>
      <c r="S184" s="2"/>
      <c r="T184" s="2"/>
    </row>
    <row r="185" spans="1:20">
      <c r="A185" s="61"/>
      <c r="B185" s="14"/>
      <c r="C185" s="15"/>
      <c r="D185" s="15"/>
      <c r="E185" s="69"/>
      <c r="F185" s="69"/>
      <c r="G185" s="69"/>
      <c r="H185" s="69"/>
      <c r="I185" s="2"/>
      <c r="J185" s="2"/>
      <c r="K185" s="2"/>
      <c r="L185" s="15"/>
      <c r="M185" s="15"/>
      <c r="N185" s="2"/>
      <c r="O185" s="2"/>
      <c r="P185" s="66"/>
      <c r="Q185" s="66"/>
      <c r="R185" s="2"/>
      <c r="S185" s="2"/>
      <c r="T185" s="2"/>
    </row>
    <row r="186" spans="1:20">
      <c r="A186" s="61"/>
      <c r="B186" s="14"/>
      <c r="C186" s="15"/>
      <c r="D186" s="15"/>
      <c r="E186" s="69"/>
      <c r="F186" s="69"/>
      <c r="G186" s="69"/>
      <c r="H186" s="69"/>
      <c r="I186" s="2"/>
      <c r="J186" s="2"/>
      <c r="K186" s="2"/>
      <c r="L186" s="15"/>
      <c r="M186" s="15"/>
      <c r="N186" s="2"/>
      <c r="O186" s="2"/>
      <c r="P186" s="66"/>
      <c r="Q186" s="66"/>
      <c r="R186" s="2"/>
      <c r="S186" s="2"/>
      <c r="T186" s="2"/>
    </row>
    <row r="187" spans="1:20">
      <c r="A187" s="61"/>
      <c r="B187" s="14"/>
      <c r="C187" s="15"/>
      <c r="D187" s="15"/>
      <c r="E187" s="69"/>
      <c r="F187" s="69"/>
      <c r="G187" s="69"/>
      <c r="H187" s="69"/>
      <c r="I187" s="2"/>
      <c r="J187" s="2"/>
      <c r="K187" s="2"/>
      <c r="L187" s="15"/>
      <c r="M187" s="15"/>
      <c r="N187" s="2"/>
      <c r="O187" s="2"/>
      <c r="P187" s="66"/>
      <c r="Q187" s="66"/>
      <c r="R187" s="2"/>
      <c r="S187" s="2"/>
      <c r="T187" s="2"/>
    </row>
    <row r="188" spans="1:20">
      <c r="A188" s="61"/>
      <c r="B188" s="14"/>
      <c r="C188" s="15"/>
      <c r="D188" s="15"/>
      <c r="E188" s="69"/>
      <c r="F188" s="69"/>
      <c r="G188" s="69"/>
      <c r="H188" s="69"/>
      <c r="I188" s="2"/>
      <c r="J188" s="2"/>
      <c r="K188" s="2"/>
      <c r="L188" s="15"/>
      <c r="M188" s="15"/>
      <c r="N188" s="2"/>
      <c r="O188" s="2"/>
      <c r="P188" s="66"/>
      <c r="Q188" s="66"/>
      <c r="R188" s="2"/>
      <c r="S188" s="2"/>
      <c r="T188" s="2"/>
    </row>
    <row r="189" spans="1:20">
      <c r="A189" s="61"/>
      <c r="B189" s="6"/>
      <c r="C189" s="7"/>
      <c r="D189" s="7"/>
      <c r="E189" s="69"/>
      <c r="F189" s="69"/>
      <c r="G189" s="69"/>
      <c r="H189" s="69"/>
      <c r="I189" s="2"/>
      <c r="J189" s="2"/>
      <c r="K189" s="2"/>
      <c r="L189" s="7"/>
      <c r="M189" s="7"/>
      <c r="N189" s="2"/>
      <c r="O189" s="2"/>
      <c r="P189" s="66"/>
      <c r="Q189" s="66"/>
      <c r="R189" s="2"/>
      <c r="S189" s="2"/>
      <c r="T189" s="2"/>
    </row>
    <row r="190" spans="1:20">
      <c r="A190" s="14"/>
      <c r="B190" s="14"/>
      <c r="C190" s="15"/>
      <c r="D190" s="15"/>
      <c r="E190" s="69"/>
      <c r="F190" s="69"/>
      <c r="G190" s="69"/>
      <c r="H190" s="69"/>
      <c r="I190" s="2"/>
      <c r="J190" s="2"/>
      <c r="K190" s="2"/>
      <c r="L190" s="15"/>
      <c r="M190" s="15"/>
      <c r="N190" s="2"/>
      <c r="O190" s="2"/>
      <c r="P190" s="66"/>
      <c r="Q190" s="66"/>
      <c r="R190" s="2"/>
      <c r="S190" s="2"/>
      <c r="T190" s="2"/>
    </row>
    <row r="191" spans="1:20">
      <c r="A191" s="3"/>
      <c r="B191" s="3"/>
      <c r="C191" s="2"/>
      <c r="D191" s="2"/>
      <c r="E191" s="64"/>
      <c r="F191" s="64"/>
      <c r="G191" s="64"/>
      <c r="H191" s="64"/>
      <c r="I191" s="2"/>
      <c r="J191" s="2"/>
      <c r="K191" s="2"/>
      <c r="L191" s="2"/>
      <c r="M191" s="2"/>
      <c r="N191" s="2"/>
      <c r="O191" s="2"/>
      <c r="P191" s="66"/>
      <c r="Q191" s="66"/>
      <c r="R191" s="2"/>
      <c r="S191" s="2"/>
      <c r="T191" s="2"/>
    </row>
    <row r="192" spans="1:20">
      <c r="A192" s="3"/>
      <c r="B192" s="3"/>
      <c r="C192" s="2"/>
      <c r="D192" s="2"/>
      <c r="E192" s="64"/>
      <c r="F192" s="64"/>
      <c r="G192" s="64"/>
      <c r="H192" s="64"/>
      <c r="I192" s="2"/>
      <c r="J192" s="2"/>
      <c r="K192" s="2"/>
      <c r="L192" s="2"/>
      <c r="M192" s="2"/>
      <c r="N192" s="2"/>
      <c r="O192" s="2"/>
      <c r="P192" s="66"/>
      <c r="Q192" s="66"/>
      <c r="R192" s="2"/>
      <c r="S192" s="2"/>
      <c r="T192" s="2"/>
    </row>
    <row r="193" spans="1:20">
      <c r="A193" s="3"/>
      <c r="B193" s="3"/>
      <c r="C193" s="2"/>
      <c r="D193" s="2"/>
      <c r="E193" s="64"/>
      <c r="F193" s="64"/>
      <c r="G193" s="64"/>
      <c r="H193" s="64"/>
      <c r="I193" s="2"/>
      <c r="J193" s="2"/>
      <c r="K193" s="2"/>
      <c r="L193" s="2"/>
      <c r="M193" s="2"/>
      <c r="N193" s="2"/>
      <c r="O193" s="2"/>
      <c r="P193" s="66"/>
      <c r="Q193" s="66"/>
      <c r="R193" s="2"/>
      <c r="S193" s="2"/>
      <c r="T193" s="2"/>
    </row>
    <row r="194" spans="1:20">
      <c r="A194" s="3"/>
      <c r="B194" s="3"/>
      <c r="C194" s="2"/>
      <c r="D194" s="2"/>
      <c r="E194" s="64"/>
      <c r="F194" s="64"/>
      <c r="G194" s="64"/>
      <c r="H194" s="64"/>
      <c r="I194" s="2"/>
      <c r="J194" s="2"/>
      <c r="K194" s="2"/>
      <c r="L194" s="2"/>
      <c r="M194" s="2"/>
      <c r="N194" s="2"/>
      <c r="O194" s="2"/>
      <c r="P194" s="66"/>
      <c r="Q194" s="66"/>
      <c r="R194" s="2"/>
      <c r="S194" s="2"/>
      <c r="T194" s="2"/>
    </row>
    <row r="195" spans="1:20">
      <c r="A195" s="3"/>
      <c r="B195" s="3"/>
      <c r="C195" s="2"/>
      <c r="D195" s="2"/>
      <c r="E195" s="64"/>
      <c r="F195" s="64"/>
      <c r="G195" s="64"/>
      <c r="H195" s="64"/>
      <c r="I195" s="2"/>
      <c r="J195" s="2"/>
      <c r="K195" s="2"/>
      <c r="L195" s="2"/>
      <c r="M195" s="2"/>
      <c r="N195" s="2"/>
      <c r="O195" s="2"/>
      <c r="P195" s="66"/>
      <c r="Q195" s="66"/>
      <c r="R195" s="2"/>
      <c r="S195" s="2"/>
      <c r="T195" s="2"/>
    </row>
    <row r="196" spans="1:20">
      <c r="A196" s="3"/>
      <c r="B196" s="3"/>
      <c r="C196" s="2"/>
      <c r="D196" s="2"/>
      <c r="E196" s="64"/>
      <c r="F196" s="64"/>
      <c r="G196" s="64"/>
      <c r="H196" s="64"/>
      <c r="I196" s="2"/>
      <c r="J196" s="2"/>
      <c r="K196" s="2"/>
      <c r="L196" s="2"/>
      <c r="M196" s="2"/>
      <c r="N196" s="2"/>
      <c r="O196" s="2"/>
      <c r="P196" s="66"/>
      <c r="Q196" s="66"/>
      <c r="R196" s="2"/>
      <c r="S196" s="2"/>
      <c r="T196" s="2"/>
    </row>
    <row r="197" spans="1:20">
      <c r="A197" s="3"/>
      <c r="B197" s="3"/>
      <c r="C197" s="2"/>
      <c r="D197" s="2"/>
      <c r="E197" s="64"/>
      <c r="F197" s="64"/>
      <c r="G197" s="64"/>
      <c r="H197" s="64"/>
      <c r="I197" s="2"/>
      <c r="J197" s="2"/>
      <c r="K197" s="2"/>
      <c r="L197" s="2"/>
      <c r="M197" s="2"/>
      <c r="N197" s="2"/>
      <c r="O197" s="2"/>
      <c r="P197" s="66"/>
      <c r="Q197" s="66"/>
      <c r="R197" s="2"/>
      <c r="S197" s="2"/>
      <c r="T197" s="2"/>
    </row>
    <row r="198" spans="1:20">
      <c r="A198" s="3"/>
      <c r="B198" s="3"/>
      <c r="C198" s="2"/>
      <c r="D198" s="2"/>
      <c r="E198" s="64"/>
      <c r="F198" s="64"/>
      <c r="G198" s="64"/>
      <c r="H198" s="64"/>
      <c r="I198" s="2"/>
      <c r="J198" s="2"/>
      <c r="K198" s="2"/>
      <c r="L198" s="2"/>
      <c r="M198" s="2"/>
      <c r="N198" s="2"/>
      <c r="O198" s="2"/>
      <c r="P198" s="66"/>
      <c r="Q198" s="66"/>
      <c r="R198" s="2"/>
      <c r="S198" s="2"/>
      <c r="T198" s="2"/>
    </row>
    <row r="199" spans="1:20">
      <c r="A199" s="3"/>
      <c r="B199" s="3"/>
      <c r="C199" s="2"/>
      <c r="D199" s="2"/>
      <c r="E199" s="64"/>
      <c r="F199" s="64"/>
      <c r="G199" s="64"/>
      <c r="H199" s="64"/>
      <c r="I199" s="2"/>
      <c r="J199" s="2"/>
      <c r="K199" s="2"/>
      <c r="L199" s="2"/>
      <c r="M199" s="2"/>
      <c r="N199" s="2"/>
      <c r="O199" s="2"/>
      <c r="P199" s="66"/>
      <c r="Q199" s="66"/>
      <c r="R199" s="2"/>
      <c r="S199" s="2"/>
      <c r="T199" s="2"/>
    </row>
    <row r="200" spans="1:20">
      <c r="A200" s="3"/>
      <c r="B200" s="3"/>
      <c r="C200" s="2"/>
      <c r="D200" s="2"/>
      <c r="E200" s="64"/>
      <c r="F200" s="64"/>
      <c r="G200" s="64"/>
      <c r="H200" s="64"/>
      <c r="I200" s="2"/>
      <c r="J200" s="2"/>
      <c r="K200" s="2"/>
      <c r="L200" s="2"/>
      <c r="M200" s="2"/>
      <c r="N200" s="2"/>
      <c r="O200" s="2"/>
      <c r="P200" s="66"/>
      <c r="Q200" s="66"/>
      <c r="R200" s="2"/>
      <c r="S200" s="2"/>
      <c r="T200" s="2"/>
    </row>
    <row r="201" spans="1:20">
      <c r="A201" s="3"/>
      <c r="B201" s="3"/>
      <c r="C201" s="2"/>
      <c r="D201" s="2"/>
      <c r="E201" s="64"/>
      <c r="F201" s="64"/>
      <c r="G201" s="64"/>
      <c r="H201" s="64"/>
      <c r="I201" s="2"/>
      <c r="J201" s="2"/>
      <c r="K201" s="2"/>
      <c r="L201" s="2"/>
      <c r="M201" s="2"/>
      <c r="N201" s="2"/>
      <c r="O201" s="2"/>
      <c r="P201" s="66"/>
      <c r="Q201" s="66"/>
      <c r="R201" s="2"/>
      <c r="S201" s="2"/>
      <c r="T201" s="2"/>
    </row>
    <row r="202" spans="1:20">
      <c r="A202" s="3"/>
      <c r="B202" s="3"/>
      <c r="C202" s="2"/>
      <c r="D202" s="2"/>
      <c r="E202" s="64"/>
      <c r="F202" s="64"/>
      <c r="G202" s="64"/>
      <c r="H202" s="64"/>
      <c r="I202" s="2"/>
      <c r="J202" s="2"/>
      <c r="K202" s="2"/>
      <c r="L202" s="2"/>
      <c r="M202" s="2"/>
      <c r="N202" s="2"/>
      <c r="O202" s="2"/>
      <c r="P202" s="66"/>
      <c r="Q202" s="66"/>
      <c r="R202" s="2"/>
      <c r="S202" s="2"/>
      <c r="T202" s="2"/>
    </row>
    <row r="203" spans="1:20">
      <c r="A203" s="3"/>
      <c r="B203" s="3"/>
      <c r="C203" s="2"/>
      <c r="D203" s="2"/>
      <c r="E203" s="64"/>
      <c r="F203" s="64"/>
      <c r="G203" s="64"/>
      <c r="H203" s="64"/>
      <c r="I203" s="2"/>
      <c r="J203" s="2"/>
      <c r="K203" s="2"/>
      <c r="L203" s="2"/>
      <c r="M203" s="2"/>
      <c r="N203" s="2"/>
      <c r="O203" s="2"/>
      <c r="P203" s="66"/>
      <c r="Q203" s="66"/>
      <c r="R203" s="2"/>
      <c r="S203" s="2"/>
      <c r="T203" s="2"/>
    </row>
    <row r="204" spans="1:20">
      <c r="A204" s="3"/>
      <c r="B204" s="3"/>
      <c r="C204" s="2"/>
      <c r="D204" s="2"/>
      <c r="E204" s="64"/>
      <c r="F204" s="64"/>
      <c r="G204" s="64"/>
      <c r="H204" s="64"/>
      <c r="I204" s="2"/>
      <c r="J204" s="2"/>
      <c r="K204" s="2"/>
      <c r="L204" s="2"/>
      <c r="M204" s="2"/>
      <c r="N204" s="2"/>
      <c r="O204" s="2"/>
      <c r="P204" s="66"/>
      <c r="Q204" s="66"/>
      <c r="R204" s="2"/>
      <c r="S204" s="2"/>
      <c r="T204" s="2"/>
    </row>
    <row r="205" spans="1:20">
      <c r="A205" s="3"/>
      <c r="B205" s="3"/>
      <c r="C205" s="2"/>
      <c r="D205" s="2"/>
      <c r="E205" s="64"/>
      <c r="F205" s="64"/>
      <c r="G205" s="64"/>
      <c r="H205" s="64"/>
      <c r="I205" s="2"/>
      <c r="J205" s="2"/>
      <c r="K205" s="2"/>
      <c r="L205" s="2"/>
      <c r="M205" s="2"/>
      <c r="N205" s="2"/>
      <c r="O205" s="2"/>
      <c r="P205" s="66"/>
      <c r="Q205" s="66"/>
      <c r="R205" s="2"/>
      <c r="S205" s="2"/>
      <c r="T205" s="2"/>
    </row>
    <row r="206" spans="1:20">
      <c r="A206" s="3"/>
      <c r="B206" s="3"/>
      <c r="C206" s="2"/>
      <c r="D206" s="2"/>
      <c r="E206" s="64"/>
      <c r="F206" s="64"/>
      <c r="G206" s="64"/>
      <c r="H206" s="64"/>
      <c r="I206" s="2"/>
      <c r="J206" s="2"/>
      <c r="K206" s="2"/>
      <c r="L206" s="2"/>
      <c r="M206" s="2"/>
      <c r="N206" s="2"/>
      <c r="O206" s="2"/>
      <c r="P206" s="66"/>
      <c r="Q206" s="66"/>
      <c r="R206" s="2"/>
      <c r="S206" s="2"/>
      <c r="T206" s="2"/>
    </row>
    <row r="207" spans="1:20">
      <c r="A207" s="3"/>
      <c r="B207" s="3"/>
      <c r="C207" s="2"/>
      <c r="D207" s="2"/>
      <c r="E207" s="64"/>
      <c r="F207" s="64"/>
      <c r="G207" s="64"/>
      <c r="H207" s="64"/>
      <c r="I207" s="2"/>
      <c r="J207" s="2"/>
      <c r="K207" s="2"/>
      <c r="L207" s="2"/>
      <c r="M207" s="2"/>
      <c r="N207" s="2"/>
      <c r="O207" s="2"/>
      <c r="P207" s="66"/>
      <c r="Q207" s="66"/>
      <c r="R207" s="2"/>
      <c r="S207" s="2"/>
      <c r="T207" s="2"/>
    </row>
    <row r="208" spans="1:20">
      <c r="A208" s="3"/>
      <c r="B208" s="3"/>
      <c r="C208" s="2"/>
      <c r="D208" s="2"/>
      <c r="E208" s="64"/>
      <c r="F208" s="64"/>
      <c r="G208" s="64"/>
      <c r="H208" s="64"/>
      <c r="I208" s="2"/>
      <c r="J208" s="2"/>
      <c r="K208" s="2"/>
      <c r="L208" s="2"/>
      <c r="M208" s="2"/>
      <c r="N208" s="2"/>
      <c r="O208" s="2"/>
      <c r="P208" s="66"/>
      <c r="Q208" s="66"/>
      <c r="R208" s="2"/>
      <c r="S208" s="2"/>
      <c r="T208" s="2"/>
    </row>
    <row r="209" spans="1:20">
      <c r="A209" s="3"/>
      <c r="B209" s="3"/>
      <c r="C209" s="2"/>
      <c r="D209" s="2"/>
      <c r="E209" s="64"/>
      <c r="F209" s="64"/>
      <c r="G209" s="64"/>
      <c r="H209" s="64"/>
      <c r="I209" s="2"/>
      <c r="J209" s="2"/>
      <c r="K209" s="2"/>
      <c r="L209" s="2"/>
      <c r="M209" s="2"/>
      <c r="N209" s="2"/>
      <c r="O209" s="2"/>
      <c r="P209" s="66"/>
      <c r="Q209" s="66"/>
      <c r="R209" s="2"/>
      <c r="S209" s="2"/>
      <c r="T209" s="2"/>
    </row>
    <row r="210" spans="1:20">
      <c r="A210" s="3"/>
      <c r="B210" s="3"/>
      <c r="C210" s="2"/>
      <c r="D210" s="2"/>
      <c r="E210" s="64"/>
      <c r="F210" s="64"/>
      <c r="G210" s="64"/>
      <c r="H210" s="64"/>
      <c r="I210" s="2"/>
      <c r="J210" s="2"/>
      <c r="K210" s="2"/>
      <c r="L210" s="2"/>
      <c r="M210" s="2"/>
      <c r="N210" s="2"/>
      <c r="O210" s="2"/>
      <c r="P210" s="66"/>
      <c r="Q210" s="66"/>
      <c r="R210" s="2"/>
      <c r="S210" s="2"/>
      <c r="T210" s="2"/>
    </row>
    <row r="211" spans="1:20">
      <c r="A211" s="3"/>
      <c r="B211" s="3"/>
      <c r="C211" s="2"/>
      <c r="D211" s="2"/>
      <c r="E211" s="64"/>
      <c r="F211" s="64"/>
      <c r="G211" s="64"/>
      <c r="H211" s="64"/>
      <c r="I211" s="2"/>
      <c r="J211" s="2"/>
      <c r="K211" s="2"/>
      <c r="L211" s="2"/>
      <c r="M211" s="2"/>
      <c r="N211" s="2"/>
      <c r="O211" s="2"/>
      <c r="P211" s="66"/>
      <c r="Q211" s="66"/>
      <c r="R211" s="2"/>
      <c r="S211" s="2"/>
      <c r="T211" s="2"/>
    </row>
    <row r="212" spans="1:20">
      <c r="A212" s="3"/>
      <c r="B212" s="3"/>
      <c r="C212" s="2"/>
      <c r="D212" s="2"/>
      <c r="E212" s="64"/>
      <c r="F212" s="64"/>
      <c r="G212" s="64"/>
      <c r="H212" s="64"/>
      <c r="I212" s="2"/>
      <c r="J212" s="2"/>
      <c r="K212" s="2"/>
      <c r="L212" s="2"/>
      <c r="M212" s="2"/>
      <c r="N212" s="2"/>
      <c r="O212" s="2"/>
      <c r="P212" s="66"/>
      <c r="Q212" s="66"/>
      <c r="R212" s="2"/>
      <c r="S212" s="2"/>
      <c r="T212" s="2"/>
    </row>
    <row r="213" spans="1:20">
      <c r="A213" s="3"/>
      <c r="B213" s="3"/>
      <c r="C213" s="2"/>
      <c r="D213" s="2"/>
      <c r="E213" s="64"/>
      <c r="F213" s="64"/>
      <c r="G213" s="64"/>
      <c r="H213" s="64"/>
      <c r="I213" s="2"/>
      <c r="J213" s="2"/>
      <c r="K213" s="2"/>
      <c r="L213" s="2"/>
      <c r="M213" s="2"/>
      <c r="N213" s="2"/>
      <c r="O213" s="2"/>
      <c r="P213" s="66"/>
      <c r="Q213" s="66"/>
      <c r="R213" s="2"/>
      <c r="S213" s="2"/>
      <c r="T213" s="2"/>
    </row>
    <row r="214" spans="1:20">
      <c r="A214" s="3"/>
      <c r="B214" s="3"/>
      <c r="C214" s="2"/>
      <c r="D214" s="2"/>
      <c r="E214" s="64"/>
      <c r="F214" s="64"/>
      <c r="G214" s="64"/>
      <c r="H214" s="64"/>
      <c r="I214" s="2"/>
      <c r="J214" s="2"/>
      <c r="K214" s="2"/>
      <c r="L214" s="2"/>
      <c r="M214" s="2"/>
      <c r="N214" s="2"/>
      <c r="O214" s="2"/>
      <c r="P214" s="66"/>
      <c r="Q214" s="66"/>
      <c r="R214" s="2"/>
      <c r="S214" s="2"/>
      <c r="T214" s="2"/>
    </row>
    <row r="215" spans="1:20">
      <c r="A215" s="3"/>
      <c r="B215" s="3"/>
      <c r="C215" s="2"/>
      <c r="D215" s="2"/>
      <c r="E215" s="64"/>
      <c r="F215" s="64"/>
      <c r="G215" s="64"/>
      <c r="H215" s="64"/>
      <c r="I215" s="2"/>
      <c r="J215" s="2"/>
      <c r="K215" s="2"/>
      <c r="L215" s="2"/>
      <c r="M215" s="2"/>
      <c r="N215" s="2"/>
      <c r="O215" s="2"/>
      <c r="P215" s="66"/>
      <c r="Q215" s="66"/>
      <c r="R215" s="2"/>
      <c r="S215" s="2"/>
      <c r="T215" s="2"/>
    </row>
    <row r="216" spans="1:20">
      <c r="A216" s="3"/>
      <c r="B216" s="3"/>
      <c r="C216" s="2"/>
      <c r="D216" s="2"/>
      <c r="E216" s="64"/>
      <c r="F216" s="64"/>
      <c r="G216" s="64"/>
      <c r="H216" s="64"/>
      <c r="I216" s="2"/>
      <c r="J216" s="2"/>
      <c r="K216" s="2"/>
      <c r="L216" s="2"/>
      <c r="M216" s="2"/>
      <c r="N216" s="2"/>
      <c r="O216" s="2"/>
      <c r="P216" s="66"/>
      <c r="Q216" s="66"/>
      <c r="R216" s="2"/>
      <c r="S216" s="2"/>
      <c r="T216" s="2"/>
    </row>
    <row r="217" spans="1:20">
      <c r="A217" s="3"/>
      <c r="B217" s="3"/>
      <c r="C217" s="2"/>
      <c r="D217" s="2"/>
      <c r="E217" s="64"/>
      <c r="F217" s="64"/>
      <c r="G217" s="64"/>
      <c r="H217" s="64"/>
      <c r="I217" s="2"/>
      <c r="J217" s="2"/>
      <c r="K217" s="2"/>
      <c r="L217" s="2"/>
      <c r="M217" s="2"/>
      <c r="N217" s="2"/>
      <c r="O217" s="2"/>
      <c r="P217" s="66"/>
      <c r="Q217" s="66"/>
      <c r="R217" s="2"/>
      <c r="S217" s="2"/>
      <c r="T217" s="2"/>
    </row>
    <row r="218" spans="1:20">
      <c r="A218" s="3"/>
      <c r="B218" s="3"/>
      <c r="C218" s="2"/>
      <c r="D218" s="2"/>
      <c r="E218" s="64"/>
      <c r="F218" s="64"/>
      <c r="G218" s="64"/>
      <c r="H218" s="64"/>
      <c r="I218" s="2"/>
      <c r="J218" s="2"/>
      <c r="K218" s="2"/>
      <c r="L218" s="2"/>
      <c r="M218" s="2"/>
      <c r="N218" s="2"/>
      <c r="O218" s="2"/>
      <c r="P218" s="66"/>
      <c r="Q218" s="66"/>
      <c r="R218" s="2"/>
      <c r="S218" s="2"/>
      <c r="T218" s="2"/>
    </row>
    <row r="219" spans="1:20">
      <c r="A219" s="3"/>
      <c r="B219" s="3"/>
      <c r="C219" s="2"/>
      <c r="D219" s="2"/>
      <c r="E219" s="64"/>
      <c r="F219" s="64"/>
      <c r="G219" s="64"/>
      <c r="H219" s="64"/>
      <c r="I219" s="2"/>
      <c r="J219" s="2"/>
      <c r="K219" s="2"/>
      <c r="L219" s="2"/>
      <c r="M219" s="2"/>
      <c r="N219" s="2"/>
      <c r="O219" s="2"/>
      <c r="P219" s="66"/>
      <c r="Q219" s="66"/>
      <c r="R219" s="2"/>
      <c r="S219" s="2"/>
      <c r="T219" s="2"/>
    </row>
    <row r="220" spans="1:20">
      <c r="A220" s="3"/>
      <c r="B220" s="3"/>
      <c r="C220" s="2"/>
      <c r="D220" s="2"/>
      <c r="E220" s="64"/>
      <c r="F220" s="64"/>
      <c r="G220" s="64"/>
      <c r="H220" s="64"/>
      <c r="I220" s="2"/>
      <c r="J220" s="2"/>
      <c r="K220" s="2"/>
      <c r="L220" s="2"/>
      <c r="M220" s="2"/>
      <c r="N220" s="2"/>
      <c r="O220" s="2"/>
      <c r="P220" s="66"/>
      <c r="Q220" s="66"/>
      <c r="R220" s="2"/>
      <c r="S220" s="2"/>
      <c r="T220" s="2"/>
    </row>
    <row r="221" spans="1:20">
      <c r="A221" s="3"/>
      <c r="B221" s="3"/>
      <c r="C221" s="2"/>
      <c r="D221" s="2"/>
      <c r="E221" s="64"/>
      <c r="F221" s="64"/>
      <c r="G221" s="64"/>
      <c r="H221" s="64"/>
      <c r="I221" s="2"/>
      <c r="J221" s="2"/>
      <c r="K221" s="2"/>
      <c r="L221" s="2"/>
      <c r="M221" s="2"/>
      <c r="N221" s="2"/>
      <c r="O221" s="2"/>
      <c r="P221" s="66"/>
      <c r="Q221" s="66"/>
      <c r="R221" s="2"/>
      <c r="S221" s="2"/>
      <c r="T221" s="2"/>
    </row>
    <row r="222" spans="1:20">
      <c r="A222" s="3"/>
      <c r="B222" s="3"/>
      <c r="C222" s="2"/>
      <c r="D222" s="2"/>
      <c r="E222" s="64"/>
      <c r="F222" s="64"/>
      <c r="G222" s="64"/>
      <c r="H222" s="64"/>
      <c r="I222" s="2"/>
      <c r="J222" s="2"/>
      <c r="K222" s="2"/>
      <c r="L222" s="2"/>
      <c r="M222" s="2"/>
      <c r="N222" s="2"/>
      <c r="O222" s="2"/>
      <c r="P222" s="66"/>
      <c r="Q222" s="66"/>
      <c r="R222" s="2"/>
      <c r="S222" s="2"/>
      <c r="T222" s="2"/>
    </row>
    <row r="223" spans="1:20">
      <c r="A223" s="3"/>
      <c r="B223" s="3"/>
      <c r="C223" s="2"/>
      <c r="D223" s="2"/>
      <c r="E223" s="64"/>
      <c r="F223" s="64"/>
      <c r="G223" s="64"/>
      <c r="H223" s="64"/>
      <c r="I223" s="2"/>
      <c r="J223" s="2"/>
      <c r="K223" s="2"/>
      <c r="L223" s="2"/>
      <c r="M223" s="2"/>
      <c r="N223" s="2"/>
      <c r="O223" s="2"/>
      <c r="P223" s="66"/>
      <c r="Q223" s="66"/>
      <c r="R223" s="2"/>
      <c r="S223" s="2"/>
      <c r="T223" s="2"/>
    </row>
    <row r="224" spans="1:20">
      <c r="A224" s="3"/>
      <c r="B224" s="3"/>
      <c r="C224" s="2"/>
      <c r="D224" s="2"/>
      <c r="E224" s="64"/>
      <c r="F224" s="64"/>
      <c r="G224" s="64"/>
      <c r="H224" s="64"/>
      <c r="I224" s="2"/>
      <c r="J224" s="2"/>
      <c r="K224" s="2"/>
      <c r="L224" s="2"/>
      <c r="M224" s="2"/>
      <c r="N224" s="2"/>
      <c r="O224" s="2"/>
      <c r="P224" s="66"/>
      <c r="Q224" s="66"/>
      <c r="R224" s="2"/>
      <c r="S224" s="2"/>
      <c r="T224" s="2"/>
    </row>
    <row r="225" spans="1:20">
      <c r="A225" s="3"/>
      <c r="B225" s="3"/>
      <c r="C225" s="2"/>
      <c r="D225" s="2"/>
      <c r="E225" s="64"/>
      <c r="F225" s="64"/>
      <c r="G225" s="64"/>
      <c r="H225" s="64"/>
      <c r="I225" s="2"/>
      <c r="J225" s="2"/>
      <c r="K225" s="2"/>
      <c r="L225" s="2"/>
      <c r="M225" s="2"/>
      <c r="N225" s="2"/>
      <c r="O225" s="2"/>
      <c r="P225" s="66"/>
      <c r="Q225" s="66"/>
      <c r="R225" s="2"/>
      <c r="S225" s="2"/>
      <c r="T225" s="2"/>
    </row>
    <row r="226" spans="1:20">
      <c r="A226" s="3"/>
      <c r="B226" s="3"/>
      <c r="C226" s="2"/>
      <c r="D226" s="2"/>
      <c r="E226" s="64"/>
      <c r="F226" s="64"/>
      <c r="G226" s="64"/>
      <c r="H226" s="64"/>
      <c r="I226" s="2"/>
      <c r="J226" s="2"/>
      <c r="K226" s="2"/>
      <c r="L226" s="2"/>
      <c r="M226" s="2"/>
      <c r="N226" s="2"/>
      <c r="O226" s="2"/>
      <c r="P226" s="66"/>
      <c r="Q226" s="66"/>
      <c r="R226" s="2"/>
      <c r="S226" s="2"/>
      <c r="T226" s="2"/>
    </row>
    <row r="227" spans="1:20">
      <c r="A227" s="3"/>
      <c r="B227" s="3"/>
      <c r="C227" s="2"/>
      <c r="D227" s="2"/>
      <c r="E227" s="64"/>
      <c r="F227" s="64"/>
      <c r="G227" s="64"/>
      <c r="H227" s="64"/>
      <c r="I227" s="2"/>
      <c r="J227" s="2"/>
      <c r="K227" s="2"/>
      <c r="L227" s="2"/>
      <c r="M227" s="2"/>
      <c r="N227" s="2"/>
      <c r="O227" s="2"/>
      <c r="P227" s="66"/>
      <c r="Q227" s="66"/>
      <c r="R227" s="2"/>
      <c r="S227" s="2"/>
      <c r="T227" s="2"/>
    </row>
    <row r="228" spans="1:20">
      <c r="A228" s="3"/>
      <c r="B228" s="3"/>
      <c r="C228" s="2"/>
      <c r="D228" s="2"/>
      <c r="E228" s="64"/>
      <c r="F228" s="64"/>
      <c r="G228" s="64"/>
      <c r="H228" s="64"/>
      <c r="I228" s="2"/>
      <c r="J228" s="2"/>
      <c r="K228" s="2"/>
      <c r="L228" s="2"/>
      <c r="M228" s="2"/>
      <c r="N228" s="2"/>
      <c r="O228" s="2"/>
      <c r="P228" s="66"/>
      <c r="Q228" s="66"/>
      <c r="R228" s="2"/>
      <c r="S228" s="2"/>
      <c r="T228" s="2"/>
    </row>
    <row r="229" spans="1:20">
      <c r="A229" s="3"/>
      <c r="B229" s="3"/>
      <c r="C229" s="2"/>
      <c r="D229" s="2"/>
      <c r="E229" s="64"/>
      <c r="F229" s="64"/>
      <c r="G229" s="64"/>
      <c r="H229" s="64"/>
      <c r="I229" s="2"/>
      <c r="J229" s="2"/>
      <c r="K229" s="2"/>
      <c r="L229" s="2"/>
      <c r="M229" s="2"/>
      <c r="N229" s="2"/>
      <c r="O229" s="2"/>
      <c r="P229" s="66"/>
      <c r="Q229" s="66"/>
      <c r="R229" s="2"/>
      <c r="S229" s="2"/>
      <c r="T229" s="2"/>
    </row>
    <row r="230" spans="1:20">
      <c r="A230" s="3"/>
      <c r="B230" s="3"/>
      <c r="C230" s="2"/>
      <c r="D230" s="2"/>
      <c r="E230" s="64"/>
      <c r="F230" s="64"/>
      <c r="G230" s="64"/>
      <c r="H230" s="64"/>
      <c r="I230" s="2"/>
      <c r="J230" s="2"/>
      <c r="K230" s="2"/>
      <c r="L230" s="2"/>
      <c r="M230" s="2"/>
      <c r="N230" s="2"/>
      <c r="O230" s="2"/>
      <c r="P230" s="66"/>
      <c r="Q230" s="66"/>
      <c r="R230" s="2"/>
      <c r="S230" s="2"/>
      <c r="T230" s="2"/>
    </row>
    <row r="231" spans="1:20">
      <c r="A231" s="3"/>
      <c r="B231" s="3"/>
      <c r="C231" s="2"/>
      <c r="D231" s="2"/>
      <c r="E231" s="64"/>
      <c r="F231" s="64"/>
      <c r="G231" s="64"/>
      <c r="H231" s="64"/>
      <c r="I231" s="2"/>
      <c r="J231" s="2"/>
      <c r="K231" s="2"/>
      <c r="L231" s="2"/>
      <c r="M231" s="2"/>
      <c r="N231" s="2"/>
      <c r="O231" s="2"/>
      <c r="P231" s="66"/>
      <c r="Q231" s="66"/>
      <c r="R231" s="2"/>
      <c r="S231" s="2"/>
      <c r="T231" s="2"/>
    </row>
    <row r="232" spans="1:20">
      <c r="A232" s="3"/>
      <c r="B232" s="3"/>
      <c r="C232" s="2"/>
      <c r="D232" s="2"/>
      <c r="E232" s="64"/>
      <c r="F232" s="64"/>
      <c r="G232" s="64"/>
      <c r="H232" s="64"/>
      <c r="I232" s="2"/>
      <c r="J232" s="2"/>
      <c r="K232" s="2"/>
      <c r="L232" s="2"/>
      <c r="M232" s="2"/>
      <c r="N232" s="2"/>
      <c r="O232" s="2"/>
      <c r="P232" s="66"/>
      <c r="Q232" s="66"/>
      <c r="R232" s="2"/>
      <c r="S232" s="2"/>
      <c r="T232" s="2"/>
    </row>
    <row r="233" spans="1:20">
      <c r="A233" s="3"/>
      <c r="B233" s="3"/>
      <c r="C233" s="2"/>
      <c r="D233" s="2"/>
      <c r="E233" s="64"/>
      <c r="F233" s="64"/>
      <c r="G233" s="64"/>
      <c r="H233" s="64"/>
      <c r="I233" s="2"/>
      <c r="J233" s="2"/>
      <c r="K233" s="2"/>
      <c r="L233" s="2"/>
      <c r="M233" s="2"/>
      <c r="N233" s="2"/>
      <c r="O233" s="2"/>
      <c r="P233" s="66"/>
      <c r="Q233" s="66"/>
      <c r="R233" s="2"/>
      <c r="S233" s="2"/>
      <c r="T233" s="2"/>
    </row>
    <row r="234" spans="1:20">
      <c r="A234" s="3"/>
      <c r="B234" s="3"/>
      <c r="C234" s="2"/>
      <c r="D234" s="2"/>
      <c r="E234" s="64"/>
      <c r="F234" s="64"/>
      <c r="G234" s="64"/>
      <c r="H234" s="64"/>
      <c r="I234" s="2"/>
      <c r="J234" s="2"/>
      <c r="K234" s="2"/>
      <c r="L234" s="2"/>
      <c r="M234" s="2"/>
      <c r="N234" s="2"/>
      <c r="O234" s="2"/>
      <c r="P234" s="66"/>
      <c r="Q234" s="66"/>
      <c r="R234" s="2"/>
      <c r="S234" s="2"/>
      <c r="T234" s="2"/>
    </row>
    <row r="235" spans="1:20">
      <c r="A235" s="3"/>
      <c r="B235" s="3"/>
      <c r="C235" s="2"/>
      <c r="D235" s="2"/>
      <c r="E235" s="64"/>
      <c r="F235" s="64"/>
      <c r="G235" s="64"/>
      <c r="H235" s="64"/>
      <c r="I235" s="2"/>
      <c r="J235" s="2"/>
      <c r="K235" s="2"/>
      <c r="L235" s="2"/>
      <c r="M235" s="2"/>
      <c r="N235" s="2"/>
      <c r="O235" s="2"/>
      <c r="P235" s="66"/>
      <c r="Q235" s="66"/>
      <c r="R235" s="2"/>
      <c r="S235" s="2"/>
      <c r="T235" s="2"/>
    </row>
    <row r="236" spans="1:20">
      <c r="A236" s="3"/>
      <c r="B236" s="3"/>
      <c r="C236" s="2"/>
      <c r="D236" s="2"/>
      <c r="E236" s="64"/>
      <c r="F236" s="64"/>
      <c r="G236" s="64"/>
      <c r="H236" s="64"/>
      <c r="I236" s="2"/>
      <c r="J236" s="2"/>
      <c r="K236" s="2"/>
      <c r="L236" s="2"/>
      <c r="M236" s="2"/>
      <c r="N236" s="2"/>
      <c r="O236" s="2"/>
      <c r="P236" s="66"/>
      <c r="Q236" s="66"/>
      <c r="R236" s="2"/>
      <c r="S236" s="2"/>
      <c r="T236" s="2"/>
    </row>
    <row r="237" spans="1:20">
      <c r="A237" s="3"/>
      <c r="B237" s="3"/>
      <c r="C237" s="2"/>
      <c r="D237" s="2"/>
      <c r="E237" s="64"/>
      <c r="F237" s="64"/>
      <c r="G237" s="64"/>
      <c r="H237" s="64"/>
      <c r="I237" s="2"/>
      <c r="J237" s="2"/>
      <c r="K237" s="2"/>
      <c r="L237" s="2"/>
      <c r="M237" s="2"/>
      <c r="N237" s="2"/>
      <c r="O237" s="2"/>
      <c r="P237" s="66"/>
      <c r="Q237" s="66"/>
      <c r="R237" s="2"/>
      <c r="S237" s="2"/>
      <c r="T237" s="2"/>
    </row>
    <row r="238" spans="1:20">
      <c r="A238" s="3"/>
      <c r="B238" s="3"/>
      <c r="C238" s="2"/>
      <c r="D238" s="2"/>
      <c r="E238" s="64"/>
      <c r="F238" s="64"/>
      <c r="G238" s="64"/>
      <c r="H238" s="64"/>
      <c r="I238" s="2"/>
      <c r="J238" s="2"/>
      <c r="K238" s="2"/>
      <c r="L238" s="2"/>
      <c r="M238" s="2"/>
      <c r="N238" s="2"/>
      <c r="O238" s="2"/>
      <c r="P238" s="66"/>
      <c r="Q238" s="66"/>
      <c r="R238" s="2"/>
      <c r="S238" s="2"/>
      <c r="T238" s="2"/>
    </row>
    <row r="239" spans="1:20">
      <c r="A239" s="3"/>
      <c r="B239" s="3"/>
      <c r="C239" s="2"/>
      <c r="D239" s="2"/>
      <c r="E239" s="64"/>
      <c r="F239" s="64"/>
      <c r="G239" s="64"/>
      <c r="H239" s="64"/>
      <c r="I239" s="2"/>
      <c r="J239" s="2"/>
      <c r="K239" s="2"/>
      <c r="L239" s="2"/>
      <c r="M239" s="2"/>
      <c r="N239" s="2"/>
      <c r="O239" s="2"/>
      <c r="P239" s="66"/>
      <c r="Q239" s="66"/>
      <c r="R239" s="2"/>
      <c r="S239" s="2"/>
      <c r="T239" s="2"/>
    </row>
    <row r="240" spans="1:20">
      <c r="A240" s="3"/>
      <c r="B240" s="3"/>
      <c r="C240" s="2"/>
      <c r="D240" s="2"/>
      <c r="E240" s="64"/>
      <c r="F240" s="64"/>
      <c r="G240" s="64"/>
      <c r="H240" s="64"/>
      <c r="I240" s="2"/>
      <c r="J240" s="2"/>
      <c r="K240" s="2"/>
      <c r="L240" s="2"/>
      <c r="M240" s="2"/>
      <c r="N240" s="2"/>
      <c r="O240" s="2"/>
      <c r="P240" s="66"/>
      <c r="Q240" s="66"/>
      <c r="R240" s="2"/>
      <c r="S240" s="2"/>
      <c r="T240" s="2"/>
    </row>
    <row r="241" spans="1:20">
      <c r="A241" s="3"/>
      <c r="B241" s="3"/>
      <c r="C241" s="2"/>
      <c r="D241" s="2"/>
      <c r="E241" s="64"/>
      <c r="F241" s="64"/>
      <c r="G241" s="64"/>
      <c r="H241" s="64"/>
      <c r="I241" s="2"/>
      <c r="J241" s="2"/>
      <c r="K241" s="2"/>
      <c r="L241" s="2"/>
      <c r="M241" s="2"/>
      <c r="N241" s="2"/>
      <c r="O241" s="2"/>
      <c r="P241" s="66"/>
      <c r="Q241" s="66"/>
      <c r="R241" s="2"/>
      <c r="S241" s="2"/>
      <c r="T241" s="2"/>
    </row>
    <row r="242" spans="1:20">
      <c r="A242" s="3"/>
      <c r="B242" s="3"/>
      <c r="C242" s="2"/>
      <c r="D242" s="2"/>
      <c r="E242" s="64"/>
      <c r="F242" s="64"/>
      <c r="G242" s="64"/>
      <c r="H242" s="64"/>
      <c r="I242" s="2"/>
      <c r="J242" s="2"/>
      <c r="K242" s="2"/>
      <c r="L242" s="2"/>
      <c r="M242" s="2"/>
      <c r="N242" s="2"/>
      <c r="O242" s="2"/>
      <c r="P242" s="66"/>
      <c r="Q242" s="66"/>
      <c r="R242" s="2"/>
      <c r="S242" s="2"/>
      <c r="T242" s="2"/>
    </row>
    <row r="243" spans="1:20">
      <c r="A243" s="3"/>
      <c r="B243" s="3"/>
      <c r="C243" s="2"/>
      <c r="D243" s="2"/>
      <c r="E243" s="64"/>
      <c r="F243" s="64"/>
      <c r="G243" s="64"/>
      <c r="H243" s="64"/>
      <c r="I243" s="2"/>
      <c r="J243" s="2"/>
      <c r="K243" s="2"/>
      <c r="L243" s="2"/>
      <c r="M243" s="2"/>
      <c r="N243" s="2"/>
      <c r="O243" s="2"/>
      <c r="P243" s="66"/>
      <c r="Q243" s="66"/>
      <c r="R243" s="2"/>
      <c r="S243" s="2"/>
      <c r="T243" s="2"/>
    </row>
    <row r="244" spans="1:20">
      <c r="A244" s="3"/>
      <c r="B244" s="3"/>
      <c r="C244" s="2"/>
      <c r="D244" s="2"/>
      <c r="E244" s="64"/>
      <c r="F244" s="64"/>
      <c r="G244" s="64"/>
      <c r="H244" s="64"/>
      <c r="I244" s="2"/>
      <c r="J244" s="2"/>
      <c r="K244" s="2"/>
      <c r="L244" s="2"/>
      <c r="M244" s="2"/>
      <c r="N244" s="2"/>
      <c r="O244" s="2"/>
      <c r="P244" s="66"/>
      <c r="Q244" s="66"/>
      <c r="R244" s="2"/>
      <c r="S244" s="2"/>
      <c r="T244" s="2"/>
    </row>
    <row r="245" spans="1:20">
      <c r="A245" s="3"/>
      <c r="B245" s="3"/>
      <c r="C245" s="2"/>
      <c r="D245" s="2"/>
      <c r="E245" s="64"/>
      <c r="F245" s="64"/>
      <c r="G245" s="64"/>
      <c r="H245" s="64"/>
      <c r="I245" s="2"/>
      <c r="J245" s="2"/>
      <c r="K245" s="2"/>
      <c r="L245" s="2"/>
      <c r="M245" s="2"/>
      <c r="N245" s="2"/>
      <c r="O245" s="2"/>
      <c r="P245" s="66"/>
      <c r="Q245" s="66"/>
      <c r="R245" s="2"/>
      <c r="S245" s="2"/>
      <c r="T245" s="2"/>
    </row>
    <row r="246" spans="1:20">
      <c r="A246" s="3"/>
      <c r="B246" s="3"/>
      <c r="C246" s="2"/>
      <c r="D246" s="2"/>
      <c r="E246" s="64"/>
      <c r="F246" s="64"/>
      <c r="G246" s="64"/>
      <c r="H246" s="64"/>
      <c r="I246" s="2"/>
      <c r="J246" s="2"/>
      <c r="K246" s="2"/>
      <c r="L246" s="2"/>
      <c r="M246" s="2"/>
      <c r="N246" s="2"/>
      <c r="O246" s="2"/>
      <c r="P246" s="66"/>
      <c r="Q246" s="66"/>
      <c r="R246" s="2"/>
      <c r="S246" s="2"/>
      <c r="T246" s="2"/>
    </row>
    <row r="247" spans="1:20">
      <c r="A247" s="3"/>
      <c r="B247" s="3"/>
      <c r="C247" s="2"/>
      <c r="D247" s="2"/>
      <c r="E247" s="64"/>
      <c r="F247" s="64"/>
      <c r="G247" s="64"/>
      <c r="H247" s="64"/>
      <c r="I247" s="2"/>
      <c r="J247" s="2"/>
      <c r="K247" s="2"/>
      <c r="L247" s="2"/>
      <c r="M247" s="2"/>
      <c r="N247" s="2"/>
      <c r="O247" s="2"/>
      <c r="P247" s="66"/>
      <c r="Q247" s="66"/>
      <c r="R247" s="2"/>
      <c r="S247" s="2"/>
      <c r="T247" s="2"/>
    </row>
    <row r="248" spans="1:20">
      <c r="A248" s="3"/>
      <c r="B248" s="3"/>
      <c r="C248" s="2"/>
      <c r="D248" s="2"/>
      <c r="E248" s="64"/>
      <c r="F248" s="64"/>
      <c r="G248" s="64"/>
      <c r="H248" s="64"/>
      <c r="I248" s="2"/>
      <c r="J248" s="2"/>
      <c r="K248" s="2"/>
      <c r="L248" s="2"/>
      <c r="M248" s="2"/>
      <c r="N248" s="2"/>
      <c r="O248" s="2"/>
      <c r="P248" s="66"/>
      <c r="Q248" s="66"/>
      <c r="R248" s="2"/>
      <c r="S248" s="2"/>
      <c r="T248" s="2"/>
    </row>
    <row r="249" spans="1:20">
      <c r="A249" s="3"/>
      <c r="B249" s="3"/>
      <c r="C249" s="2"/>
      <c r="D249" s="2"/>
      <c r="E249" s="64"/>
      <c r="F249" s="64"/>
      <c r="G249" s="64"/>
      <c r="H249" s="64"/>
      <c r="I249" s="2"/>
      <c r="J249" s="2"/>
      <c r="K249" s="2"/>
      <c r="L249" s="2"/>
      <c r="M249" s="2"/>
      <c r="N249" s="2"/>
      <c r="O249" s="2"/>
      <c r="P249" s="66"/>
      <c r="Q249" s="66"/>
      <c r="R249" s="2"/>
      <c r="S249" s="2"/>
      <c r="T249" s="2"/>
    </row>
    <row r="250" spans="1:20">
      <c r="A250" s="3"/>
      <c r="B250" s="3"/>
      <c r="C250" s="2"/>
      <c r="D250" s="2"/>
      <c r="E250" s="64"/>
      <c r="F250" s="64"/>
      <c r="G250" s="64"/>
      <c r="H250" s="64"/>
      <c r="I250" s="2"/>
      <c r="J250" s="2"/>
      <c r="K250" s="2"/>
      <c r="L250" s="2"/>
      <c r="M250" s="2"/>
      <c r="N250" s="2"/>
      <c r="O250" s="2"/>
      <c r="P250" s="66"/>
      <c r="Q250" s="66"/>
      <c r="R250" s="2"/>
      <c r="S250" s="2"/>
      <c r="T250" s="2"/>
    </row>
    <row r="251" spans="1:20">
      <c r="A251" s="3"/>
      <c r="B251" s="3"/>
      <c r="C251" s="2"/>
      <c r="D251" s="2"/>
      <c r="E251" s="64"/>
      <c r="F251" s="64"/>
      <c r="G251" s="64"/>
      <c r="H251" s="64"/>
      <c r="I251" s="2"/>
      <c r="J251" s="2"/>
      <c r="K251" s="2"/>
      <c r="L251" s="2"/>
      <c r="M251" s="2"/>
      <c r="N251" s="2"/>
      <c r="O251" s="2"/>
      <c r="P251" s="66"/>
      <c r="Q251" s="66"/>
      <c r="R251" s="2"/>
      <c r="S251" s="2"/>
      <c r="T251" s="2"/>
    </row>
    <row r="252" spans="1:20">
      <c r="A252" s="3"/>
      <c r="B252" s="3"/>
      <c r="C252" s="2"/>
      <c r="D252" s="2"/>
      <c r="E252" s="64"/>
      <c r="F252" s="64"/>
      <c r="G252" s="64"/>
      <c r="H252" s="64"/>
      <c r="I252" s="2"/>
      <c r="J252" s="2"/>
      <c r="K252" s="2"/>
      <c r="L252" s="2"/>
      <c r="M252" s="2"/>
      <c r="N252" s="2"/>
      <c r="O252" s="2"/>
      <c r="P252" s="66"/>
      <c r="Q252" s="66"/>
      <c r="R252" s="2"/>
      <c r="S252" s="2"/>
      <c r="T252" s="2"/>
    </row>
    <row r="253" spans="1:20">
      <c r="A253" s="3"/>
      <c r="B253" s="3"/>
      <c r="C253" s="2"/>
      <c r="D253" s="2"/>
      <c r="E253" s="64"/>
      <c r="F253" s="64"/>
      <c r="G253" s="64"/>
      <c r="H253" s="64"/>
      <c r="I253" s="2"/>
      <c r="J253" s="2"/>
      <c r="K253" s="2"/>
      <c r="L253" s="2"/>
      <c r="M253" s="2"/>
      <c r="N253" s="2"/>
      <c r="O253" s="2"/>
      <c r="P253" s="66"/>
      <c r="Q253" s="66"/>
      <c r="R253" s="2"/>
      <c r="S253" s="2"/>
      <c r="T253" s="2"/>
    </row>
    <row r="254" spans="1:20">
      <c r="A254" s="3"/>
      <c r="B254" s="3"/>
      <c r="C254" s="2"/>
      <c r="D254" s="2"/>
      <c r="E254" s="64"/>
      <c r="F254" s="64"/>
      <c r="G254" s="64"/>
      <c r="H254" s="64"/>
      <c r="I254" s="2"/>
      <c r="J254" s="2"/>
      <c r="K254" s="2"/>
      <c r="L254" s="2"/>
      <c r="M254" s="2"/>
      <c r="N254" s="2"/>
      <c r="O254" s="2"/>
      <c r="P254" s="66"/>
      <c r="Q254" s="66"/>
      <c r="R254" s="2"/>
      <c r="S254" s="2"/>
      <c r="T254" s="2"/>
    </row>
    <row r="255" spans="1:20">
      <c r="A255" s="3"/>
      <c r="B255" s="3"/>
      <c r="C255" s="2"/>
      <c r="D255" s="2"/>
      <c r="E255" s="64"/>
      <c r="F255" s="64"/>
      <c r="G255" s="64"/>
      <c r="H255" s="64"/>
      <c r="I255" s="2"/>
      <c r="J255" s="2"/>
      <c r="K255" s="2"/>
      <c r="L255" s="2"/>
      <c r="M255" s="2"/>
      <c r="N255" s="2"/>
      <c r="O255" s="2"/>
      <c r="P255" s="66"/>
      <c r="Q255" s="66"/>
      <c r="R255" s="2"/>
      <c r="S255" s="2"/>
      <c r="T255" s="2"/>
    </row>
    <row r="256" spans="1:20">
      <c r="A256" s="3"/>
      <c r="B256" s="3"/>
      <c r="C256" s="2"/>
      <c r="D256" s="2"/>
      <c r="E256" s="64"/>
      <c r="F256" s="64"/>
      <c r="G256" s="64"/>
      <c r="H256" s="64"/>
      <c r="I256" s="2"/>
      <c r="J256" s="2"/>
      <c r="K256" s="2"/>
      <c r="L256" s="2"/>
      <c r="M256" s="2"/>
      <c r="N256" s="2"/>
      <c r="O256" s="2"/>
      <c r="P256" s="66"/>
      <c r="Q256" s="66"/>
      <c r="R256" s="2"/>
      <c r="S256" s="2"/>
      <c r="T256" s="2"/>
    </row>
    <row r="257" spans="1:20">
      <c r="A257" s="3"/>
      <c r="B257" s="3"/>
      <c r="C257" s="2"/>
      <c r="D257" s="2"/>
      <c r="E257" s="64"/>
      <c r="F257" s="64"/>
      <c r="G257" s="64"/>
      <c r="H257" s="64"/>
      <c r="I257" s="2"/>
      <c r="J257" s="2"/>
      <c r="K257" s="2"/>
      <c r="L257" s="2"/>
      <c r="M257" s="2"/>
      <c r="N257" s="2"/>
      <c r="O257" s="2"/>
      <c r="P257" s="66"/>
      <c r="Q257" s="66"/>
      <c r="R257" s="2"/>
      <c r="S257" s="2"/>
      <c r="T257" s="2"/>
    </row>
    <row r="258" spans="1:20">
      <c r="A258" s="3"/>
      <c r="B258" s="3"/>
      <c r="C258" s="2"/>
      <c r="D258" s="2"/>
      <c r="E258" s="64"/>
      <c r="F258" s="64"/>
      <c r="G258" s="64"/>
      <c r="H258" s="64"/>
      <c r="I258" s="2"/>
      <c r="J258" s="2"/>
      <c r="K258" s="2"/>
      <c r="L258" s="2"/>
      <c r="M258" s="2"/>
      <c r="N258" s="2"/>
      <c r="O258" s="2"/>
      <c r="P258" s="66"/>
      <c r="Q258" s="66"/>
      <c r="R258" s="2"/>
      <c r="S258" s="2"/>
      <c r="T258" s="2"/>
    </row>
    <row r="259" spans="1:20">
      <c r="A259" s="3"/>
      <c r="B259" s="3"/>
      <c r="C259" s="2"/>
      <c r="D259" s="2"/>
      <c r="E259" s="64"/>
      <c r="F259" s="64"/>
      <c r="G259" s="64"/>
      <c r="H259" s="64"/>
      <c r="I259" s="2"/>
      <c r="J259" s="2"/>
      <c r="K259" s="2"/>
      <c r="L259" s="2"/>
      <c r="M259" s="2"/>
      <c r="N259" s="2"/>
      <c r="O259" s="2"/>
      <c r="P259" s="66"/>
      <c r="Q259" s="66"/>
      <c r="R259" s="2"/>
      <c r="S259" s="2"/>
      <c r="T259" s="2"/>
    </row>
    <row r="260" spans="1:20">
      <c r="A260" s="3"/>
      <c r="B260" s="3"/>
      <c r="C260" s="2"/>
      <c r="D260" s="2"/>
      <c r="E260" s="64"/>
      <c r="F260" s="64"/>
      <c r="G260" s="64"/>
      <c r="H260" s="64"/>
      <c r="I260" s="2"/>
      <c r="J260" s="2"/>
      <c r="K260" s="2"/>
      <c r="L260" s="2"/>
      <c r="M260" s="2"/>
      <c r="N260" s="2"/>
      <c r="O260" s="2"/>
      <c r="P260" s="66"/>
      <c r="Q260" s="66"/>
      <c r="R260" s="2"/>
      <c r="S260" s="2"/>
      <c r="T260" s="2"/>
    </row>
    <row r="261" spans="1:20">
      <c r="A261" s="3"/>
      <c r="B261" s="3"/>
      <c r="C261" s="2"/>
      <c r="D261" s="2"/>
      <c r="E261" s="64"/>
      <c r="F261" s="64"/>
      <c r="G261" s="64"/>
      <c r="H261" s="64"/>
      <c r="I261" s="2"/>
      <c r="J261" s="2"/>
      <c r="K261" s="2"/>
      <c r="L261" s="2"/>
      <c r="M261" s="2"/>
      <c r="N261" s="2"/>
      <c r="O261" s="2"/>
      <c r="P261" s="66"/>
      <c r="Q261" s="66"/>
      <c r="R261" s="2"/>
      <c r="S261" s="2"/>
      <c r="T261" s="2"/>
    </row>
    <row r="262" spans="1:20">
      <c r="A262" s="3"/>
      <c r="B262" s="3"/>
      <c r="C262" s="2"/>
      <c r="D262" s="2"/>
      <c r="E262" s="64"/>
      <c r="F262" s="64"/>
      <c r="G262" s="64"/>
      <c r="H262" s="64"/>
      <c r="I262" s="2"/>
      <c r="J262" s="2"/>
      <c r="K262" s="2"/>
      <c r="L262" s="2"/>
      <c r="M262" s="2"/>
      <c r="N262" s="2"/>
      <c r="O262" s="2"/>
      <c r="P262" s="66"/>
      <c r="Q262" s="66"/>
      <c r="R262" s="2"/>
      <c r="S262" s="2"/>
      <c r="T262" s="2"/>
    </row>
    <row r="263" spans="1:20">
      <c r="A263" s="3"/>
      <c r="B263" s="3"/>
      <c r="C263" s="2"/>
      <c r="D263" s="2"/>
      <c r="E263" s="64"/>
      <c r="F263" s="64"/>
      <c r="G263" s="64"/>
      <c r="H263" s="64"/>
      <c r="I263" s="2"/>
      <c r="J263" s="2"/>
      <c r="K263" s="2"/>
      <c r="L263" s="2"/>
      <c r="M263" s="2"/>
      <c r="N263" s="2"/>
      <c r="O263" s="2"/>
      <c r="P263" s="66"/>
      <c r="Q263" s="66"/>
      <c r="R263" s="2"/>
      <c r="S263" s="2"/>
      <c r="T263" s="2"/>
    </row>
    <row r="264" spans="1:20">
      <c r="A264" s="3"/>
      <c r="B264" s="3"/>
      <c r="C264" s="2"/>
      <c r="D264" s="2"/>
      <c r="E264" s="64"/>
      <c r="F264" s="64"/>
      <c r="G264" s="64"/>
      <c r="H264" s="64"/>
      <c r="I264" s="2"/>
      <c r="J264" s="2"/>
      <c r="K264" s="2"/>
      <c r="L264" s="2"/>
      <c r="M264" s="2"/>
      <c r="N264" s="2"/>
      <c r="O264" s="2"/>
      <c r="P264" s="66"/>
      <c r="Q264" s="66"/>
      <c r="R264" s="2"/>
      <c r="S264" s="2"/>
      <c r="T264" s="2"/>
    </row>
    <row r="265" spans="1:20">
      <c r="A265" s="3"/>
      <c r="B265" s="3"/>
      <c r="C265" s="2"/>
      <c r="D265" s="2"/>
      <c r="E265" s="64"/>
      <c r="F265" s="64"/>
      <c r="G265" s="64"/>
      <c r="H265" s="64"/>
      <c r="I265" s="2"/>
      <c r="J265" s="2"/>
      <c r="K265" s="2"/>
      <c r="L265" s="2"/>
      <c r="M265" s="2"/>
      <c r="N265" s="2"/>
      <c r="O265" s="2"/>
      <c r="P265" s="66"/>
      <c r="Q265" s="66"/>
      <c r="R265" s="2"/>
      <c r="S265" s="2"/>
      <c r="T265" s="2"/>
    </row>
    <row r="266" spans="1:20">
      <c r="A266" s="3"/>
      <c r="B266" s="3"/>
      <c r="C266" s="2"/>
      <c r="D266" s="2"/>
      <c r="E266" s="64"/>
      <c r="F266" s="64"/>
      <c r="G266" s="64"/>
      <c r="H266" s="64"/>
      <c r="I266" s="2"/>
      <c r="J266" s="2"/>
      <c r="K266" s="2"/>
      <c r="L266" s="2"/>
      <c r="M266" s="2"/>
      <c r="N266" s="2"/>
      <c r="O266" s="2"/>
      <c r="P266" s="66"/>
      <c r="Q266" s="66"/>
      <c r="R266" s="2"/>
      <c r="S266" s="2"/>
      <c r="T266" s="2"/>
    </row>
    <row r="267" spans="1:20">
      <c r="A267" s="3"/>
      <c r="B267" s="3"/>
      <c r="C267" s="2"/>
      <c r="D267" s="2"/>
      <c r="E267" s="64"/>
      <c r="F267" s="64"/>
      <c r="G267" s="64"/>
      <c r="H267" s="64"/>
      <c r="I267" s="2"/>
      <c r="J267" s="2"/>
      <c r="K267" s="2"/>
      <c r="L267" s="2"/>
      <c r="M267" s="2"/>
      <c r="N267" s="2"/>
      <c r="O267" s="2"/>
      <c r="P267" s="66"/>
      <c r="Q267" s="66"/>
      <c r="R267" s="2"/>
      <c r="S267" s="2"/>
      <c r="T267" s="2"/>
    </row>
    <row r="268" spans="1:20">
      <c r="A268" s="3"/>
      <c r="B268" s="3"/>
      <c r="C268" s="2"/>
      <c r="D268" s="2"/>
      <c r="E268" s="64"/>
      <c r="F268" s="64"/>
      <c r="G268" s="64"/>
      <c r="H268" s="64"/>
      <c r="I268" s="2"/>
      <c r="J268" s="2"/>
      <c r="K268" s="2"/>
      <c r="L268" s="2"/>
      <c r="M268" s="2"/>
      <c r="N268" s="2"/>
      <c r="O268" s="2"/>
      <c r="P268" s="66"/>
      <c r="Q268" s="66"/>
      <c r="R268" s="2"/>
      <c r="S268" s="2"/>
      <c r="T268" s="2"/>
    </row>
    <row r="269" spans="1:20">
      <c r="A269" s="3"/>
      <c r="B269" s="3"/>
      <c r="C269" s="2"/>
      <c r="D269" s="2"/>
      <c r="E269" s="64"/>
      <c r="F269" s="64"/>
      <c r="G269" s="64"/>
      <c r="H269" s="64"/>
      <c r="I269" s="2"/>
      <c r="J269" s="2"/>
      <c r="K269" s="2"/>
      <c r="L269" s="2"/>
      <c r="M269" s="2"/>
      <c r="N269" s="2"/>
      <c r="O269" s="2"/>
      <c r="P269" s="66"/>
      <c r="Q269" s="66"/>
      <c r="R269" s="2"/>
      <c r="S269" s="2"/>
      <c r="T269" s="2"/>
    </row>
    <row r="270" spans="1:20">
      <c r="A270" s="3"/>
      <c r="B270" s="3"/>
      <c r="C270" s="2"/>
      <c r="D270" s="2"/>
      <c r="E270" s="64"/>
      <c r="F270" s="64"/>
      <c r="G270" s="64"/>
      <c r="H270" s="64"/>
      <c r="I270" s="2"/>
      <c r="J270" s="2"/>
      <c r="K270" s="2"/>
      <c r="L270" s="2"/>
      <c r="M270" s="2"/>
      <c r="N270" s="2"/>
      <c r="O270" s="2"/>
      <c r="P270" s="66"/>
      <c r="Q270" s="66"/>
      <c r="R270" s="2"/>
      <c r="S270" s="2"/>
      <c r="T270" s="2"/>
    </row>
    <row r="271" spans="1:20">
      <c r="A271" s="3"/>
      <c r="B271" s="3"/>
      <c r="C271" s="2"/>
      <c r="D271" s="2"/>
      <c r="E271" s="64"/>
      <c r="F271" s="64"/>
      <c r="G271" s="64"/>
      <c r="H271" s="64"/>
      <c r="I271" s="2"/>
      <c r="J271" s="2"/>
      <c r="K271" s="2"/>
      <c r="L271" s="2"/>
      <c r="M271" s="2"/>
      <c r="N271" s="2"/>
      <c r="O271" s="2"/>
      <c r="P271" s="66"/>
      <c r="Q271" s="66"/>
      <c r="R271" s="2"/>
      <c r="S271" s="2"/>
      <c r="T271" s="2"/>
    </row>
    <row r="272" spans="1:20">
      <c r="A272" s="3"/>
      <c r="B272" s="3"/>
      <c r="C272" s="2"/>
      <c r="D272" s="2"/>
      <c r="E272" s="64"/>
      <c r="F272" s="64"/>
      <c r="G272" s="64"/>
      <c r="H272" s="64"/>
      <c r="I272" s="2"/>
      <c r="J272" s="2"/>
      <c r="K272" s="2"/>
      <c r="L272" s="2"/>
      <c r="M272" s="2"/>
      <c r="N272" s="2"/>
      <c r="O272" s="2"/>
      <c r="P272" s="66"/>
      <c r="Q272" s="66"/>
      <c r="R272" s="2"/>
      <c r="S272" s="2"/>
      <c r="T272" s="2"/>
    </row>
    <row r="273" spans="1:20">
      <c r="A273" s="3"/>
      <c r="B273" s="3"/>
      <c r="C273" s="2"/>
      <c r="D273" s="2"/>
      <c r="E273" s="64"/>
      <c r="F273" s="64"/>
      <c r="G273" s="64"/>
      <c r="H273" s="64"/>
      <c r="I273" s="2"/>
      <c r="J273" s="2"/>
      <c r="K273" s="2"/>
      <c r="L273" s="2"/>
      <c r="M273" s="2"/>
      <c r="N273" s="2"/>
      <c r="O273" s="2"/>
      <c r="P273" s="66"/>
      <c r="Q273" s="66"/>
      <c r="R273" s="2"/>
      <c r="S273" s="2"/>
      <c r="T273" s="2"/>
    </row>
    <row r="274" spans="1:20">
      <c r="A274" s="3"/>
      <c r="B274" s="3"/>
      <c r="C274" s="2"/>
      <c r="D274" s="2"/>
      <c r="E274" s="64"/>
      <c r="F274" s="64"/>
      <c r="G274" s="64"/>
      <c r="H274" s="64"/>
      <c r="I274" s="2"/>
      <c r="J274" s="2"/>
      <c r="K274" s="2"/>
      <c r="L274" s="2"/>
      <c r="M274" s="2"/>
      <c r="N274" s="2"/>
      <c r="O274" s="2"/>
      <c r="P274" s="66"/>
      <c r="Q274" s="66"/>
      <c r="R274" s="2"/>
      <c r="S274" s="2"/>
      <c r="T274" s="2"/>
    </row>
    <row r="275" spans="1:20">
      <c r="A275" s="3"/>
      <c r="B275" s="3"/>
      <c r="C275" s="2"/>
      <c r="D275" s="2"/>
      <c r="E275" s="64"/>
      <c r="F275" s="64"/>
      <c r="G275" s="64"/>
      <c r="H275" s="64"/>
      <c r="I275" s="2"/>
      <c r="J275" s="2"/>
      <c r="K275" s="2"/>
      <c r="L275" s="2"/>
      <c r="M275" s="2"/>
      <c r="N275" s="2"/>
      <c r="O275" s="2"/>
      <c r="P275" s="66"/>
      <c r="Q275" s="66"/>
      <c r="R275" s="2"/>
      <c r="S275" s="2"/>
      <c r="T275" s="2"/>
    </row>
    <row r="276" spans="1:20">
      <c r="A276" s="3"/>
      <c r="B276" s="3"/>
      <c r="C276" s="2"/>
      <c r="D276" s="2"/>
      <c r="E276" s="64"/>
      <c r="F276" s="64"/>
      <c r="G276" s="64"/>
      <c r="H276" s="64"/>
      <c r="I276" s="2"/>
      <c r="J276" s="2"/>
      <c r="K276" s="2"/>
      <c r="L276" s="2"/>
      <c r="M276" s="2"/>
      <c r="N276" s="2"/>
      <c r="O276" s="2"/>
      <c r="P276" s="66"/>
      <c r="Q276" s="66"/>
      <c r="R276" s="2"/>
      <c r="S276" s="2"/>
      <c r="T276" s="2"/>
    </row>
    <row r="277" spans="1:20">
      <c r="A277" s="3"/>
      <c r="B277" s="3"/>
      <c r="C277" s="2"/>
      <c r="D277" s="2"/>
      <c r="E277" s="64"/>
      <c r="F277" s="64"/>
      <c r="G277" s="64"/>
      <c r="H277" s="64"/>
      <c r="I277" s="2"/>
      <c r="J277" s="2"/>
      <c r="K277" s="2"/>
      <c r="L277" s="2"/>
      <c r="M277" s="2"/>
      <c r="N277" s="2"/>
      <c r="O277" s="2"/>
      <c r="P277" s="66"/>
      <c r="Q277" s="66"/>
      <c r="R277" s="2"/>
      <c r="S277" s="2"/>
      <c r="T277" s="2"/>
    </row>
    <row r="278" spans="1:20">
      <c r="A278" s="3"/>
      <c r="B278" s="3"/>
      <c r="C278" s="2"/>
      <c r="D278" s="2"/>
      <c r="E278" s="64"/>
      <c r="F278" s="64"/>
      <c r="G278" s="64"/>
      <c r="H278" s="64"/>
      <c r="I278" s="2"/>
      <c r="J278" s="2"/>
      <c r="K278" s="2"/>
      <c r="L278" s="2"/>
      <c r="M278" s="2"/>
      <c r="N278" s="2"/>
      <c r="O278" s="2"/>
      <c r="P278" s="66"/>
      <c r="Q278" s="66"/>
      <c r="R278" s="2"/>
      <c r="S278" s="2"/>
      <c r="T278" s="2"/>
    </row>
    <row r="279" spans="1:20">
      <c r="A279" s="3"/>
      <c r="B279" s="3"/>
      <c r="C279" s="2"/>
      <c r="D279" s="2"/>
      <c r="E279" s="64"/>
      <c r="F279" s="64"/>
      <c r="G279" s="64"/>
      <c r="H279" s="64"/>
      <c r="I279" s="2"/>
      <c r="J279" s="2"/>
      <c r="K279" s="2"/>
      <c r="L279" s="2"/>
      <c r="M279" s="2"/>
      <c r="N279" s="2"/>
      <c r="O279" s="2"/>
      <c r="P279" s="66"/>
      <c r="Q279" s="66"/>
      <c r="R279" s="2"/>
      <c r="S279" s="2"/>
      <c r="T279" s="2"/>
    </row>
    <row r="280" spans="1:20">
      <c r="A280" s="3"/>
      <c r="B280" s="3"/>
      <c r="C280" s="2"/>
      <c r="D280" s="2"/>
      <c r="E280" s="64"/>
      <c r="F280" s="64"/>
      <c r="G280" s="64"/>
      <c r="H280" s="64"/>
      <c r="I280" s="2"/>
      <c r="J280" s="2"/>
      <c r="K280" s="2"/>
      <c r="L280" s="2"/>
      <c r="M280" s="2"/>
      <c r="N280" s="2"/>
      <c r="O280" s="2"/>
      <c r="P280" s="66"/>
      <c r="Q280" s="66"/>
      <c r="R280" s="2"/>
      <c r="S280" s="2"/>
      <c r="T280" s="2"/>
    </row>
    <row r="281" spans="1:20">
      <c r="A281" s="3"/>
      <c r="B281" s="3"/>
      <c r="C281" s="2"/>
      <c r="D281" s="2"/>
      <c r="E281" s="64"/>
      <c r="F281" s="64"/>
      <c r="G281" s="64"/>
      <c r="H281" s="64"/>
      <c r="I281" s="2"/>
      <c r="J281" s="2"/>
      <c r="K281" s="2"/>
      <c r="L281" s="2"/>
      <c r="M281" s="2"/>
      <c r="N281" s="2"/>
      <c r="O281" s="2"/>
      <c r="P281" s="66"/>
      <c r="Q281" s="66"/>
      <c r="R281" s="2"/>
      <c r="S281" s="2"/>
      <c r="T281" s="2"/>
    </row>
    <row r="282" spans="1:20">
      <c r="A282" s="3"/>
      <c r="B282" s="3"/>
      <c r="C282" s="2"/>
      <c r="D282" s="2"/>
      <c r="E282" s="64"/>
      <c r="F282" s="64"/>
      <c r="G282" s="64"/>
      <c r="H282" s="64"/>
      <c r="I282" s="2"/>
      <c r="J282" s="2"/>
      <c r="K282" s="2"/>
      <c r="L282" s="2"/>
      <c r="M282" s="2"/>
      <c r="N282" s="2"/>
      <c r="O282" s="2"/>
      <c r="P282" s="66"/>
      <c r="Q282" s="66"/>
      <c r="R282" s="2"/>
      <c r="S282" s="2"/>
      <c r="T282" s="2"/>
    </row>
    <row r="283" spans="1:20">
      <c r="A283" s="3"/>
      <c r="B283" s="3"/>
      <c r="C283" s="2"/>
      <c r="D283" s="2"/>
      <c r="E283" s="64"/>
      <c r="F283" s="64"/>
      <c r="G283" s="64"/>
      <c r="H283" s="64"/>
      <c r="I283" s="2"/>
      <c r="J283" s="2"/>
      <c r="K283" s="2"/>
      <c r="L283" s="2"/>
      <c r="M283" s="2"/>
      <c r="N283" s="2"/>
      <c r="O283" s="2"/>
      <c r="P283" s="66"/>
      <c r="Q283" s="66"/>
      <c r="R283" s="2"/>
      <c r="S283" s="2"/>
      <c r="T283" s="2"/>
    </row>
    <row r="284" spans="1:20">
      <c r="A284" s="3"/>
      <c r="B284" s="3"/>
      <c r="C284" s="2"/>
      <c r="D284" s="2"/>
      <c r="E284" s="64"/>
      <c r="F284" s="64"/>
      <c r="G284" s="64"/>
      <c r="H284" s="64"/>
      <c r="I284" s="2"/>
      <c r="J284" s="2"/>
      <c r="K284" s="2"/>
      <c r="L284" s="2"/>
      <c r="M284" s="2"/>
      <c r="N284" s="2"/>
      <c r="O284" s="2"/>
      <c r="P284" s="66"/>
      <c r="Q284" s="66"/>
      <c r="R284" s="2"/>
      <c r="S284" s="2"/>
      <c r="T284" s="2"/>
    </row>
    <row r="285" spans="1:20">
      <c r="A285" s="3"/>
      <c r="B285" s="3"/>
      <c r="C285" s="2"/>
      <c r="D285" s="2"/>
      <c r="E285" s="64"/>
      <c r="F285" s="64"/>
      <c r="G285" s="64"/>
      <c r="H285" s="64"/>
      <c r="I285" s="2"/>
      <c r="J285" s="2"/>
      <c r="K285" s="2"/>
      <c r="L285" s="2"/>
      <c r="M285" s="2"/>
      <c r="N285" s="2"/>
      <c r="O285" s="2"/>
      <c r="P285" s="66"/>
      <c r="Q285" s="66"/>
      <c r="R285" s="2"/>
      <c r="S285" s="2"/>
      <c r="T285" s="2"/>
    </row>
    <row r="286" spans="1:20">
      <c r="A286" s="3"/>
      <c r="B286" s="3"/>
      <c r="C286" s="2"/>
      <c r="D286" s="2"/>
      <c r="E286" s="64"/>
      <c r="F286" s="64"/>
      <c r="G286" s="64"/>
      <c r="H286" s="64"/>
      <c r="I286" s="2"/>
      <c r="J286" s="2"/>
      <c r="K286" s="2"/>
      <c r="L286" s="2"/>
      <c r="M286" s="2"/>
      <c r="N286" s="2"/>
      <c r="O286" s="2"/>
      <c r="P286" s="66"/>
      <c r="Q286" s="66"/>
      <c r="R286" s="2"/>
      <c r="S286" s="2"/>
      <c r="T286" s="2"/>
    </row>
    <row r="287" spans="1:20">
      <c r="A287" s="3"/>
      <c r="B287" s="3"/>
      <c r="C287" s="2"/>
      <c r="D287" s="2"/>
      <c r="E287" s="64"/>
      <c r="F287" s="64"/>
      <c r="G287" s="64"/>
      <c r="H287" s="64"/>
      <c r="I287" s="2"/>
      <c r="J287" s="2"/>
      <c r="K287" s="2"/>
      <c r="L287" s="2"/>
      <c r="M287" s="2"/>
      <c r="N287" s="2"/>
      <c r="O287" s="2"/>
      <c r="P287" s="66"/>
      <c r="Q287" s="66"/>
      <c r="R287" s="2"/>
      <c r="S287" s="2"/>
      <c r="T287" s="2"/>
    </row>
    <row r="288" spans="1:20">
      <c r="A288" s="3"/>
      <c r="B288" s="3"/>
      <c r="C288" s="2"/>
      <c r="D288" s="2"/>
      <c r="E288" s="64"/>
      <c r="F288" s="64"/>
      <c r="G288" s="64"/>
      <c r="H288" s="64"/>
      <c r="I288" s="2"/>
      <c r="J288" s="2"/>
      <c r="K288" s="2"/>
      <c r="L288" s="2"/>
      <c r="M288" s="2"/>
      <c r="N288" s="2"/>
      <c r="O288" s="2"/>
      <c r="P288" s="66"/>
      <c r="Q288" s="66"/>
      <c r="R288" s="2"/>
      <c r="S288" s="2"/>
      <c r="T288" s="2"/>
    </row>
    <row r="289" spans="1:20">
      <c r="A289" s="3"/>
      <c r="B289" s="3"/>
      <c r="C289" s="2"/>
      <c r="D289" s="2"/>
      <c r="E289" s="64"/>
      <c r="F289" s="64"/>
      <c r="G289" s="64"/>
      <c r="H289" s="64"/>
      <c r="I289" s="2"/>
      <c r="J289" s="2"/>
      <c r="K289" s="2"/>
      <c r="L289" s="2"/>
      <c r="M289" s="2"/>
      <c r="N289" s="2"/>
      <c r="O289" s="2"/>
      <c r="P289" s="66"/>
      <c r="Q289" s="66"/>
      <c r="R289" s="2"/>
      <c r="S289" s="2"/>
      <c r="T289" s="2"/>
    </row>
    <row r="290" spans="1:20">
      <c r="A290" s="3"/>
      <c r="B290" s="3"/>
      <c r="C290" s="2"/>
      <c r="D290" s="2"/>
      <c r="E290" s="64"/>
      <c r="F290" s="64"/>
      <c r="G290" s="64"/>
      <c r="H290" s="64"/>
      <c r="I290" s="2"/>
      <c r="J290" s="2"/>
      <c r="K290" s="2"/>
      <c r="L290" s="2"/>
      <c r="M290" s="2"/>
      <c r="N290" s="2"/>
      <c r="O290" s="2"/>
      <c r="P290" s="66"/>
      <c r="Q290" s="66"/>
      <c r="R290" s="2"/>
      <c r="S290" s="2"/>
      <c r="T290" s="2"/>
    </row>
    <row r="291" spans="1:20">
      <c r="A291" s="3"/>
      <c r="B291" s="3"/>
      <c r="C291" s="2"/>
      <c r="D291" s="2"/>
      <c r="E291" s="64"/>
      <c r="F291" s="64"/>
      <c r="G291" s="64"/>
      <c r="H291" s="64"/>
      <c r="I291" s="2"/>
      <c r="J291" s="2"/>
      <c r="K291" s="2"/>
      <c r="L291" s="2"/>
      <c r="M291" s="2"/>
      <c r="N291" s="2"/>
      <c r="O291" s="2"/>
      <c r="P291" s="66"/>
      <c r="Q291" s="66"/>
      <c r="R291" s="2"/>
      <c r="S291" s="2"/>
      <c r="T291" s="2"/>
    </row>
    <row r="292" spans="1:20">
      <c r="A292" s="3"/>
      <c r="B292" s="3"/>
      <c r="C292" s="2"/>
      <c r="D292" s="2"/>
      <c r="E292" s="64"/>
      <c r="F292" s="64"/>
      <c r="G292" s="64"/>
      <c r="H292" s="64"/>
      <c r="I292" s="2"/>
      <c r="J292" s="2"/>
      <c r="K292" s="2"/>
      <c r="L292" s="2"/>
      <c r="M292" s="2"/>
      <c r="N292" s="2"/>
      <c r="O292" s="2"/>
      <c r="P292" s="66"/>
      <c r="Q292" s="66"/>
      <c r="R292" s="2"/>
      <c r="S292" s="2"/>
      <c r="T292" s="2"/>
    </row>
    <row r="293" spans="1:20">
      <c r="A293" s="3"/>
      <c r="B293" s="3"/>
      <c r="C293" s="2"/>
      <c r="D293" s="2"/>
      <c r="E293" s="64"/>
      <c r="F293" s="64"/>
      <c r="G293" s="64"/>
      <c r="H293" s="64"/>
      <c r="I293" s="2"/>
      <c r="J293" s="2"/>
      <c r="K293" s="2"/>
      <c r="L293" s="2"/>
      <c r="M293" s="2"/>
      <c r="N293" s="2"/>
      <c r="O293" s="2"/>
      <c r="P293" s="66"/>
      <c r="Q293" s="66"/>
      <c r="R293" s="2"/>
      <c r="S293" s="2"/>
      <c r="T293" s="2"/>
    </row>
    <row r="294" spans="1:20">
      <c r="A294" s="3"/>
      <c r="B294" s="3"/>
      <c r="C294" s="2"/>
      <c r="D294" s="2"/>
      <c r="E294" s="64"/>
      <c r="F294" s="64"/>
      <c r="G294" s="64"/>
      <c r="H294" s="64"/>
      <c r="I294" s="2"/>
      <c r="J294" s="2"/>
      <c r="K294" s="2"/>
      <c r="L294" s="2"/>
      <c r="M294" s="2"/>
      <c r="N294" s="2"/>
      <c r="O294" s="2"/>
      <c r="P294" s="66"/>
      <c r="Q294" s="66"/>
      <c r="R294" s="2"/>
      <c r="S294" s="2"/>
      <c r="T294" s="2"/>
    </row>
    <row r="295" spans="1:20">
      <c r="A295" s="3"/>
      <c r="B295" s="3"/>
      <c r="C295" s="2"/>
      <c r="D295" s="2"/>
      <c r="E295" s="64"/>
      <c r="F295" s="64"/>
      <c r="G295" s="64"/>
      <c r="H295" s="64"/>
      <c r="I295" s="2"/>
      <c r="J295" s="2"/>
      <c r="K295" s="2"/>
      <c r="L295" s="2"/>
      <c r="M295" s="2"/>
      <c r="N295" s="2"/>
      <c r="O295" s="2"/>
      <c r="P295" s="66"/>
      <c r="Q295" s="66"/>
      <c r="R295" s="2"/>
      <c r="S295" s="2"/>
      <c r="T295" s="2"/>
    </row>
    <row r="296" spans="1:20">
      <c r="A296" s="3"/>
      <c r="B296" s="3"/>
      <c r="C296" s="2"/>
      <c r="D296" s="2"/>
      <c r="E296" s="64"/>
      <c r="F296" s="64"/>
      <c r="G296" s="64"/>
      <c r="H296" s="64"/>
      <c r="I296" s="2"/>
      <c r="J296" s="2"/>
      <c r="K296" s="2"/>
      <c r="L296" s="2"/>
      <c r="M296" s="2"/>
      <c r="N296" s="2"/>
      <c r="O296" s="2"/>
      <c r="P296" s="66"/>
      <c r="Q296" s="66"/>
      <c r="R296" s="2"/>
      <c r="S296" s="2"/>
      <c r="T296" s="2"/>
    </row>
    <row r="297" spans="1:20">
      <c r="A297" s="3"/>
      <c r="B297" s="3"/>
      <c r="C297" s="2"/>
      <c r="D297" s="2"/>
      <c r="E297" s="64"/>
      <c r="F297" s="64"/>
      <c r="G297" s="64"/>
      <c r="H297" s="64"/>
      <c r="I297" s="2"/>
      <c r="J297" s="2"/>
      <c r="K297" s="2"/>
      <c r="L297" s="2"/>
      <c r="M297" s="2"/>
      <c r="N297" s="2"/>
      <c r="O297" s="2"/>
      <c r="P297" s="66"/>
      <c r="Q297" s="66"/>
      <c r="R297" s="2"/>
      <c r="S297" s="2"/>
      <c r="T297" s="2"/>
    </row>
    <row r="298" spans="1:20">
      <c r="A298" s="3"/>
      <c r="B298" s="3"/>
      <c r="C298" s="2"/>
      <c r="D298" s="2"/>
      <c r="E298" s="64"/>
      <c r="F298" s="64"/>
      <c r="G298" s="64"/>
      <c r="H298" s="64"/>
      <c r="I298" s="2"/>
      <c r="J298" s="2"/>
      <c r="K298" s="2"/>
      <c r="L298" s="2"/>
      <c r="M298" s="2"/>
      <c r="N298" s="2"/>
      <c r="O298" s="2"/>
      <c r="P298" s="66"/>
      <c r="Q298" s="66"/>
      <c r="R298" s="2"/>
      <c r="S298" s="2"/>
      <c r="T298" s="2"/>
    </row>
    <row r="299" spans="1:20">
      <c r="A299" s="3"/>
      <c r="B299" s="3"/>
      <c r="C299" s="2"/>
      <c r="D299" s="2"/>
      <c r="E299" s="64"/>
      <c r="F299" s="64"/>
      <c r="G299" s="64"/>
      <c r="H299" s="64"/>
      <c r="I299" s="2"/>
      <c r="J299" s="2"/>
      <c r="K299" s="2"/>
      <c r="L299" s="2"/>
      <c r="M299" s="2"/>
      <c r="N299" s="2"/>
      <c r="O299" s="2"/>
      <c r="P299" s="66"/>
      <c r="Q299" s="66"/>
      <c r="R299" s="2"/>
      <c r="S299" s="2"/>
      <c r="T299" s="2"/>
    </row>
    <row r="300" spans="1:20">
      <c r="A300" s="3"/>
      <c r="B300" s="3"/>
      <c r="C300" s="2"/>
      <c r="D300" s="2"/>
      <c r="E300" s="64"/>
      <c r="F300" s="64"/>
      <c r="G300" s="64"/>
      <c r="H300" s="64"/>
      <c r="I300" s="2"/>
      <c r="J300" s="2"/>
      <c r="K300" s="2"/>
      <c r="L300" s="2"/>
      <c r="M300" s="2"/>
      <c r="N300" s="2"/>
      <c r="O300" s="2"/>
      <c r="P300" s="66"/>
      <c r="Q300" s="66"/>
      <c r="R300" s="2"/>
      <c r="S300" s="2"/>
      <c r="T300" s="2"/>
    </row>
    <row r="301" spans="1:20">
      <c r="A301" s="3"/>
      <c r="B301" s="3"/>
      <c r="C301" s="2"/>
      <c r="D301" s="2"/>
      <c r="E301" s="64"/>
      <c r="F301" s="64"/>
      <c r="G301" s="64"/>
      <c r="H301" s="64"/>
      <c r="I301" s="2"/>
      <c r="J301" s="2"/>
      <c r="K301" s="2"/>
      <c r="L301" s="2"/>
      <c r="M301" s="2"/>
      <c r="N301" s="2"/>
      <c r="O301" s="2"/>
      <c r="P301" s="66"/>
      <c r="Q301" s="66"/>
      <c r="R301" s="2"/>
      <c r="S301" s="2"/>
      <c r="T301" s="2"/>
    </row>
    <row r="302" spans="1:20">
      <c r="A302" s="3"/>
      <c r="B302" s="3"/>
      <c r="C302" s="2"/>
      <c r="D302" s="2"/>
      <c r="E302" s="64"/>
      <c r="F302" s="64"/>
      <c r="G302" s="64"/>
      <c r="H302" s="64"/>
      <c r="I302" s="2"/>
      <c r="J302" s="2"/>
      <c r="K302" s="2"/>
      <c r="L302" s="2"/>
      <c r="M302" s="2"/>
      <c r="N302" s="2"/>
      <c r="O302" s="2"/>
      <c r="P302" s="66"/>
      <c r="Q302" s="66"/>
      <c r="R302" s="2"/>
      <c r="S302" s="2"/>
      <c r="T302" s="2"/>
    </row>
    <row r="303" spans="1:20">
      <c r="A303" s="3"/>
      <c r="B303" s="3"/>
      <c r="C303" s="2"/>
      <c r="D303" s="2"/>
      <c r="E303" s="64"/>
      <c r="F303" s="64"/>
      <c r="G303" s="64"/>
      <c r="H303" s="64"/>
      <c r="I303" s="2"/>
      <c r="J303" s="2"/>
      <c r="K303" s="2"/>
      <c r="L303" s="2"/>
      <c r="M303" s="2"/>
      <c r="N303" s="2"/>
      <c r="O303" s="2"/>
      <c r="P303" s="66"/>
      <c r="Q303" s="66"/>
      <c r="R303" s="2"/>
      <c r="S303" s="2"/>
      <c r="T303" s="2"/>
    </row>
    <row r="304" spans="1:20">
      <c r="A304" s="3"/>
      <c r="B304" s="3"/>
      <c r="C304" s="2"/>
      <c r="D304" s="2"/>
      <c r="E304" s="64"/>
      <c r="F304" s="64"/>
      <c r="G304" s="64"/>
      <c r="H304" s="64"/>
      <c r="I304" s="2"/>
      <c r="J304" s="2"/>
      <c r="K304" s="2"/>
      <c r="L304" s="2"/>
      <c r="M304" s="2"/>
      <c r="N304" s="2"/>
      <c r="O304" s="2"/>
      <c r="P304" s="66"/>
      <c r="Q304" s="66"/>
      <c r="R304" s="2"/>
      <c r="S304" s="2"/>
      <c r="T304" s="2"/>
    </row>
    <row r="305" spans="1:20">
      <c r="A305" s="3"/>
      <c r="B305" s="3"/>
      <c r="C305" s="2"/>
      <c r="D305" s="2"/>
      <c r="E305" s="64"/>
      <c r="F305" s="64"/>
      <c r="G305" s="64"/>
      <c r="H305" s="64"/>
      <c r="I305" s="2"/>
      <c r="J305" s="2"/>
      <c r="K305" s="2"/>
      <c r="L305" s="2"/>
      <c r="M305" s="2"/>
      <c r="N305" s="2"/>
      <c r="O305" s="2"/>
      <c r="P305" s="66"/>
      <c r="Q305" s="66"/>
      <c r="R305" s="2"/>
      <c r="S305" s="2"/>
      <c r="T305" s="2"/>
    </row>
    <row r="306" spans="1:20">
      <c r="A306" s="3"/>
      <c r="B306" s="3"/>
      <c r="C306" s="2"/>
      <c r="D306" s="2"/>
      <c r="E306" s="64"/>
      <c r="F306" s="64"/>
      <c r="G306" s="64"/>
      <c r="H306" s="64"/>
      <c r="I306" s="2"/>
      <c r="J306" s="2"/>
      <c r="K306" s="2"/>
      <c r="L306" s="2"/>
      <c r="M306" s="2"/>
      <c r="N306" s="2"/>
      <c r="O306" s="2"/>
      <c r="P306" s="66"/>
      <c r="Q306" s="66"/>
      <c r="R306" s="2"/>
      <c r="S306" s="2"/>
      <c r="T306" s="2"/>
    </row>
    <row r="307" spans="1:20">
      <c r="A307" s="3"/>
      <c r="B307" s="3"/>
      <c r="C307" s="2"/>
      <c r="D307" s="2"/>
      <c r="E307" s="64"/>
      <c r="F307" s="64"/>
      <c r="G307" s="64"/>
      <c r="H307" s="64"/>
      <c r="I307" s="2"/>
      <c r="J307" s="2"/>
      <c r="K307" s="2"/>
      <c r="L307" s="2"/>
      <c r="M307" s="2"/>
      <c r="N307" s="2"/>
      <c r="O307" s="2"/>
      <c r="P307" s="66"/>
      <c r="Q307" s="66"/>
      <c r="R307" s="2"/>
      <c r="S307" s="2"/>
      <c r="T307" s="2"/>
    </row>
    <row r="308" spans="1:20">
      <c r="A308" s="3"/>
      <c r="B308" s="3"/>
      <c r="C308" s="2"/>
      <c r="D308" s="2"/>
      <c r="E308" s="64"/>
      <c r="F308" s="64"/>
      <c r="G308" s="64"/>
      <c r="H308" s="64"/>
      <c r="I308" s="2"/>
      <c r="J308" s="2"/>
      <c r="K308" s="2"/>
      <c r="L308" s="2"/>
      <c r="M308" s="2"/>
      <c r="N308" s="2"/>
      <c r="O308" s="2"/>
      <c r="P308" s="66"/>
      <c r="Q308" s="66"/>
      <c r="R308" s="2"/>
      <c r="S308" s="2"/>
      <c r="T308" s="2"/>
    </row>
    <row r="309" spans="1:20">
      <c r="A309" s="3"/>
      <c r="B309" s="3"/>
      <c r="C309" s="2"/>
      <c r="D309" s="2"/>
      <c r="E309" s="64"/>
      <c r="F309" s="64"/>
      <c r="G309" s="64"/>
      <c r="H309" s="64"/>
      <c r="I309" s="2"/>
      <c r="J309" s="2"/>
      <c r="K309" s="2"/>
      <c r="L309" s="2"/>
      <c r="M309" s="2"/>
      <c r="N309" s="2"/>
      <c r="O309" s="2"/>
      <c r="P309" s="66"/>
      <c r="Q309" s="66"/>
      <c r="R309" s="2"/>
      <c r="S309" s="2"/>
      <c r="T309" s="2"/>
    </row>
    <row r="310" spans="1:20">
      <c r="A310" s="3"/>
      <c r="B310" s="3"/>
      <c r="C310" s="2"/>
      <c r="D310" s="2"/>
      <c r="E310" s="64"/>
      <c r="F310" s="64"/>
      <c r="G310" s="64"/>
      <c r="H310" s="64"/>
      <c r="I310" s="2"/>
      <c r="J310" s="2"/>
      <c r="K310" s="2"/>
      <c r="L310" s="2"/>
      <c r="M310" s="2"/>
      <c r="N310" s="2"/>
      <c r="O310" s="2"/>
      <c r="P310" s="66"/>
      <c r="Q310" s="66"/>
      <c r="R310" s="2"/>
      <c r="S310" s="2"/>
      <c r="T310" s="2"/>
    </row>
    <row r="311" spans="1:20">
      <c r="A311" s="3"/>
      <c r="B311" s="3"/>
      <c r="C311" s="2"/>
      <c r="D311" s="2"/>
      <c r="E311" s="64"/>
      <c r="F311" s="64"/>
      <c r="G311" s="64"/>
      <c r="H311" s="64"/>
      <c r="I311" s="2"/>
      <c r="J311" s="2"/>
      <c r="K311" s="2"/>
      <c r="L311" s="2"/>
      <c r="M311" s="2"/>
      <c r="N311" s="2"/>
      <c r="O311" s="2"/>
      <c r="P311" s="66"/>
      <c r="Q311" s="66"/>
      <c r="R311" s="2"/>
      <c r="S311" s="2"/>
      <c r="T311" s="2"/>
    </row>
    <row r="312" spans="1:20">
      <c r="A312" s="3"/>
      <c r="B312" s="3"/>
      <c r="C312" s="2"/>
      <c r="D312" s="2"/>
      <c r="E312" s="64"/>
      <c r="F312" s="64"/>
      <c r="G312" s="64"/>
      <c r="H312" s="64"/>
      <c r="I312" s="2"/>
      <c r="J312" s="2"/>
      <c r="K312" s="2"/>
      <c r="L312" s="2"/>
      <c r="M312" s="2"/>
      <c r="N312" s="2"/>
      <c r="O312" s="2"/>
      <c r="P312" s="66"/>
      <c r="Q312" s="66"/>
      <c r="R312" s="2"/>
      <c r="S312" s="2"/>
      <c r="T312" s="2"/>
    </row>
    <row r="313" spans="1:20">
      <c r="A313" s="3"/>
      <c r="B313" s="3"/>
      <c r="C313" s="2"/>
      <c r="D313" s="2"/>
      <c r="E313" s="64"/>
      <c r="F313" s="64"/>
      <c r="G313" s="64"/>
      <c r="H313" s="64"/>
      <c r="I313" s="2"/>
      <c r="J313" s="2"/>
      <c r="K313" s="2"/>
      <c r="L313" s="2"/>
      <c r="M313" s="2"/>
      <c r="N313" s="2"/>
      <c r="O313" s="2"/>
      <c r="P313" s="66"/>
      <c r="Q313" s="66"/>
      <c r="R313" s="2"/>
      <c r="S313" s="2"/>
      <c r="T313" s="2"/>
    </row>
    <row r="314" spans="1:20">
      <c r="A314" s="3"/>
      <c r="B314" s="3"/>
      <c r="C314" s="2"/>
      <c r="D314" s="2"/>
      <c r="E314" s="64"/>
      <c r="F314" s="64"/>
      <c r="G314" s="64"/>
      <c r="H314" s="64"/>
      <c r="I314" s="2"/>
      <c r="J314" s="2"/>
      <c r="K314" s="2"/>
      <c r="L314" s="2"/>
      <c r="M314" s="2"/>
      <c r="N314" s="2"/>
      <c r="O314" s="2"/>
      <c r="P314" s="66"/>
      <c r="Q314" s="66"/>
      <c r="R314" s="2"/>
      <c r="S314" s="2"/>
      <c r="T314" s="2"/>
    </row>
    <row r="315" spans="1:20">
      <c r="A315" s="3"/>
      <c r="B315" s="3"/>
      <c r="C315" s="2"/>
      <c r="D315" s="2"/>
      <c r="E315" s="64"/>
      <c r="F315" s="64"/>
      <c r="G315" s="64"/>
      <c r="H315" s="64"/>
      <c r="I315" s="2"/>
      <c r="J315" s="2"/>
      <c r="K315" s="2"/>
      <c r="L315" s="2"/>
      <c r="M315" s="2"/>
      <c r="N315" s="2"/>
      <c r="O315" s="2"/>
      <c r="P315" s="66"/>
      <c r="Q315" s="66"/>
      <c r="R315" s="2"/>
      <c r="S315" s="2"/>
      <c r="T315" s="2"/>
    </row>
    <row r="316" spans="1:20">
      <c r="A316" s="3"/>
      <c r="B316" s="3"/>
      <c r="C316" s="2"/>
      <c r="D316" s="2"/>
      <c r="E316" s="64"/>
      <c r="F316" s="64"/>
      <c r="G316" s="64"/>
      <c r="H316" s="64"/>
      <c r="I316" s="2"/>
      <c r="J316" s="2"/>
      <c r="K316" s="2"/>
      <c r="L316" s="2"/>
      <c r="M316" s="2"/>
      <c r="N316" s="2"/>
      <c r="O316" s="2"/>
      <c r="P316" s="66"/>
      <c r="Q316" s="66"/>
      <c r="R316" s="2"/>
      <c r="S316" s="2"/>
      <c r="T316" s="2"/>
    </row>
    <row r="317" spans="1:20">
      <c r="A317" s="3"/>
      <c r="B317" s="3"/>
      <c r="C317" s="2"/>
      <c r="D317" s="2"/>
      <c r="E317" s="64"/>
      <c r="F317" s="64"/>
      <c r="G317" s="64"/>
      <c r="H317" s="64"/>
      <c r="I317" s="2"/>
      <c r="J317" s="2"/>
      <c r="K317" s="2"/>
      <c r="L317" s="2"/>
      <c r="M317" s="2"/>
      <c r="N317" s="2"/>
      <c r="O317" s="2"/>
      <c r="P317" s="66"/>
      <c r="Q317" s="66"/>
      <c r="R317" s="2"/>
      <c r="S317" s="2"/>
      <c r="T317" s="2"/>
    </row>
    <row r="318" spans="1:20">
      <c r="A318" s="3"/>
      <c r="B318" s="3"/>
      <c r="C318" s="2"/>
      <c r="D318" s="2"/>
      <c r="E318" s="64"/>
      <c r="F318" s="64"/>
      <c r="G318" s="64"/>
      <c r="H318" s="64"/>
      <c r="I318" s="2"/>
      <c r="J318" s="2"/>
      <c r="K318" s="2"/>
      <c r="L318" s="2"/>
      <c r="M318" s="2"/>
      <c r="N318" s="2"/>
      <c r="O318" s="2"/>
      <c r="P318" s="66"/>
      <c r="Q318" s="66"/>
      <c r="R318" s="2"/>
      <c r="S318" s="2"/>
      <c r="T318" s="2"/>
    </row>
    <row r="319" spans="1:20">
      <c r="A319" s="3"/>
      <c r="B319" s="3"/>
      <c r="C319" s="2"/>
      <c r="D319" s="2"/>
      <c r="E319" s="64"/>
      <c r="F319" s="64"/>
      <c r="G319" s="64"/>
      <c r="H319" s="64"/>
      <c r="I319" s="2"/>
      <c r="J319" s="2"/>
      <c r="K319" s="2"/>
      <c r="L319" s="2"/>
      <c r="M319" s="2"/>
      <c r="N319" s="2"/>
      <c r="O319" s="2"/>
      <c r="P319" s="66"/>
      <c r="Q319" s="66"/>
      <c r="R319" s="2"/>
      <c r="S319" s="2"/>
      <c r="T319" s="2"/>
    </row>
    <row r="320" spans="1:20">
      <c r="A320" s="3"/>
      <c r="B320" s="3"/>
      <c r="C320" s="2"/>
      <c r="D320" s="2"/>
      <c r="E320" s="64"/>
      <c r="F320" s="64"/>
      <c r="G320" s="64"/>
      <c r="H320" s="64"/>
      <c r="I320" s="2"/>
      <c r="J320" s="2"/>
      <c r="K320" s="2"/>
      <c r="L320" s="2"/>
      <c r="M320" s="2"/>
      <c r="N320" s="2"/>
      <c r="O320" s="2"/>
      <c r="P320" s="66"/>
      <c r="Q320" s="66"/>
      <c r="R320" s="2"/>
      <c r="S320" s="2"/>
      <c r="T320" s="2"/>
    </row>
    <row r="321" spans="1:20">
      <c r="A321" s="3"/>
      <c r="B321" s="3"/>
      <c r="C321" s="2"/>
      <c r="D321" s="2"/>
      <c r="E321" s="64"/>
      <c r="F321" s="64"/>
      <c r="G321" s="64"/>
      <c r="H321" s="64"/>
      <c r="I321" s="2"/>
      <c r="J321" s="2"/>
      <c r="K321" s="2"/>
      <c r="L321" s="2"/>
      <c r="M321" s="2"/>
      <c r="N321" s="2"/>
      <c r="O321" s="2"/>
      <c r="P321" s="66"/>
      <c r="Q321" s="66"/>
      <c r="R321" s="2"/>
      <c r="S321" s="2"/>
      <c r="T321" s="2"/>
    </row>
    <row r="322" spans="1:20">
      <c r="A322" s="3"/>
      <c r="B322" s="3"/>
      <c r="C322" s="2"/>
      <c r="D322" s="2"/>
      <c r="E322" s="64"/>
      <c r="F322" s="64"/>
      <c r="G322" s="64"/>
      <c r="H322" s="64"/>
      <c r="I322" s="2"/>
      <c r="J322" s="2"/>
      <c r="K322" s="2"/>
      <c r="L322" s="2"/>
      <c r="M322" s="2"/>
      <c r="N322" s="2"/>
      <c r="O322" s="2"/>
      <c r="P322" s="66"/>
      <c r="Q322" s="66"/>
      <c r="R322" s="2"/>
      <c r="S322" s="2"/>
      <c r="T322" s="2"/>
    </row>
    <row r="323" spans="1:20">
      <c r="A323" s="3"/>
      <c r="B323" s="3"/>
      <c r="C323" s="2"/>
      <c r="D323" s="2"/>
      <c r="E323" s="64"/>
      <c r="F323" s="64"/>
      <c r="G323" s="64"/>
      <c r="H323" s="64"/>
      <c r="I323" s="2"/>
      <c r="J323" s="2"/>
      <c r="K323" s="2"/>
      <c r="L323" s="2"/>
      <c r="M323" s="2"/>
      <c r="N323" s="2"/>
      <c r="O323" s="2"/>
      <c r="P323" s="66"/>
      <c r="Q323" s="66"/>
      <c r="R323" s="2"/>
      <c r="S323" s="2"/>
      <c r="T323" s="2"/>
    </row>
    <row r="324" spans="1:20">
      <c r="A324" s="3"/>
      <c r="B324" s="3"/>
      <c r="C324" s="2"/>
      <c r="D324" s="2"/>
      <c r="E324" s="64"/>
      <c r="F324" s="64"/>
      <c r="G324" s="64"/>
      <c r="H324" s="64"/>
      <c r="I324" s="2"/>
      <c r="J324" s="2"/>
      <c r="K324" s="2"/>
      <c r="L324" s="2"/>
      <c r="M324" s="2"/>
      <c r="N324" s="2"/>
      <c r="O324" s="2"/>
      <c r="P324" s="66"/>
      <c r="Q324" s="66"/>
      <c r="R324" s="2"/>
      <c r="S324" s="2"/>
      <c r="T324" s="2"/>
    </row>
    <row r="325" spans="1:20">
      <c r="A325" s="3"/>
      <c r="B325" s="3"/>
      <c r="C325" s="2"/>
      <c r="D325" s="2"/>
      <c r="E325" s="64"/>
      <c r="F325" s="64"/>
      <c r="G325" s="64"/>
      <c r="H325" s="64"/>
      <c r="I325" s="2"/>
      <c r="J325" s="2"/>
      <c r="K325" s="2"/>
      <c r="L325" s="2"/>
      <c r="M325" s="2"/>
      <c r="N325" s="2"/>
      <c r="O325" s="2"/>
      <c r="P325" s="66"/>
      <c r="Q325" s="66"/>
      <c r="R325" s="2"/>
      <c r="S325" s="2"/>
      <c r="T325" s="2"/>
    </row>
    <row r="326" spans="1:20">
      <c r="A326" s="3"/>
      <c r="B326" s="3"/>
      <c r="C326" s="2"/>
      <c r="D326" s="2"/>
      <c r="E326" s="64"/>
      <c r="F326" s="64"/>
      <c r="G326" s="64"/>
      <c r="H326" s="64"/>
      <c r="I326" s="2"/>
      <c r="J326" s="2"/>
      <c r="K326" s="2"/>
      <c r="L326" s="2"/>
      <c r="M326" s="2"/>
      <c r="N326" s="2"/>
      <c r="O326" s="2"/>
      <c r="P326" s="66"/>
      <c r="Q326" s="66"/>
      <c r="R326" s="2"/>
      <c r="S326" s="2"/>
      <c r="T326" s="2"/>
    </row>
    <row r="327" spans="1:20">
      <c r="A327" s="3"/>
      <c r="B327" s="3"/>
      <c r="C327" s="2"/>
      <c r="D327" s="2"/>
      <c r="E327" s="64"/>
      <c r="F327" s="64"/>
      <c r="G327" s="64"/>
      <c r="H327" s="64"/>
      <c r="I327" s="2"/>
      <c r="J327" s="2"/>
      <c r="K327" s="2"/>
      <c r="L327" s="2"/>
      <c r="M327" s="2"/>
      <c r="N327" s="2"/>
      <c r="O327" s="2"/>
      <c r="P327" s="66"/>
      <c r="Q327" s="66"/>
      <c r="R327" s="2"/>
      <c r="S327" s="2"/>
      <c r="T327" s="2"/>
    </row>
    <row r="328" spans="1:20">
      <c r="A328" s="3"/>
      <c r="B328" s="3"/>
      <c r="C328" s="2"/>
      <c r="D328" s="2"/>
      <c r="E328" s="64"/>
      <c r="F328" s="64"/>
      <c r="G328" s="64"/>
      <c r="H328" s="64"/>
      <c r="I328" s="2"/>
      <c r="J328" s="2"/>
      <c r="K328" s="2"/>
      <c r="L328" s="2"/>
      <c r="M328" s="2"/>
      <c r="N328" s="2"/>
      <c r="O328" s="2"/>
      <c r="P328" s="66"/>
      <c r="Q328" s="66"/>
      <c r="R328" s="2"/>
      <c r="S328" s="2"/>
      <c r="T328" s="2"/>
    </row>
    <row r="329" spans="1:20">
      <c r="A329" s="3"/>
      <c r="B329" s="3"/>
      <c r="C329" s="2"/>
      <c r="D329" s="2"/>
      <c r="E329" s="64"/>
      <c r="F329" s="64"/>
      <c r="G329" s="64"/>
      <c r="H329" s="64"/>
      <c r="I329" s="2"/>
      <c r="J329" s="2"/>
      <c r="K329" s="2"/>
      <c r="L329" s="2"/>
      <c r="M329" s="2"/>
      <c r="N329" s="2"/>
      <c r="O329" s="2"/>
      <c r="P329" s="66"/>
      <c r="Q329" s="66"/>
      <c r="R329" s="2"/>
      <c r="S329" s="2"/>
      <c r="T329" s="2"/>
    </row>
    <row r="330" spans="1:20">
      <c r="A330" s="3"/>
      <c r="B330" s="3"/>
      <c r="C330" s="2"/>
      <c r="D330" s="2"/>
      <c r="E330" s="64"/>
      <c r="F330" s="64"/>
      <c r="G330" s="64"/>
      <c r="H330" s="64"/>
      <c r="I330" s="2"/>
      <c r="J330" s="2"/>
      <c r="K330" s="2"/>
      <c r="L330" s="2"/>
      <c r="M330" s="2"/>
      <c r="N330" s="2"/>
      <c r="O330" s="2"/>
      <c r="P330" s="66"/>
      <c r="Q330" s="66"/>
      <c r="R330" s="2"/>
      <c r="S330" s="2"/>
      <c r="T330" s="2"/>
    </row>
    <row r="331" spans="1:20">
      <c r="A331" s="3"/>
      <c r="B331" s="3"/>
      <c r="C331" s="2"/>
      <c r="D331" s="2"/>
      <c r="E331" s="64"/>
      <c r="F331" s="64"/>
      <c r="G331" s="64"/>
      <c r="H331" s="64"/>
      <c r="I331" s="2"/>
      <c r="J331" s="2"/>
      <c r="K331" s="2"/>
      <c r="L331" s="2"/>
      <c r="M331" s="2"/>
      <c r="N331" s="2"/>
      <c r="O331" s="2"/>
      <c r="P331" s="66"/>
      <c r="Q331" s="66"/>
      <c r="R331" s="2"/>
      <c r="S331" s="2"/>
      <c r="T331" s="2"/>
    </row>
    <row r="332" spans="1:20">
      <c r="A332" s="3"/>
      <c r="B332" s="3"/>
      <c r="C332" s="2"/>
      <c r="D332" s="2"/>
      <c r="E332" s="64"/>
      <c r="F332" s="64"/>
      <c r="G332" s="64"/>
      <c r="H332" s="64"/>
      <c r="I332" s="2"/>
      <c r="J332" s="2"/>
      <c r="K332" s="2"/>
      <c r="L332" s="2"/>
      <c r="M332" s="2"/>
      <c r="N332" s="2"/>
      <c r="O332" s="2"/>
      <c r="P332" s="66"/>
      <c r="Q332" s="66"/>
      <c r="R332" s="2"/>
      <c r="S332" s="2"/>
      <c r="T332" s="2"/>
    </row>
    <row r="333" spans="1:20">
      <c r="A333" s="3"/>
      <c r="B333" s="3"/>
      <c r="C333" s="2"/>
      <c r="D333" s="2"/>
      <c r="E333" s="64"/>
      <c r="F333" s="64"/>
      <c r="G333" s="64"/>
      <c r="H333" s="64"/>
      <c r="I333" s="2"/>
      <c r="J333" s="2"/>
      <c r="K333" s="2"/>
      <c r="L333" s="2"/>
      <c r="M333" s="2"/>
      <c r="N333" s="2"/>
      <c r="O333" s="2"/>
      <c r="P333" s="66"/>
      <c r="Q333" s="66"/>
      <c r="R333" s="2"/>
      <c r="S333" s="2"/>
      <c r="T333" s="2"/>
    </row>
    <row r="334" spans="1:20">
      <c r="A334" s="3"/>
      <c r="B334" s="3"/>
      <c r="C334" s="2"/>
      <c r="D334" s="2"/>
      <c r="E334" s="64"/>
      <c r="F334" s="64"/>
      <c r="G334" s="64"/>
      <c r="H334" s="64"/>
      <c r="I334" s="2"/>
      <c r="J334" s="2"/>
      <c r="K334" s="2"/>
      <c r="L334" s="2"/>
      <c r="M334" s="2"/>
      <c r="N334" s="2"/>
      <c r="O334" s="2"/>
      <c r="P334" s="66"/>
      <c r="Q334" s="66"/>
      <c r="R334" s="2"/>
      <c r="S334" s="2"/>
      <c r="T334" s="2"/>
    </row>
    <row r="335" spans="1:20">
      <c r="A335" s="3"/>
      <c r="B335" s="3"/>
      <c r="C335" s="2"/>
      <c r="D335" s="2"/>
      <c r="E335" s="64"/>
      <c r="F335" s="64"/>
      <c r="G335" s="64"/>
      <c r="H335" s="64"/>
      <c r="I335" s="2"/>
      <c r="J335" s="2"/>
      <c r="K335" s="2"/>
      <c r="L335" s="2"/>
      <c r="M335" s="2"/>
      <c r="N335" s="2"/>
      <c r="O335" s="2"/>
      <c r="P335" s="66"/>
      <c r="Q335" s="66"/>
      <c r="R335" s="2"/>
      <c r="S335" s="2"/>
      <c r="T335" s="2"/>
    </row>
    <row r="336" spans="1:20">
      <c r="A336" s="3"/>
      <c r="B336" s="3"/>
      <c r="C336" s="2"/>
      <c r="D336" s="2"/>
      <c r="E336" s="64"/>
      <c r="F336" s="64"/>
      <c r="G336" s="64"/>
      <c r="H336" s="64"/>
      <c r="I336" s="2"/>
      <c r="J336" s="2"/>
      <c r="K336" s="2"/>
      <c r="L336" s="2"/>
      <c r="M336" s="2"/>
      <c r="N336" s="2"/>
      <c r="O336" s="2"/>
      <c r="P336" s="66"/>
      <c r="Q336" s="66"/>
      <c r="R336" s="2"/>
      <c r="S336" s="2"/>
      <c r="T336" s="2"/>
    </row>
    <row r="337" spans="1:20">
      <c r="A337" s="3"/>
      <c r="B337" s="3"/>
      <c r="C337" s="2"/>
      <c r="D337" s="2"/>
      <c r="E337" s="64"/>
      <c r="F337" s="64"/>
      <c r="G337" s="64"/>
      <c r="H337" s="64"/>
      <c r="I337" s="2"/>
      <c r="J337" s="2"/>
      <c r="K337" s="2"/>
      <c r="L337" s="2"/>
      <c r="M337" s="2"/>
      <c r="N337" s="2"/>
      <c r="O337" s="2"/>
      <c r="P337" s="66"/>
      <c r="Q337" s="66"/>
      <c r="R337" s="2"/>
      <c r="S337" s="2"/>
      <c r="T337" s="2"/>
    </row>
    <row r="338" spans="1:20">
      <c r="A338" s="3"/>
      <c r="B338" s="3"/>
      <c r="C338" s="2"/>
      <c r="D338" s="2"/>
      <c r="E338" s="64"/>
      <c r="F338" s="64"/>
      <c r="G338" s="64"/>
      <c r="H338" s="64"/>
      <c r="I338" s="2"/>
      <c r="J338" s="2"/>
      <c r="K338" s="2"/>
      <c r="L338" s="2"/>
      <c r="M338" s="2"/>
      <c r="N338" s="2"/>
      <c r="O338" s="2"/>
      <c r="P338" s="66"/>
      <c r="Q338" s="66"/>
      <c r="R338" s="2"/>
      <c r="S338" s="2"/>
      <c r="T338" s="2"/>
    </row>
    <row r="339" spans="1:20">
      <c r="A339" s="3"/>
      <c r="B339" s="3"/>
      <c r="C339" s="2"/>
      <c r="D339" s="2"/>
      <c r="E339" s="64"/>
      <c r="F339" s="64"/>
      <c r="G339" s="64"/>
      <c r="H339" s="64"/>
      <c r="I339" s="2"/>
      <c r="J339" s="2"/>
      <c r="K339" s="2"/>
      <c r="L339" s="2"/>
      <c r="M339" s="2"/>
      <c r="N339" s="2"/>
      <c r="O339" s="2"/>
      <c r="P339" s="66"/>
      <c r="Q339" s="66"/>
      <c r="R339" s="2"/>
      <c r="S339" s="2"/>
      <c r="T339" s="2"/>
    </row>
    <row r="340" spans="1:20">
      <c r="A340" s="3"/>
      <c r="B340" s="3"/>
      <c r="C340" s="2"/>
      <c r="D340" s="2"/>
      <c r="E340" s="64"/>
      <c r="F340" s="64"/>
      <c r="G340" s="64"/>
      <c r="H340" s="64"/>
      <c r="I340" s="2"/>
      <c r="J340" s="2"/>
      <c r="K340" s="2"/>
      <c r="L340" s="2"/>
      <c r="M340" s="2"/>
      <c r="N340" s="2"/>
      <c r="O340" s="2"/>
      <c r="P340" s="66"/>
      <c r="Q340" s="66"/>
      <c r="R340" s="2"/>
      <c r="S340" s="2"/>
      <c r="T340" s="2"/>
    </row>
    <row r="341" spans="1:20">
      <c r="A341" s="3"/>
      <c r="B341" s="3"/>
      <c r="C341" s="2"/>
      <c r="D341" s="2"/>
      <c r="E341" s="64"/>
      <c r="F341" s="64"/>
      <c r="G341" s="64"/>
      <c r="H341" s="64"/>
      <c r="I341" s="2"/>
      <c r="J341" s="2"/>
      <c r="K341" s="2"/>
      <c r="L341" s="2"/>
      <c r="M341" s="2"/>
      <c r="N341" s="2"/>
      <c r="O341" s="2"/>
      <c r="P341" s="66"/>
      <c r="Q341" s="66"/>
      <c r="R341" s="2"/>
      <c r="S341" s="2"/>
      <c r="T341" s="2"/>
    </row>
    <row r="342" spans="1:20">
      <c r="A342" s="3"/>
      <c r="B342" s="3"/>
      <c r="C342" s="2"/>
      <c r="D342" s="2"/>
      <c r="E342" s="64"/>
      <c r="F342" s="64"/>
      <c r="G342" s="64"/>
      <c r="H342" s="64"/>
      <c r="I342" s="2"/>
      <c r="J342" s="2"/>
      <c r="K342" s="2"/>
      <c r="L342" s="2"/>
      <c r="M342" s="2"/>
      <c r="N342" s="2"/>
      <c r="O342" s="2"/>
      <c r="P342" s="66"/>
      <c r="Q342" s="66"/>
      <c r="R342" s="2"/>
      <c r="S342" s="2"/>
      <c r="T342" s="2"/>
    </row>
    <row r="343" spans="1:20">
      <c r="A343" s="3"/>
      <c r="B343" s="3"/>
      <c r="C343" s="2"/>
      <c r="D343" s="2"/>
      <c r="E343" s="64"/>
      <c r="F343" s="64"/>
      <c r="G343" s="64"/>
      <c r="H343" s="64"/>
      <c r="I343" s="2"/>
      <c r="J343" s="2"/>
      <c r="K343" s="2"/>
      <c r="L343" s="2"/>
      <c r="M343" s="2"/>
      <c r="N343" s="2"/>
      <c r="O343" s="2"/>
      <c r="P343" s="66"/>
      <c r="Q343" s="66"/>
      <c r="R343" s="2"/>
      <c r="S343" s="2"/>
      <c r="T343" s="2"/>
    </row>
    <row r="344" spans="1:20">
      <c r="A344" s="3"/>
      <c r="B344" s="3"/>
      <c r="C344" s="2"/>
      <c r="D344" s="2"/>
      <c r="E344" s="64"/>
      <c r="F344" s="64"/>
      <c r="G344" s="64"/>
      <c r="H344" s="64"/>
      <c r="I344" s="2"/>
      <c r="J344" s="2"/>
      <c r="K344" s="2"/>
      <c r="L344" s="2"/>
      <c r="M344" s="2"/>
      <c r="N344" s="2"/>
      <c r="O344" s="2"/>
      <c r="P344" s="66"/>
      <c r="Q344" s="66"/>
      <c r="R344" s="2"/>
      <c r="S344" s="2"/>
      <c r="T344" s="2"/>
    </row>
    <row r="345" spans="1:20">
      <c r="A345" s="3"/>
      <c r="B345" s="3"/>
      <c r="C345" s="2"/>
      <c r="D345" s="2"/>
      <c r="E345" s="64"/>
      <c r="F345" s="64"/>
      <c r="G345" s="64"/>
      <c r="H345" s="64"/>
      <c r="I345" s="2"/>
      <c r="J345" s="2"/>
      <c r="K345" s="2"/>
      <c r="L345" s="2"/>
      <c r="M345" s="2"/>
      <c r="N345" s="2"/>
      <c r="O345" s="2"/>
      <c r="P345" s="66"/>
      <c r="Q345" s="66"/>
      <c r="R345" s="2"/>
      <c r="S345" s="2"/>
      <c r="T345" s="2"/>
    </row>
    <row r="346" spans="1:20">
      <c r="A346" s="3"/>
      <c r="B346" s="3"/>
      <c r="C346" s="2"/>
      <c r="D346" s="2"/>
      <c r="E346" s="64"/>
      <c r="F346" s="64"/>
      <c r="G346" s="64"/>
      <c r="H346" s="64"/>
      <c r="I346" s="2"/>
      <c r="J346" s="2"/>
      <c r="K346" s="2"/>
      <c r="L346" s="2"/>
      <c r="M346" s="2"/>
      <c r="N346" s="2"/>
      <c r="O346" s="2"/>
      <c r="P346" s="66"/>
      <c r="Q346" s="66"/>
      <c r="R346" s="2"/>
      <c r="S346" s="2"/>
      <c r="T346" s="2"/>
    </row>
    <row r="347" spans="1:20">
      <c r="A347" s="3"/>
      <c r="B347" s="3"/>
      <c r="C347" s="2"/>
      <c r="D347" s="2"/>
      <c r="E347" s="64"/>
      <c r="F347" s="64"/>
      <c r="G347" s="64"/>
      <c r="H347" s="64"/>
      <c r="I347" s="2"/>
      <c r="J347" s="2"/>
      <c r="K347" s="2"/>
      <c r="L347" s="2"/>
      <c r="M347" s="2"/>
      <c r="N347" s="2"/>
      <c r="O347" s="2"/>
      <c r="P347" s="66"/>
      <c r="Q347" s="66"/>
      <c r="R347" s="2"/>
      <c r="S347" s="2"/>
      <c r="T347" s="2"/>
    </row>
    <row r="348" spans="1:20">
      <c r="A348" s="3"/>
      <c r="B348" s="3"/>
      <c r="C348" s="2"/>
      <c r="D348" s="2"/>
      <c r="E348" s="64"/>
      <c r="F348" s="64"/>
      <c r="G348" s="64"/>
      <c r="H348" s="64"/>
      <c r="I348" s="2"/>
      <c r="J348" s="2"/>
      <c r="K348" s="2"/>
      <c r="L348" s="2"/>
      <c r="M348" s="2"/>
      <c r="N348" s="2"/>
      <c r="O348" s="2"/>
      <c r="P348" s="66"/>
      <c r="Q348" s="66"/>
      <c r="R348" s="2"/>
      <c r="S348" s="2"/>
      <c r="T348" s="2"/>
    </row>
    <row r="349" spans="1:20">
      <c r="A349" s="3"/>
      <c r="B349" s="3"/>
      <c r="C349" s="2"/>
      <c r="D349" s="2"/>
      <c r="E349" s="64"/>
      <c r="F349" s="64"/>
      <c r="G349" s="64"/>
      <c r="H349" s="64"/>
      <c r="I349" s="2"/>
      <c r="J349" s="2"/>
      <c r="K349" s="2"/>
      <c r="L349" s="2"/>
      <c r="M349" s="2"/>
      <c r="N349" s="2"/>
      <c r="O349" s="2"/>
      <c r="P349" s="66"/>
      <c r="Q349" s="66"/>
      <c r="R349" s="2"/>
      <c r="S349" s="2"/>
      <c r="T349" s="2"/>
    </row>
    <row r="350" spans="1:20">
      <c r="A350" s="3"/>
      <c r="B350" s="3"/>
      <c r="C350" s="2"/>
      <c r="D350" s="2"/>
      <c r="E350" s="64"/>
      <c r="F350" s="64"/>
      <c r="G350" s="64"/>
      <c r="H350" s="64"/>
      <c r="I350" s="2"/>
      <c r="J350" s="2"/>
      <c r="K350" s="2"/>
      <c r="L350" s="2"/>
      <c r="M350" s="2"/>
      <c r="N350" s="2"/>
      <c r="O350" s="2"/>
      <c r="P350" s="66"/>
      <c r="Q350" s="66"/>
      <c r="R350" s="2"/>
      <c r="S350" s="2"/>
      <c r="T350" s="2"/>
    </row>
    <row r="351" spans="1:20">
      <c r="A351" s="3"/>
      <c r="B351" s="3"/>
      <c r="C351" s="2"/>
      <c r="D351" s="2"/>
      <c r="E351" s="64"/>
      <c r="F351" s="64"/>
      <c r="G351" s="64"/>
      <c r="H351" s="64"/>
      <c r="I351" s="2"/>
      <c r="J351" s="2"/>
      <c r="K351" s="2"/>
      <c r="L351" s="2"/>
      <c r="M351" s="2"/>
      <c r="N351" s="2"/>
      <c r="O351" s="2"/>
      <c r="P351" s="66"/>
      <c r="Q351" s="66"/>
      <c r="R351" s="2"/>
      <c r="S351" s="2"/>
      <c r="T351" s="2"/>
    </row>
    <row r="352" spans="1:20">
      <c r="A352" s="3"/>
      <c r="B352" s="3"/>
      <c r="C352" s="2"/>
      <c r="D352" s="2"/>
      <c r="E352" s="64"/>
      <c r="F352" s="64"/>
      <c r="G352" s="64"/>
      <c r="H352" s="64"/>
      <c r="I352" s="2"/>
      <c r="J352" s="2"/>
      <c r="K352" s="2"/>
      <c r="L352" s="2"/>
      <c r="M352" s="2"/>
      <c r="N352" s="2"/>
      <c r="O352" s="2"/>
      <c r="P352" s="66"/>
      <c r="Q352" s="66"/>
      <c r="R352" s="2"/>
      <c r="S352" s="2"/>
      <c r="T352" s="2"/>
    </row>
    <row r="353" spans="1:20">
      <c r="A353" s="3"/>
      <c r="B353" s="3"/>
      <c r="C353" s="2"/>
      <c r="D353" s="2"/>
      <c r="E353" s="64"/>
      <c r="F353" s="64"/>
      <c r="G353" s="64"/>
      <c r="H353" s="64"/>
      <c r="I353" s="2"/>
      <c r="J353" s="2"/>
      <c r="K353" s="2"/>
      <c r="L353" s="2"/>
      <c r="M353" s="2"/>
      <c r="N353" s="2"/>
      <c r="O353" s="2"/>
      <c r="P353" s="66"/>
      <c r="Q353" s="66"/>
      <c r="R353" s="2"/>
      <c r="S353" s="2"/>
      <c r="T353" s="2"/>
    </row>
    <row r="354" spans="1:20">
      <c r="A354" s="3"/>
      <c r="B354" s="3"/>
      <c r="C354" s="2"/>
      <c r="D354" s="2"/>
      <c r="E354" s="64"/>
      <c r="F354" s="64"/>
      <c r="G354" s="64"/>
      <c r="H354" s="64"/>
      <c r="I354" s="2"/>
      <c r="J354" s="2"/>
      <c r="K354" s="2"/>
      <c r="L354" s="2"/>
      <c r="M354" s="2"/>
      <c r="N354" s="2"/>
      <c r="O354" s="2"/>
      <c r="P354" s="66"/>
      <c r="Q354" s="66"/>
      <c r="R354" s="2"/>
      <c r="S354" s="2"/>
      <c r="T354" s="2"/>
    </row>
    <row r="355" spans="1:20">
      <c r="A355" s="3"/>
      <c r="B355" s="3"/>
      <c r="C355" s="2"/>
      <c r="D355" s="2"/>
      <c r="E355" s="64"/>
      <c r="F355" s="64"/>
      <c r="G355" s="64"/>
      <c r="H355" s="64"/>
      <c r="I355" s="2"/>
      <c r="J355" s="2"/>
      <c r="K355" s="2"/>
      <c r="L355" s="2"/>
      <c r="M355" s="2"/>
      <c r="N355" s="2"/>
      <c r="O355" s="2"/>
      <c r="P355" s="66"/>
      <c r="Q355" s="66"/>
      <c r="R355" s="2"/>
      <c r="S355" s="2"/>
      <c r="T355" s="2"/>
    </row>
    <row r="356" spans="1:20">
      <c r="A356" s="3"/>
      <c r="B356" s="3"/>
      <c r="C356" s="2"/>
      <c r="D356" s="2"/>
      <c r="E356" s="64"/>
      <c r="F356" s="64"/>
      <c r="G356" s="64"/>
      <c r="H356" s="64"/>
      <c r="I356" s="2"/>
      <c r="J356" s="2"/>
      <c r="K356" s="2"/>
      <c r="L356" s="2"/>
      <c r="M356" s="2"/>
      <c r="N356" s="2"/>
      <c r="O356" s="2"/>
      <c r="P356" s="66"/>
      <c r="Q356" s="66"/>
      <c r="R356" s="2"/>
      <c r="S356" s="2"/>
      <c r="T356" s="2"/>
    </row>
    <row r="357" spans="1:20">
      <c r="A357" s="3"/>
      <c r="B357" s="3"/>
      <c r="C357" s="2"/>
      <c r="D357" s="2"/>
      <c r="E357" s="64"/>
      <c r="F357" s="64"/>
      <c r="G357" s="64"/>
      <c r="H357" s="64"/>
      <c r="I357" s="2"/>
      <c r="J357" s="2"/>
      <c r="K357" s="2"/>
      <c r="L357" s="2"/>
      <c r="M357" s="2"/>
      <c r="N357" s="2"/>
      <c r="O357" s="2"/>
      <c r="P357" s="66"/>
      <c r="Q357" s="66"/>
      <c r="R357" s="2"/>
      <c r="S357" s="2"/>
      <c r="T357" s="2"/>
    </row>
    <row r="358" spans="1:20">
      <c r="A358" s="3"/>
      <c r="B358" s="3"/>
      <c r="C358" s="2"/>
      <c r="D358" s="2"/>
      <c r="E358" s="64"/>
      <c r="F358" s="64"/>
      <c r="G358" s="64"/>
      <c r="H358" s="64"/>
      <c r="I358" s="2"/>
      <c r="J358" s="2"/>
      <c r="K358" s="2"/>
      <c r="L358" s="2"/>
      <c r="M358" s="2"/>
      <c r="N358" s="2"/>
      <c r="O358" s="2"/>
      <c r="P358" s="66"/>
      <c r="Q358" s="66"/>
      <c r="R358" s="2"/>
      <c r="S358" s="2"/>
      <c r="T358" s="2"/>
    </row>
    <row r="359" spans="1:20">
      <c r="A359" s="3"/>
      <c r="B359" s="3"/>
      <c r="C359" s="2"/>
      <c r="D359" s="2"/>
      <c r="E359" s="64"/>
      <c r="F359" s="64"/>
      <c r="G359" s="64"/>
      <c r="H359" s="64"/>
      <c r="I359" s="2"/>
      <c r="J359" s="2"/>
      <c r="K359" s="2"/>
      <c r="L359" s="2"/>
      <c r="M359" s="2"/>
      <c r="N359" s="2"/>
      <c r="O359" s="2"/>
      <c r="P359" s="66"/>
      <c r="Q359" s="66"/>
      <c r="R359" s="2"/>
      <c r="S359" s="2"/>
      <c r="T359" s="2"/>
    </row>
    <row r="360" spans="1:20">
      <c r="A360" s="3"/>
      <c r="B360" s="3"/>
      <c r="C360" s="2"/>
      <c r="D360" s="2"/>
      <c r="E360" s="64"/>
      <c r="F360" s="64"/>
      <c r="G360" s="64"/>
      <c r="H360" s="64"/>
      <c r="I360" s="2"/>
      <c r="J360" s="2"/>
      <c r="K360" s="2"/>
      <c r="L360" s="2"/>
      <c r="M360" s="2"/>
      <c r="N360" s="2"/>
      <c r="O360" s="2"/>
      <c r="P360" s="66"/>
      <c r="Q360" s="66"/>
      <c r="R360" s="2"/>
      <c r="S360" s="2"/>
      <c r="T360" s="2"/>
    </row>
    <row r="361" spans="1:20">
      <c r="A361" s="3"/>
      <c r="B361" s="3"/>
      <c r="C361" s="2"/>
      <c r="D361" s="2"/>
      <c r="E361" s="64"/>
      <c r="F361" s="64"/>
      <c r="G361" s="64"/>
      <c r="H361" s="64"/>
      <c r="I361" s="2"/>
      <c r="J361" s="2"/>
      <c r="K361" s="2"/>
      <c r="L361" s="2"/>
      <c r="M361" s="2"/>
      <c r="N361" s="2"/>
      <c r="O361" s="2"/>
      <c r="P361" s="66"/>
      <c r="Q361" s="66"/>
      <c r="R361" s="2"/>
      <c r="S361" s="2"/>
      <c r="T361" s="2"/>
    </row>
    <row r="362" spans="1:20">
      <c r="A362" s="3"/>
      <c r="B362" s="3"/>
      <c r="C362" s="2"/>
      <c r="D362" s="2"/>
      <c r="E362" s="64"/>
      <c r="F362" s="64"/>
      <c r="G362" s="64"/>
      <c r="H362" s="64"/>
      <c r="I362" s="2"/>
      <c r="J362" s="2"/>
      <c r="K362" s="2"/>
      <c r="L362" s="2"/>
      <c r="M362" s="2"/>
      <c r="N362" s="2"/>
      <c r="O362" s="2"/>
      <c r="P362" s="66"/>
      <c r="Q362" s="66"/>
      <c r="R362" s="2"/>
      <c r="S362" s="2"/>
      <c r="T362" s="2"/>
    </row>
    <row r="363" spans="1:20">
      <c r="A363" s="3"/>
      <c r="B363" s="3"/>
      <c r="C363" s="2"/>
      <c r="D363" s="2"/>
      <c r="E363" s="64"/>
      <c r="F363" s="64"/>
      <c r="G363" s="64"/>
      <c r="H363" s="64"/>
      <c r="I363" s="2"/>
      <c r="J363" s="2"/>
      <c r="K363" s="2"/>
      <c r="L363" s="2"/>
      <c r="M363" s="2"/>
      <c r="N363" s="2"/>
      <c r="O363" s="2"/>
      <c r="P363" s="66"/>
      <c r="Q363" s="66"/>
      <c r="R363" s="2"/>
      <c r="S363" s="2"/>
      <c r="T363" s="2"/>
    </row>
    <row r="364" spans="1:20">
      <c r="A364" s="3"/>
      <c r="B364" s="3"/>
      <c r="C364" s="2"/>
      <c r="D364" s="2"/>
      <c r="E364" s="64"/>
      <c r="F364" s="64"/>
      <c r="G364" s="64"/>
      <c r="H364" s="64"/>
      <c r="I364" s="2"/>
      <c r="J364" s="2"/>
      <c r="K364" s="2"/>
      <c r="L364" s="2"/>
      <c r="M364" s="2"/>
      <c r="N364" s="2"/>
      <c r="O364" s="2"/>
      <c r="P364" s="66"/>
      <c r="Q364" s="66"/>
      <c r="R364" s="2"/>
      <c r="S364" s="2"/>
      <c r="T364" s="2"/>
    </row>
    <row r="365" spans="1:20">
      <c r="A365" s="3"/>
      <c r="B365" s="3"/>
      <c r="C365" s="2"/>
      <c r="D365" s="2"/>
      <c r="E365" s="64"/>
      <c r="F365" s="64"/>
      <c r="G365" s="64"/>
      <c r="H365" s="64"/>
      <c r="I365" s="2"/>
      <c r="J365" s="2"/>
      <c r="K365" s="2"/>
      <c r="L365" s="2"/>
      <c r="M365" s="2"/>
      <c r="N365" s="2"/>
      <c r="O365" s="2"/>
      <c r="P365" s="66"/>
      <c r="Q365" s="66"/>
      <c r="R365" s="2"/>
      <c r="S365" s="2"/>
      <c r="T365" s="2"/>
    </row>
    <row r="366" spans="1:20">
      <c r="A366" s="3"/>
      <c r="B366" s="3"/>
      <c r="C366" s="2"/>
      <c r="D366" s="2"/>
      <c r="E366" s="64"/>
      <c r="F366" s="64"/>
      <c r="G366" s="64"/>
      <c r="H366" s="64"/>
      <c r="I366" s="2"/>
      <c r="J366" s="2"/>
      <c r="K366" s="2"/>
      <c r="L366" s="2"/>
      <c r="M366" s="2"/>
      <c r="N366" s="2"/>
      <c r="O366" s="2"/>
      <c r="P366" s="66"/>
      <c r="Q366" s="66"/>
      <c r="R366" s="2"/>
      <c r="S366" s="2"/>
      <c r="T366" s="2"/>
    </row>
    <row r="367" spans="1:20">
      <c r="A367" s="3"/>
      <c r="B367" s="3"/>
      <c r="C367" s="2"/>
      <c r="D367" s="2"/>
      <c r="E367" s="64"/>
      <c r="F367" s="64"/>
      <c r="G367" s="64"/>
      <c r="H367" s="64"/>
      <c r="I367" s="2"/>
      <c r="J367" s="2"/>
      <c r="K367" s="2"/>
      <c r="L367" s="2"/>
      <c r="M367" s="2"/>
      <c r="N367" s="2"/>
      <c r="O367" s="2"/>
      <c r="P367" s="66"/>
      <c r="Q367" s="66"/>
      <c r="R367" s="2"/>
      <c r="S367" s="2"/>
      <c r="T367" s="2"/>
    </row>
    <row r="368" spans="1:20">
      <c r="A368" s="3"/>
      <c r="B368" s="3"/>
      <c r="C368" s="2"/>
      <c r="D368" s="2"/>
      <c r="E368" s="64"/>
      <c r="F368" s="64"/>
      <c r="G368" s="64"/>
      <c r="H368" s="64"/>
      <c r="I368" s="2"/>
      <c r="J368" s="2"/>
      <c r="K368" s="2"/>
      <c r="L368" s="2"/>
      <c r="M368" s="2"/>
      <c r="N368" s="2"/>
      <c r="O368" s="2"/>
      <c r="P368" s="66"/>
      <c r="Q368" s="66"/>
      <c r="R368" s="2"/>
      <c r="S368" s="2"/>
      <c r="T368" s="2"/>
    </row>
    <row r="369" spans="1:20">
      <c r="A369" s="3"/>
      <c r="B369" s="3"/>
      <c r="C369" s="2"/>
      <c r="D369" s="2"/>
      <c r="E369" s="64"/>
      <c r="F369" s="64"/>
      <c r="G369" s="64"/>
      <c r="H369" s="64"/>
      <c r="I369" s="2"/>
      <c r="J369" s="2"/>
      <c r="K369" s="2"/>
      <c r="L369" s="2"/>
      <c r="M369" s="2"/>
      <c r="N369" s="2"/>
      <c r="O369" s="2"/>
      <c r="P369" s="66"/>
      <c r="Q369" s="66"/>
      <c r="R369" s="2"/>
      <c r="S369" s="2"/>
      <c r="T369" s="2"/>
    </row>
    <row r="370" spans="1:20">
      <c r="A370" s="3"/>
      <c r="B370" s="3"/>
      <c r="C370" s="2"/>
      <c r="D370" s="2"/>
      <c r="E370" s="64"/>
      <c r="F370" s="64"/>
      <c r="G370" s="64"/>
      <c r="H370" s="64"/>
      <c r="I370" s="2"/>
      <c r="J370" s="2"/>
      <c r="K370" s="2"/>
      <c r="L370" s="2"/>
      <c r="M370" s="2"/>
      <c r="N370" s="2"/>
      <c r="O370" s="2"/>
      <c r="P370" s="66"/>
      <c r="Q370" s="66"/>
      <c r="R370" s="2"/>
      <c r="S370" s="2"/>
      <c r="T370" s="2"/>
    </row>
    <row r="371" spans="1:20">
      <c r="A371" s="3"/>
      <c r="B371" s="3"/>
      <c r="C371" s="2"/>
      <c r="D371" s="2"/>
      <c r="E371" s="64"/>
      <c r="F371" s="64"/>
      <c r="G371" s="64"/>
      <c r="H371" s="64"/>
      <c r="I371" s="2"/>
      <c r="J371" s="2"/>
      <c r="K371" s="2"/>
      <c r="L371" s="2"/>
      <c r="M371" s="2"/>
      <c r="N371" s="2"/>
      <c r="O371" s="2"/>
      <c r="P371" s="66"/>
      <c r="Q371" s="66"/>
      <c r="R371" s="2"/>
      <c r="S371" s="2"/>
      <c r="T371" s="2"/>
    </row>
    <row r="372" spans="1:20">
      <c r="A372" s="3"/>
      <c r="B372" s="3"/>
      <c r="C372" s="2"/>
      <c r="D372" s="2"/>
      <c r="E372" s="64"/>
      <c r="F372" s="64"/>
      <c r="G372" s="64"/>
      <c r="H372" s="64"/>
      <c r="I372" s="2"/>
      <c r="J372" s="2"/>
      <c r="K372" s="2"/>
      <c r="L372" s="2"/>
      <c r="M372" s="2"/>
      <c r="N372" s="2"/>
      <c r="O372" s="2"/>
      <c r="P372" s="66"/>
      <c r="Q372" s="66"/>
      <c r="R372" s="2"/>
      <c r="S372" s="2"/>
      <c r="T372" s="2"/>
    </row>
    <row r="373" spans="1:20">
      <c r="A373" s="3"/>
      <c r="B373" s="3"/>
      <c r="C373" s="2"/>
      <c r="D373" s="2"/>
      <c r="E373" s="64"/>
      <c r="F373" s="64"/>
      <c r="G373" s="64"/>
      <c r="H373" s="64"/>
      <c r="I373" s="2"/>
      <c r="J373" s="2"/>
      <c r="K373" s="2"/>
      <c r="L373" s="2"/>
      <c r="M373" s="2"/>
      <c r="N373" s="2"/>
      <c r="O373" s="2"/>
      <c r="P373" s="66"/>
      <c r="Q373" s="66"/>
      <c r="R373" s="2"/>
      <c r="S373" s="2"/>
      <c r="T373" s="2"/>
    </row>
    <row r="374" spans="1:20">
      <c r="A374" s="3"/>
      <c r="B374" s="3"/>
      <c r="C374" s="2"/>
      <c r="D374" s="2"/>
      <c r="E374" s="64"/>
      <c r="F374" s="64"/>
      <c r="G374" s="64"/>
      <c r="H374" s="64"/>
      <c r="I374" s="2"/>
      <c r="J374" s="2"/>
      <c r="K374" s="2"/>
      <c r="L374" s="2"/>
      <c r="M374" s="2"/>
      <c r="N374" s="2"/>
      <c r="O374" s="2"/>
      <c r="P374" s="66"/>
      <c r="Q374" s="66"/>
      <c r="R374" s="2"/>
      <c r="S374" s="2"/>
      <c r="T374" s="2"/>
    </row>
    <row r="375" spans="1:20">
      <c r="A375" s="3"/>
      <c r="B375" s="3"/>
      <c r="C375" s="2"/>
      <c r="D375" s="2"/>
      <c r="E375" s="64"/>
      <c r="F375" s="64"/>
      <c r="G375" s="64"/>
      <c r="H375" s="64"/>
      <c r="I375" s="2"/>
      <c r="J375" s="2"/>
      <c r="K375" s="2"/>
      <c r="L375" s="2"/>
      <c r="M375" s="2"/>
      <c r="N375" s="2"/>
      <c r="O375" s="2"/>
      <c r="P375" s="66"/>
      <c r="Q375" s="66"/>
      <c r="R375" s="2"/>
      <c r="S375" s="2"/>
      <c r="T375" s="2"/>
    </row>
    <row r="376" spans="1:20">
      <c r="A376" s="3"/>
      <c r="B376" s="3"/>
      <c r="C376" s="2"/>
      <c r="D376" s="2"/>
      <c r="E376" s="64"/>
      <c r="F376" s="64"/>
      <c r="G376" s="64"/>
      <c r="H376" s="64"/>
      <c r="I376" s="2"/>
      <c r="J376" s="2"/>
      <c r="K376" s="2"/>
      <c r="L376" s="2"/>
      <c r="M376" s="2"/>
      <c r="N376" s="2"/>
      <c r="O376" s="2"/>
      <c r="P376" s="66"/>
      <c r="Q376" s="66"/>
      <c r="R376" s="2"/>
      <c r="S376" s="2"/>
      <c r="T376" s="2"/>
    </row>
    <row r="377" spans="1:20">
      <c r="A377" s="3"/>
      <c r="B377" s="3"/>
      <c r="C377" s="2"/>
      <c r="D377" s="2"/>
      <c r="E377" s="64"/>
      <c r="F377" s="64"/>
      <c r="G377" s="64"/>
      <c r="H377" s="64"/>
      <c r="I377" s="2"/>
      <c r="J377" s="2"/>
      <c r="K377" s="2"/>
      <c r="L377" s="2"/>
      <c r="M377" s="2"/>
      <c r="N377" s="2"/>
      <c r="O377" s="2"/>
      <c r="P377" s="66"/>
      <c r="Q377" s="66"/>
      <c r="R377" s="2"/>
      <c r="S377" s="2"/>
      <c r="T377" s="2"/>
    </row>
    <row r="378" spans="1:20">
      <c r="A378" s="3"/>
      <c r="B378" s="3"/>
      <c r="C378" s="2"/>
      <c r="D378" s="2"/>
      <c r="E378" s="64"/>
      <c r="F378" s="64"/>
      <c r="G378" s="64"/>
      <c r="H378" s="64"/>
      <c r="I378" s="2"/>
      <c r="J378" s="2"/>
      <c r="K378" s="2"/>
      <c r="L378" s="2"/>
      <c r="M378" s="2"/>
      <c r="N378" s="2"/>
      <c r="O378" s="2"/>
      <c r="P378" s="66"/>
      <c r="Q378" s="66"/>
      <c r="R378" s="2"/>
      <c r="S378" s="2"/>
      <c r="T378" s="2"/>
    </row>
    <row r="379" spans="1:20">
      <c r="A379" s="3"/>
      <c r="B379" s="3"/>
      <c r="C379" s="2"/>
      <c r="D379" s="2"/>
      <c r="E379" s="64"/>
      <c r="F379" s="64"/>
      <c r="G379" s="64"/>
      <c r="H379" s="64"/>
      <c r="I379" s="2"/>
      <c r="J379" s="2"/>
      <c r="K379" s="2"/>
      <c r="L379" s="2"/>
      <c r="M379" s="2"/>
      <c r="N379" s="2"/>
      <c r="O379" s="2"/>
      <c r="P379" s="66"/>
      <c r="Q379" s="66"/>
      <c r="R379" s="2"/>
      <c r="S379" s="2"/>
      <c r="T379" s="2"/>
    </row>
    <row r="380" spans="1:20">
      <c r="A380" s="3"/>
      <c r="B380" s="3"/>
      <c r="C380" s="2"/>
      <c r="D380" s="2"/>
      <c r="E380" s="64"/>
      <c r="F380" s="64"/>
      <c r="G380" s="64"/>
      <c r="H380" s="64"/>
      <c r="I380" s="2"/>
      <c r="J380" s="2"/>
      <c r="K380" s="2"/>
      <c r="L380" s="2"/>
      <c r="M380" s="2"/>
      <c r="N380" s="2"/>
      <c r="O380" s="2"/>
      <c r="P380" s="66"/>
      <c r="Q380" s="66"/>
      <c r="R380" s="2"/>
      <c r="S380" s="2"/>
      <c r="T380" s="2"/>
    </row>
    <row r="381" spans="1:20">
      <c r="A381" s="3"/>
      <c r="B381" s="3"/>
      <c r="C381" s="2"/>
      <c r="D381" s="2"/>
      <c r="E381" s="64"/>
      <c r="F381" s="64"/>
      <c r="G381" s="64"/>
      <c r="H381" s="64"/>
      <c r="I381" s="2"/>
      <c r="J381" s="2"/>
      <c r="K381" s="2"/>
      <c r="L381" s="2"/>
      <c r="M381" s="2"/>
      <c r="N381" s="2"/>
      <c r="O381" s="2"/>
      <c r="P381" s="66"/>
      <c r="Q381" s="66"/>
      <c r="R381" s="2"/>
      <c r="S381" s="2"/>
      <c r="T381" s="2"/>
    </row>
    <row r="382" spans="1:20">
      <c r="A382" s="3"/>
      <c r="B382" s="3"/>
      <c r="C382" s="2"/>
      <c r="D382" s="2"/>
      <c r="E382" s="64"/>
      <c r="F382" s="64"/>
      <c r="G382" s="64"/>
      <c r="H382" s="64"/>
      <c r="I382" s="2"/>
      <c r="J382" s="2"/>
      <c r="K382" s="2"/>
      <c r="L382" s="2"/>
      <c r="M382" s="2"/>
      <c r="N382" s="2"/>
      <c r="O382" s="2"/>
      <c r="P382" s="66"/>
      <c r="Q382" s="66"/>
      <c r="R382" s="2"/>
      <c r="S382" s="2"/>
      <c r="T382" s="2"/>
    </row>
    <row r="383" spans="1:20">
      <c r="A383" s="3"/>
      <c r="B383" s="3"/>
      <c r="C383" s="2"/>
      <c r="D383" s="2"/>
      <c r="E383" s="64"/>
      <c r="F383" s="64"/>
      <c r="G383" s="64"/>
      <c r="H383" s="64"/>
      <c r="I383" s="2"/>
      <c r="J383" s="2"/>
      <c r="K383" s="2"/>
      <c r="L383" s="2"/>
      <c r="M383" s="2"/>
      <c r="N383" s="2"/>
      <c r="O383" s="2"/>
      <c r="P383" s="66"/>
      <c r="Q383" s="66"/>
      <c r="R383" s="2"/>
      <c r="S383" s="2"/>
      <c r="T383" s="2"/>
    </row>
    <row r="384" spans="1:20">
      <c r="A384" s="3"/>
      <c r="B384" s="3"/>
      <c r="C384" s="2"/>
      <c r="D384" s="2"/>
      <c r="E384" s="64"/>
      <c r="F384" s="64"/>
      <c r="G384" s="64"/>
      <c r="H384" s="64"/>
      <c r="I384" s="2"/>
      <c r="J384" s="2"/>
      <c r="K384" s="2"/>
      <c r="L384" s="2"/>
      <c r="M384" s="2"/>
      <c r="N384" s="2"/>
      <c r="O384" s="2"/>
      <c r="P384" s="66"/>
      <c r="Q384" s="66"/>
      <c r="R384" s="2"/>
      <c r="S384" s="2"/>
      <c r="T384" s="2"/>
    </row>
    <row r="385" spans="1:20">
      <c r="A385" s="3"/>
      <c r="B385" s="3"/>
      <c r="C385" s="2"/>
      <c r="D385" s="2"/>
      <c r="E385" s="64"/>
      <c r="F385" s="64"/>
      <c r="G385" s="64"/>
      <c r="H385" s="64"/>
      <c r="I385" s="2"/>
      <c r="J385" s="2"/>
      <c r="K385" s="2"/>
      <c r="L385" s="2"/>
      <c r="M385" s="2"/>
      <c r="N385" s="2"/>
      <c r="O385" s="2"/>
      <c r="P385" s="66"/>
      <c r="Q385" s="66"/>
      <c r="R385" s="2"/>
      <c r="S385" s="2"/>
      <c r="T385" s="2"/>
    </row>
    <row r="386" spans="1:20">
      <c r="A386" s="3"/>
      <c r="B386" s="3"/>
      <c r="C386" s="2"/>
      <c r="D386" s="2"/>
      <c r="E386" s="64"/>
      <c r="F386" s="64"/>
      <c r="G386" s="64"/>
      <c r="H386" s="64"/>
      <c r="I386" s="2"/>
      <c r="J386" s="2"/>
      <c r="K386" s="2"/>
      <c r="L386" s="2"/>
      <c r="M386" s="2"/>
      <c r="N386" s="2"/>
      <c r="O386" s="2"/>
      <c r="P386" s="66"/>
      <c r="Q386" s="66"/>
      <c r="R386" s="2"/>
      <c r="S386" s="2"/>
      <c r="T386" s="2"/>
    </row>
    <row r="387" spans="1:20">
      <c r="A387" s="3"/>
      <c r="B387" s="3"/>
      <c r="C387" s="2"/>
      <c r="D387" s="2"/>
      <c r="E387" s="64"/>
      <c r="F387" s="64"/>
      <c r="G387" s="64"/>
      <c r="H387" s="64"/>
      <c r="I387" s="2"/>
      <c r="J387" s="2"/>
      <c r="K387" s="2"/>
      <c r="L387" s="2"/>
      <c r="M387" s="2"/>
      <c r="N387" s="2"/>
      <c r="O387" s="2"/>
      <c r="P387" s="66"/>
      <c r="Q387" s="66"/>
      <c r="R387" s="2"/>
      <c r="S387" s="2"/>
      <c r="T387" s="2"/>
    </row>
    <row r="388" spans="1:20">
      <c r="A388" s="3"/>
      <c r="B388" s="3"/>
      <c r="C388" s="2"/>
      <c r="D388" s="2"/>
      <c r="E388" s="64"/>
      <c r="F388" s="64"/>
      <c r="G388" s="64"/>
      <c r="H388" s="64"/>
      <c r="I388" s="2"/>
      <c r="J388" s="2"/>
      <c r="K388" s="2"/>
      <c r="L388" s="2"/>
      <c r="M388" s="2"/>
      <c r="N388" s="2"/>
      <c r="O388" s="2"/>
      <c r="P388" s="66"/>
      <c r="Q388" s="66"/>
      <c r="R388" s="2"/>
      <c r="S388" s="2"/>
      <c r="T388" s="2"/>
    </row>
    <row r="389" spans="1:20">
      <c r="A389" s="3"/>
      <c r="B389" s="3"/>
      <c r="C389" s="2"/>
      <c r="D389" s="2"/>
      <c r="E389" s="64"/>
      <c r="F389" s="64"/>
      <c r="G389" s="64"/>
      <c r="H389" s="64"/>
      <c r="I389" s="2"/>
      <c r="J389" s="2"/>
      <c r="K389" s="2"/>
      <c r="L389" s="2"/>
      <c r="M389" s="2"/>
      <c r="N389" s="2"/>
      <c r="O389" s="2"/>
      <c r="P389" s="66"/>
      <c r="Q389" s="66"/>
      <c r="R389" s="2"/>
      <c r="S389" s="2"/>
      <c r="T389" s="2"/>
    </row>
    <row r="390" spans="1:20">
      <c r="A390" s="3"/>
      <c r="B390" s="3"/>
      <c r="C390" s="2"/>
      <c r="D390" s="2"/>
      <c r="E390" s="64"/>
      <c r="F390" s="64"/>
      <c r="G390" s="64"/>
      <c r="H390" s="64"/>
      <c r="I390" s="2"/>
      <c r="J390" s="2"/>
      <c r="K390" s="2"/>
      <c r="L390" s="2"/>
      <c r="M390" s="2"/>
      <c r="N390" s="2"/>
      <c r="O390" s="2"/>
      <c r="P390" s="66"/>
      <c r="Q390" s="66"/>
      <c r="R390" s="2"/>
      <c r="S390" s="2"/>
      <c r="T390" s="2"/>
    </row>
    <row r="391" spans="1:20">
      <c r="A391" s="3"/>
      <c r="B391" s="3"/>
      <c r="C391" s="2"/>
      <c r="D391" s="2"/>
      <c r="E391" s="64"/>
      <c r="F391" s="64"/>
      <c r="G391" s="64"/>
      <c r="H391" s="64"/>
      <c r="I391" s="2"/>
      <c r="J391" s="2"/>
      <c r="K391" s="2"/>
      <c r="L391" s="2"/>
      <c r="M391" s="2"/>
      <c r="N391" s="2"/>
      <c r="O391" s="2"/>
      <c r="P391" s="66"/>
      <c r="Q391" s="66"/>
      <c r="R391" s="2"/>
      <c r="S391" s="2"/>
      <c r="T391" s="2"/>
    </row>
    <row r="392" spans="1:20">
      <c r="A392" s="3"/>
      <c r="B392" s="3"/>
      <c r="C392" s="2"/>
      <c r="D392" s="2"/>
      <c r="E392" s="64"/>
      <c r="F392" s="64"/>
      <c r="G392" s="64"/>
      <c r="H392" s="64"/>
      <c r="I392" s="2"/>
      <c r="J392" s="2"/>
      <c r="K392" s="2"/>
      <c r="L392" s="2"/>
      <c r="M392" s="2"/>
      <c r="N392" s="2"/>
      <c r="O392" s="2"/>
      <c r="P392" s="66"/>
      <c r="Q392" s="66"/>
      <c r="R392" s="2"/>
      <c r="S392" s="2"/>
      <c r="T392" s="2"/>
    </row>
    <row r="393" spans="1:20">
      <c r="A393" s="3"/>
      <c r="B393" s="3"/>
      <c r="C393" s="2"/>
      <c r="D393" s="2"/>
      <c r="E393" s="64"/>
      <c r="F393" s="64"/>
      <c r="G393" s="64"/>
      <c r="H393" s="64"/>
      <c r="I393" s="2"/>
      <c r="J393" s="2"/>
      <c r="K393" s="2"/>
      <c r="L393" s="2"/>
      <c r="M393" s="2"/>
      <c r="N393" s="2"/>
      <c r="O393" s="2"/>
      <c r="P393" s="66"/>
      <c r="Q393" s="66"/>
      <c r="R393" s="2"/>
      <c r="S393" s="2"/>
      <c r="T393" s="2"/>
    </row>
    <row r="394" spans="1:20">
      <c r="A394" s="3"/>
      <c r="B394" s="3"/>
      <c r="C394" s="2"/>
      <c r="D394" s="2"/>
      <c r="E394" s="64"/>
      <c r="F394" s="64"/>
      <c r="G394" s="64"/>
      <c r="H394" s="64"/>
      <c r="I394" s="2"/>
      <c r="J394" s="2"/>
      <c r="K394" s="2"/>
      <c r="L394" s="2"/>
      <c r="M394" s="2"/>
      <c r="N394" s="2"/>
      <c r="O394" s="2"/>
      <c r="P394" s="66"/>
      <c r="Q394" s="66"/>
      <c r="R394" s="2"/>
      <c r="S394" s="2"/>
      <c r="T394" s="2"/>
    </row>
    <row r="395" spans="1:20">
      <c r="A395" s="3"/>
      <c r="B395" s="3"/>
      <c r="C395" s="2"/>
      <c r="D395" s="2"/>
      <c r="E395" s="64"/>
      <c r="F395" s="64"/>
      <c r="G395" s="64"/>
      <c r="H395" s="64"/>
      <c r="I395" s="2"/>
      <c r="J395" s="2"/>
      <c r="K395" s="2"/>
      <c r="L395" s="2"/>
      <c r="M395" s="2"/>
      <c r="N395" s="2"/>
      <c r="O395" s="2"/>
      <c r="P395" s="66"/>
      <c r="Q395" s="66"/>
      <c r="R395" s="2"/>
      <c r="S395" s="2"/>
      <c r="T395" s="2"/>
    </row>
    <row r="396" spans="1:20">
      <c r="A396" s="3"/>
      <c r="B396" s="3"/>
      <c r="C396" s="2"/>
      <c r="D396" s="2"/>
      <c r="E396" s="64"/>
      <c r="F396" s="64"/>
      <c r="G396" s="64"/>
      <c r="H396" s="64"/>
      <c r="I396" s="2"/>
      <c r="J396" s="2"/>
      <c r="K396" s="2"/>
      <c r="L396" s="2"/>
      <c r="M396" s="2"/>
      <c r="N396" s="2"/>
      <c r="O396" s="2"/>
      <c r="P396" s="66"/>
      <c r="Q396" s="66"/>
      <c r="R396" s="2"/>
      <c r="S396" s="2"/>
      <c r="T396" s="2"/>
    </row>
    <row r="397" spans="1:20">
      <c r="A397" s="3"/>
      <c r="B397" s="3"/>
      <c r="C397" s="2"/>
      <c r="D397" s="2"/>
      <c r="E397" s="64"/>
      <c r="F397" s="64"/>
      <c r="G397" s="64"/>
      <c r="H397" s="64"/>
      <c r="I397" s="2"/>
      <c r="J397" s="2"/>
      <c r="K397" s="2"/>
      <c r="L397" s="2"/>
      <c r="M397" s="2"/>
      <c r="N397" s="2"/>
      <c r="O397" s="2"/>
      <c r="P397" s="66"/>
      <c r="Q397" s="66"/>
      <c r="R397" s="2"/>
      <c r="S397" s="2"/>
      <c r="T397" s="2"/>
    </row>
    <row r="398" spans="1:20">
      <c r="A398" s="3"/>
      <c r="B398" s="3"/>
      <c r="C398" s="2"/>
      <c r="D398" s="2"/>
      <c r="E398" s="64"/>
      <c r="F398" s="64"/>
      <c r="G398" s="64"/>
      <c r="H398" s="64"/>
      <c r="I398" s="2"/>
      <c r="J398" s="2"/>
      <c r="K398" s="2"/>
      <c r="L398" s="2"/>
      <c r="M398" s="2"/>
      <c r="N398" s="2"/>
      <c r="O398" s="2"/>
      <c r="P398" s="66"/>
      <c r="Q398" s="66"/>
      <c r="R398" s="2"/>
      <c r="S398" s="2"/>
      <c r="T398" s="2"/>
    </row>
    <row r="399" spans="1:20">
      <c r="A399" s="3"/>
      <c r="B399" s="3"/>
      <c r="C399" s="2"/>
      <c r="D399" s="2"/>
      <c r="E399" s="64"/>
      <c r="F399" s="64"/>
      <c r="G399" s="64"/>
      <c r="H399" s="64"/>
      <c r="I399" s="2"/>
      <c r="J399" s="2"/>
      <c r="K399" s="2"/>
      <c r="L399" s="2"/>
      <c r="M399" s="2"/>
      <c r="N399" s="2"/>
      <c r="O399" s="2"/>
      <c r="P399" s="66"/>
      <c r="Q399" s="66"/>
      <c r="R399" s="2"/>
      <c r="S399" s="2"/>
      <c r="T399" s="2"/>
    </row>
    <row r="400" spans="1:20">
      <c r="A400" s="3"/>
      <c r="B400" s="3"/>
      <c r="C400" s="2"/>
      <c r="D400" s="2"/>
      <c r="E400" s="64"/>
      <c r="F400" s="64"/>
      <c r="G400" s="64"/>
      <c r="H400" s="64"/>
      <c r="I400" s="2"/>
      <c r="J400" s="2"/>
      <c r="K400" s="2"/>
      <c r="L400" s="2"/>
      <c r="M400" s="2"/>
      <c r="N400" s="2"/>
      <c r="O400" s="2"/>
      <c r="P400" s="66"/>
      <c r="Q400" s="66"/>
      <c r="R400" s="2"/>
      <c r="S400" s="2"/>
      <c r="T400" s="2"/>
    </row>
    <row r="401" spans="1:20">
      <c r="A401" s="3"/>
      <c r="B401" s="3"/>
      <c r="C401" s="2"/>
      <c r="D401" s="2"/>
      <c r="E401" s="64"/>
      <c r="F401" s="64"/>
      <c r="G401" s="64"/>
      <c r="H401" s="64"/>
      <c r="I401" s="2"/>
      <c r="J401" s="2"/>
      <c r="K401" s="2"/>
      <c r="L401" s="2"/>
      <c r="M401" s="2"/>
      <c r="N401" s="2"/>
      <c r="O401" s="2"/>
      <c r="P401" s="66"/>
      <c r="Q401" s="66"/>
      <c r="R401" s="2"/>
      <c r="S401" s="2"/>
      <c r="T401" s="2"/>
    </row>
    <row r="402" spans="1:20">
      <c r="A402" s="3"/>
      <c r="B402" s="3"/>
      <c r="C402" s="2"/>
      <c r="D402" s="2"/>
      <c r="E402" s="64"/>
      <c r="F402" s="64"/>
      <c r="G402" s="64"/>
      <c r="H402" s="64"/>
      <c r="I402" s="2"/>
      <c r="J402" s="2"/>
      <c r="K402" s="2"/>
      <c r="L402" s="2"/>
      <c r="M402" s="2"/>
      <c r="N402" s="2"/>
      <c r="O402" s="2"/>
      <c r="P402" s="66"/>
      <c r="Q402" s="66"/>
      <c r="R402" s="2"/>
      <c r="S402" s="2"/>
      <c r="T402" s="2"/>
    </row>
    <row r="403" spans="1:20">
      <c r="A403" s="3"/>
      <c r="B403" s="3"/>
      <c r="C403" s="2"/>
      <c r="D403" s="2"/>
      <c r="E403" s="64"/>
      <c r="F403" s="64"/>
      <c r="G403" s="64"/>
      <c r="H403" s="64"/>
      <c r="I403" s="2"/>
      <c r="J403" s="2"/>
      <c r="K403" s="2"/>
      <c r="L403" s="2"/>
      <c r="M403" s="2"/>
      <c r="N403" s="2"/>
      <c r="O403" s="2"/>
      <c r="P403" s="66"/>
      <c r="Q403" s="66"/>
      <c r="R403" s="2"/>
      <c r="S403" s="2"/>
      <c r="T403" s="2"/>
    </row>
    <row r="404" spans="1:20">
      <c r="A404" s="3"/>
      <c r="B404" s="3"/>
      <c r="C404" s="2"/>
      <c r="D404" s="2"/>
      <c r="E404" s="64"/>
      <c r="F404" s="64"/>
      <c r="G404" s="64"/>
      <c r="H404" s="64"/>
      <c r="I404" s="2"/>
      <c r="J404" s="2"/>
      <c r="K404" s="2"/>
      <c r="L404" s="2"/>
      <c r="M404" s="2"/>
      <c r="N404" s="2"/>
      <c r="O404" s="2"/>
      <c r="P404" s="66"/>
      <c r="Q404" s="66"/>
      <c r="R404" s="2"/>
      <c r="S404" s="2"/>
      <c r="T404" s="2"/>
    </row>
    <row r="405" spans="1:20">
      <c r="A405" s="3"/>
      <c r="B405" s="3"/>
      <c r="C405" s="2"/>
      <c r="D405" s="2"/>
      <c r="E405" s="64"/>
      <c r="F405" s="64"/>
      <c r="G405" s="64"/>
      <c r="H405" s="64"/>
      <c r="I405" s="2"/>
      <c r="J405" s="2"/>
      <c r="K405" s="2"/>
      <c r="L405" s="2"/>
      <c r="M405" s="2"/>
      <c r="N405" s="2"/>
      <c r="O405" s="2"/>
      <c r="P405" s="66"/>
      <c r="Q405" s="66"/>
      <c r="R405" s="2"/>
      <c r="S405" s="2"/>
      <c r="T405" s="2"/>
    </row>
    <row r="406" spans="1:20">
      <c r="A406" s="3"/>
      <c r="B406" s="3"/>
      <c r="C406" s="2"/>
      <c r="D406" s="2"/>
      <c r="E406" s="64"/>
      <c r="F406" s="64"/>
      <c r="G406" s="64"/>
      <c r="H406" s="64"/>
      <c r="I406" s="2"/>
      <c r="J406" s="2"/>
      <c r="K406" s="2"/>
      <c r="L406" s="2"/>
      <c r="M406" s="2"/>
      <c r="N406" s="2"/>
      <c r="O406" s="2"/>
      <c r="P406" s="66"/>
      <c r="Q406" s="66"/>
      <c r="R406" s="2"/>
      <c r="S406" s="2"/>
      <c r="T406" s="2"/>
    </row>
    <row r="407" spans="1:20">
      <c r="A407" s="3"/>
      <c r="B407" s="3"/>
      <c r="C407" s="2"/>
      <c r="D407" s="2"/>
      <c r="E407" s="64"/>
      <c r="F407" s="64"/>
      <c r="G407" s="64"/>
      <c r="H407" s="64"/>
      <c r="I407" s="2"/>
      <c r="J407" s="2"/>
      <c r="K407" s="2"/>
      <c r="L407" s="2"/>
      <c r="M407" s="2"/>
      <c r="N407" s="2"/>
      <c r="O407" s="2"/>
      <c r="P407" s="66"/>
      <c r="Q407" s="66"/>
      <c r="R407" s="2"/>
      <c r="S407" s="2"/>
      <c r="T407" s="2"/>
    </row>
    <row r="408" spans="1:20">
      <c r="A408" s="3"/>
      <c r="B408" s="3"/>
      <c r="C408" s="2"/>
      <c r="D408" s="2"/>
      <c r="E408" s="64"/>
      <c r="F408" s="64"/>
      <c r="G408" s="64"/>
      <c r="H408" s="64"/>
      <c r="I408" s="2"/>
      <c r="J408" s="2"/>
      <c r="K408" s="2"/>
      <c r="L408" s="2"/>
      <c r="M408" s="2"/>
      <c r="N408" s="2"/>
      <c r="O408" s="2"/>
      <c r="P408" s="66"/>
      <c r="Q408" s="66"/>
      <c r="R408" s="2"/>
      <c r="S408" s="2"/>
      <c r="T408" s="2"/>
    </row>
    <row r="409" spans="1:20">
      <c r="A409" s="3"/>
      <c r="B409" s="3"/>
      <c r="C409" s="2"/>
      <c r="D409" s="2"/>
      <c r="E409" s="64"/>
      <c r="F409" s="64"/>
      <c r="G409" s="64"/>
      <c r="H409" s="64"/>
      <c r="I409" s="2"/>
      <c r="J409" s="2"/>
      <c r="K409" s="2"/>
      <c r="L409" s="2"/>
      <c r="M409" s="2"/>
      <c r="N409" s="2"/>
      <c r="O409" s="2"/>
      <c r="P409" s="66"/>
      <c r="Q409" s="66"/>
      <c r="R409" s="2"/>
      <c r="S409" s="2"/>
      <c r="T409" s="2"/>
    </row>
    <row r="410" spans="1:20">
      <c r="A410" s="3"/>
      <c r="B410" s="3"/>
      <c r="C410" s="2"/>
      <c r="D410" s="2"/>
      <c r="E410" s="64"/>
      <c r="F410" s="64"/>
      <c r="G410" s="64"/>
      <c r="H410" s="64"/>
      <c r="I410" s="2"/>
      <c r="J410" s="2"/>
      <c r="K410" s="2"/>
      <c r="L410" s="2"/>
      <c r="M410" s="2"/>
      <c r="N410" s="2"/>
      <c r="O410" s="2"/>
      <c r="P410" s="66"/>
      <c r="Q410" s="66"/>
      <c r="R410" s="2"/>
      <c r="S410" s="2"/>
      <c r="T410" s="2"/>
    </row>
    <row r="411" spans="1:20">
      <c r="A411" s="3"/>
      <c r="B411" s="3"/>
      <c r="C411" s="2"/>
      <c r="D411" s="2"/>
      <c r="E411" s="64"/>
      <c r="F411" s="64"/>
      <c r="G411" s="64"/>
      <c r="H411" s="64"/>
      <c r="I411" s="2"/>
      <c r="J411" s="2"/>
      <c r="K411" s="2"/>
      <c r="L411" s="2"/>
      <c r="M411" s="2"/>
      <c r="N411" s="2"/>
      <c r="O411" s="2"/>
      <c r="P411" s="66"/>
      <c r="Q411" s="66"/>
      <c r="R411" s="2"/>
      <c r="S411" s="2"/>
      <c r="T411" s="2"/>
    </row>
    <row r="412" spans="1:20">
      <c r="A412" s="3"/>
      <c r="B412" s="3"/>
      <c r="C412" s="2"/>
      <c r="D412" s="2"/>
      <c r="E412" s="64"/>
      <c r="F412" s="64"/>
      <c r="G412" s="64"/>
      <c r="H412" s="64"/>
      <c r="I412" s="2"/>
      <c r="J412" s="2"/>
      <c r="K412" s="2"/>
      <c r="L412" s="2"/>
      <c r="M412" s="2"/>
      <c r="N412" s="2"/>
      <c r="O412" s="2"/>
      <c r="P412" s="66"/>
      <c r="Q412" s="66"/>
      <c r="R412" s="2"/>
      <c r="S412" s="2"/>
      <c r="T412" s="2"/>
    </row>
    <row r="413" spans="1:20">
      <c r="A413" s="3"/>
      <c r="B413" s="3"/>
      <c r="C413" s="2"/>
      <c r="D413" s="2"/>
      <c r="E413" s="64"/>
      <c r="F413" s="64"/>
      <c r="G413" s="64"/>
      <c r="H413" s="64"/>
      <c r="I413" s="2"/>
      <c r="J413" s="2"/>
      <c r="K413" s="2"/>
      <c r="L413" s="2"/>
      <c r="M413" s="2"/>
      <c r="N413" s="2"/>
      <c r="O413" s="2"/>
      <c r="P413" s="66"/>
      <c r="Q413" s="66"/>
      <c r="R413" s="2"/>
      <c r="S413" s="2"/>
      <c r="T413" s="2"/>
    </row>
    <row r="414" spans="1:20">
      <c r="A414" s="3"/>
      <c r="B414" s="3"/>
      <c r="C414" s="2"/>
      <c r="D414" s="2"/>
      <c r="E414" s="64"/>
      <c r="F414" s="64"/>
      <c r="G414" s="64"/>
      <c r="H414" s="64"/>
      <c r="I414" s="2"/>
      <c r="J414" s="2"/>
      <c r="K414" s="2"/>
      <c r="L414" s="2"/>
      <c r="M414" s="2"/>
      <c r="N414" s="2"/>
      <c r="O414" s="2"/>
      <c r="P414" s="66"/>
      <c r="Q414" s="66"/>
      <c r="R414" s="2"/>
      <c r="S414" s="2"/>
      <c r="T414" s="2"/>
    </row>
    <row r="415" spans="1:20">
      <c r="A415" s="3"/>
      <c r="B415" s="3"/>
      <c r="C415" s="2"/>
      <c r="D415" s="2"/>
      <c r="E415" s="64"/>
      <c r="F415" s="64"/>
      <c r="G415" s="64"/>
      <c r="H415" s="64"/>
      <c r="I415" s="2"/>
      <c r="J415" s="2"/>
      <c r="K415" s="2"/>
      <c r="L415" s="2"/>
      <c r="M415" s="2"/>
      <c r="N415" s="2"/>
      <c r="O415" s="2"/>
      <c r="P415" s="66"/>
      <c r="Q415" s="66"/>
      <c r="R415" s="2"/>
      <c r="S415" s="2"/>
      <c r="T415" s="2"/>
    </row>
    <row r="416" spans="1:20">
      <c r="A416" s="3"/>
      <c r="B416" s="3"/>
      <c r="C416" s="2"/>
      <c r="D416" s="2"/>
      <c r="E416" s="64"/>
      <c r="F416" s="64"/>
      <c r="G416" s="64"/>
      <c r="H416" s="64"/>
      <c r="I416" s="2"/>
      <c r="J416" s="2"/>
      <c r="K416" s="2"/>
      <c r="L416" s="2"/>
      <c r="M416" s="2"/>
      <c r="N416" s="2"/>
      <c r="O416" s="2"/>
      <c r="P416" s="66"/>
      <c r="Q416" s="66"/>
      <c r="R416" s="2"/>
      <c r="S416" s="2"/>
      <c r="T416" s="2"/>
    </row>
    <row r="417" spans="1:20">
      <c r="A417" s="3"/>
      <c r="B417" s="3"/>
      <c r="C417" s="2"/>
      <c r="D417" s="2"/>
      <c r="E417" s="64"/>
      <c r="F417" s="64"/>
      <c r="G417" s="64"/>
      <c r="H417" s="64"/>
      <c r="I417" s="2"/>
      <c r="J417" s="2"/>
      <c r="K417" s="2"/>
      <c r="L417" s="2"/>
      <c r="M417" s="2"/>
      <c r="N417" s="2"/>
      <c r="O417" s="2"/>
      <c r="P417" s="66"/>
      <c r="Q417" s="66"/>
      <c r="R417" s="2"/>
      <c r="S417" s="2"/>
      <c r="T417" s="2"/>
    </row>
    <row r="418" spans="1:20">
      <c r="A418" s="3"/>
      <c r="B418" s="3"/>
      <c r="C418" s="2"/>
      <c r="D418" s="2"/>
      <c r="E418" s="64"/>
      <c r="F418" s="64"/>
      <c r="G418" s="64"/>
      <c r="H418" s="64"/>
      <c r="I418" s="2"/>
      <c r="J418" s="2"/>
      <c r="K418" s="2"/>
      <c r="L418" s="2"/>
      <c r="M418" s="2"/>
      <c r="N418" s="2"/>
      <c r="O418" s="2"/>
      <c r="P418" s="66"/>
      <c r="Q418" s="66"/>
      <c r="R418" s="2"/>
      <c r="S418" s="2"/>
      <c r="T418" s="2"/>
    </row>
    <row r="419" spans="1:20">
      <c r="A419" s="3"/>
      <c r="B419" s="3"/>
      <c r="C419" s="2"/>
      <c r="D419" s="2"/>
      <c r="E419" s="64"/>
      <c r="F419" s="64"/>
      <c r="G419" s="64"/>
      <c r="H419" s="64"/>
      <c r="I419" s="2"/>
      <c r="J419" s="2"/>
      <c r="K419" s="2"/>
      <c r="L419" s="2"/>
      <c r="M419" s="2"/>
      <c r="N419" s="2"/>
      <c r="O419" s="2"/>
      <c r="P419" s="66"/>
      <c r="Q419" s="66"/>
      <c r="R419" s="2"/>
      <c r="S419" s="2"/>
      <c r="T419" s="2"/>
    </row>
    <row r="420" spans="1:20">
      <c r="A420" s="3"/>
      <c r="B420" s="3"/>
      <c r="C420" s="2"/>
      <c r="D420" s="2"/>
      <c r="E420" s="64"/>
      <c r="F420" s="64"/>
      <c r="G420" s="64"/>
      <c r="H420" s="64"/>
      <c r="I420" s="2"/>
      <c r="J420" s="2"/>
      <c r="K420" s="2"/>
      <c r="L420" s="2"/>
      <c r="M420" s="2"/>
      <c r="N420" s="2"/>
      <c r="O420" s="2"/>
      <c r="P420" s="66"/>
      <c r="Q420" s="66"/>
      <c r="R420" s="2"/>
      <c r="S420" s="2"/>
      <c r="T420" s="2"/>
    </row>
    <row r="421" spans="1:20">
      <c r="A421" s="3"/>
      <c r="B421" s="3"/>
      <c r="C421" s="2"/>
      <c r="D421" s="2"/>
      <c r="E421" s="64"/>
      <c r="F421" s="64"/>
      <c r="G421" s="64"/>
      <c r="H421" s="64"/>
      <c r="I421" s="2"/>
      <c r="J421" s="2"/>
      <c r="K421" s="2"/>
      <c r="L421" s="2"/>
      <c r="M421" s="2"/>
      <c r="N421" s="2"/>
      <c r="O421" s="2"/>
      <c r="P421" s="66"/>
      <c r="Q421" s="66"/>
      <c r="R421" s="2"/>
      <c r="S421" s="2"/>
      <c r="T421" s="2"/>
    </row>
    <row r="422" spans="1:20">
      <c r="A422" s="3"/>
      <c r="B422" s="3"/>
      <c r="C422" s="2"/>
      <c r="D422" s="2"/>
      <c r="E422" s="64"/>
      <c r="F422" s="64"/>
      <c r="G422" s="64"/>
      <c r="H422" s="64"/>
      <c r="I422" s="2"/>
      <c r="J422" s="2"/>
      <c r="K422" s="2"/>
      <c r="L422" s="2"/>
      <c r="M422" s="2"/>
      <c r="N422" s="2"/>
      <c r="O422" s="2"/>
      <c r="P422" s="66"/>
      <c r="Q422" s="66"/>
      <c r="R422" s="2"/>
      <c r="S422" s="2"/>
      <c r="T422" s="2"/>
    </row>
    <row r="423" spans="1:20">
      <c r="A423" s="3"/>
      <c r="B423" s="3"/>
      <c r="C423" s="2"/>
      <c r="D423" s="2"/>
      <c r="E423" s="64"/>
      <c r="F423" s="64"/>
      <c r="G423" s="64"/>
      <c r="H423" s="64"/>
      <c r="I423" s="2"/>
      <c r="J423" s="2"/>
      <c r="K423" s="2"/>
      <c r="L423" s="2"/>
      <c r="M423" s="2"/>
      <c r="N423" s="2"/>
      <c r="O423" s="2"/>
      <c r="P423" s="66"/>
      <c r="Q423" s="66"/>
      <c r="R423" s="2"/>
      <c r="S423" s="2"/>
      <c r="T423" s="2"/>
    </row>
    <row r="424" spans="1:20">
      <c r="A424" s="3"/>
      <c r="B424" s="3"/>
      <c r="C424" s="2"/>
      <c r="D424" s="2"/>
      <c r="E424" s="64"/>
      <c r="F424" s="64"/>
      <c r="G424" s="64"/>
      <c r="H424" s="64"/>
      <c r="I424" s="2"/>
      <c r="J424" s="2"/>
      <c r="K424" s="2"/>
      <c r="L424" s="2"/>
      <c r="M424" s="2"/>
      <c r="N424" s="2"/>
      <c r="O424" s="2"/>
      <c r="P424" s="66"/>
      <c r="Q424" s="66"/>
      <c r="R424" s="2"/>
      <c r="S424" s="2"/>
      <c r="T424" s="2"/>
    </row>
    <row r="425" spans="1:20">
      <c r="A425" s="3"/>
      <c r="B425" s="3"/>
      <c r="C425" s="2"/>
      <c r="D425" s="2"/>
      <c r="E425" s="64"/>
      <c r="F425" s="64"/>
      <c r="G425" s="64"/>
      <c r="H425" s="64"/>
      <c r="I425" s="2"/>
      <c r="J425" s="2"/>
      <c r="K425" s="2"/>
      <c r="L425" s="2"/>
      <c r="M425" s="2"/>
      <c r="N425" s="2"/>
      <c r="O425" s="2"/>
      <c r="P425" s="66"/>
      <c r="Q425" s="66"/>
      <c r="R425" s="2"/>
      <c r="S425" s="2"/>
      <c r="T425" s="2"/>
    </row>
    <row r="426" spans="1:20">
      <c r="A426" s="3"/>
      <c r="B426" s="3"/>
      <c r="C426" s="2"/>
      <c r="D426" s="2"/>
      <c r="E426" s="64"/>
      <c r="F426" s="64"/>
      <c r="G426" s="64"/>
      <c r="H426" s="64"/>
      <c r="I426" s="2"/>
      <c r="J426" s="2"/>
      <c r="K426" s="2"/>
      <c r="L426" s="2"/>
      <c r="M426" s="2"/>
      <c r="N426" s="2"/>
      <c r="O426" s="2"/>
      <c r="P426" s="66"/>
      <c r="Q426" s="66"/>
      <c r="R426" s="2"/>
      <c r="S426" s="2"/>
      <c r="T426" s="2"/>
    </row>
    <row r="427" spans="1:20">
      <c r="A427" s="3"/>
      <c r="B427" s="3"/>
      <c r="C427" s="2"/>
      <c r="D427" s="2"/>
      <c r="E427" s="64"/>
      <c r="F427" s="64"/>
      <c r="G427" s="64"/>
      <c r="H427" s="64"/>
      <c r="I427" s="2"/>
      <c r="J427" s="2"/>
      <c r="K427" s="2"/>
      <c r="L427" s="2"/>
      <c r="M427" s="2"/>
      <c r="N427" s="2"/>
      <c r="O427" s="2"/>
      <c r="P427" s="66"/>
      <c r="Q427" s="66"/>
      <c r="R427" s="2"/>
      <c r="S427" s="2"/>
      <c r="T427" s="2"/>
    </row>
    <row r="428" spans="1:20">
      <c r="A428" s="3"/>
      <c r="B428" s="3"/>
      <c r="C428" s="2"/>
      <c r="D428" s="2"/>
      <c r="E428" s="64"/>
      <c r="F428" s="64"/>
      <c r="G428" s="64"/>
      <c r="H428" s="64"/>
      <c r="I428" s="2"/>
      <c r="J428" s="2"/>
      <c r="K428" s="2"/>
      <c r="L428" s="2"/>
      <c r="M428" s="2"/>
      <c r="N428" s="2"/>
      <c r="O428" s="2"/>
      <c r="P428" s="66"/>
      <c r="Q428" s="66"/>
      <c r="R428" s="2"/>
      <c r="S428" s="2"/>
      <c r="T428" s="2"/>
    </row>
    <row r="429" spans="1:20">
      <c r="A429" s="3"/>
      <c r="B429" s="3"/>
      <c r="C429" s="2"/>
      <c r="D429" s="2"/>
      <c r="E429" s="64"/>
      <c r="F429" s="64"/>
      <c r="G429" s="64"/>
      <c r="H429" s="64"/>
      <c r="I429" s="2"/>
      <c r="J429" s="2"/>
      <c r="K429" s="2"/>
      <c r="L429" s="2"/>
      <c r="M429" s="2"/>
      <c r="N429" s="2"/>
      <c r="O429" s="2"/>
      <c r="P429" s="66"/>
      <c r="Q429" s="66"/>
      <c r="R429" s="2"/>
      <c r="S429" s="2"/>
      <c r="T429" s="2"/>
    </row>
    <row r="430" spans="1:20">
      <c r="A430" s="3"/>
      <c r="B430" s="3"/>
      <c r="C430" s="2"/>
      <c r="D430" s="2"/>
      <c r="E430" s="64"/>
      <c r="F430" s="64"/>
      <c r="G430" s="64"/>
      <c r="H430" s="64"/>
      <c r="I430" s="2"/>
      <c r="J430" s="2"/>
      <c r="K430" s="2"/>
      <c r="L430" s="2"/>
      <c r="M430" s="2"/>
      <c r="N430" s="2"/>
      <c r="O430" s="2"/>
      <c r="P430" s="66"/>
      <c r="Q430" s="66"/>
      <c r="R430" s="2"/>
      <c r="S430" s="2"/>
      <c r="T430" s="2"/>
    </row>
    <row r="431" spans="1:20">
      <c r="A431" s="3"/>
      <c r="B431" s="3"/>
      <c r="C431" s="2"/>
      <c r="D431" s="2"/>
      <c r="E431" s="64"/>
      <c r="F431" s="64"/>
      <c r="G431" s="64"/>
      <c r="H431" s="64"/>
      <c r="I431" s="2"/>
      <c r="J431" s="2"/>
      <c r="K431" s="2"/>
      <c r="L431" s="2"/>
      <c r="M431" s="2"/>
      <c r="N431" s="2"/>
      <c r="O431" s="2"/>
      <c r="P431" s="66"/>
      <c r="Q431" s="66"/>
      <c r="R431" s="2"/>
      <c r="S431" s="2"/>
      <c r="T431" s="2"/>
    </row>
    <row r="432" spans="1:20">
      <c r="A432" s="3"/>
      <c r="B432" s="3"/>
      <c r="C432" s="2"/>
      <c r="D432" s="2"/>
      <c r="E432" s="64"/>
      <c r="F432" s="64"/>
      <c r="G432" s="64"/>
      <c r="H432" s="64"/>
      <c r="I432" s="2"/>
      <c r="J432" s="2"/>
      <c r="K432" s="2"/>
      <c r="L432" s="2"/>
      <c r="M432" s="2"/>
      <c r="N432" s="2"/>
      <c r="O432" s="2"/>
      <c r="P432" s="66"/>
      <c r="Q432" s="66"/>
      <c r="R432" s="2"/>
      <c r="S432" s="2"/>
      <c r="T432" s="2"/>
    </row>
    <row r="433" spans="1:20">
      <c r="A433" s="3"/>
      <c r="B433" s="3"/>
      <c r="C433" s="2"/>
      <c r="D433" s="2"/>
      <c r="E433" s="64"/>
      <c r="F433" s="64"/>
      <c r="G433" s="64"/>
      <c r="H433" s="64"/>
      <c r="I433" s="2"/>
      <c r="J433" s="2"/>
      <c r="K433" s="2"/>
      <c r="L433" s="2"/>
      <c r="M433" s="2"/>
      <c r="N433" s="2"/>
      <c r="O433" s="2"/>
      <c r="P433" s="66"/>
      <c r="Q433" s="66"/>
      <c r="R433" s="2"/>
      <c r="S433" s="2"/>
      <c r="T433" s="2"/>
    </row>
    <row r="434" spans="1:20">
      <c r="A434" s="3"/>
      <c r="B434" s="3"/>
      <c r="C434" s="2"/>
      <c r="D434" s="2"/>
      <c r="E434" s="64"/>
      <c r="F434" s="64"/>
      <c r="G434" s="64"/>
      <c r="H434" s="64"/>
      <c r="I434" s="2"/>
      <c r="J434" s="2"/>
      <c r="K434" s="2"/>
      <c r="L434" s="2"/>
      <c r="M434" s="2"/>
      <c r="N434" s="2"/>
      <c r="O434" s="2"/>
      <c r="P434" s="66"/>
      <c r="Q434" s="66"/>
      <c r="R434" s="2"/>
      <c r="S434" s="2"/>
      <c r="T434" s="2"/>
    </row>
    <row r="435" spans="1:20">
      <c r="A435" s="3"/>
      <c r="B435" s="3"/>
      <c r="C435" s="2"/>
      <c r="D435" s="2"/>
      <c r="E435" s="64"/>
      <c r="F435" s="64"/>
      <c r="G435" s="64"/>
      <c r="H435" s="64"/>
      <c r="I435" s="2"/>
      <c r="J435" s="2"/>
      <c r="K435" s="2"/>
      <c r="L435" s="2"/>
      <c r="M435" s="2"/>
      <c r="N435" s="2"/>
      <c r="O435" s="2"/>
      <c r="P435" s="66"/>
      <c r="Q435" s="66"/>
      <c r="R435" s="2"/>
      <c r="S435" s="2"/>
      <c r="T435" s="2"/>
    </row>
    <row r="436" spans="1:20">
      <c r="A436" s="3"/>
      <c r="B436" s="3"/>
      <c r="C436" s="2"/>
      <c r="D436" s="2"/>
      <c r="E436" s="64"/>
      <c r="F436" s="64"/>
      <c r="G436" s="64"/>
      <c r="H436" s="64"/>
      <c r="I436" s="2"/>
      <c r="J436" s="2"/>
      <c r="K436" s="2"/>
      <c r="L436" s="2"/>
      <c r="M436" s="2"/>
      <c r="N436" s="2"/>
      <c r="O436" s="2"/>
      <c r="P436" s="66"/>
      <c r="Q436" s="66"/>
      <c r="R436" s="2"/>
      <c r="S436" s="2"/>
      <c r="T436" s="2"/>
    </row>
    <row r="437" spans="1:20">
      <c r="A437" s="3"/>
      <c r="B437" s="3"/>
      <c r="C437" s="2"/>
      <c r="D437" s="2"/>
      <c r="E437" s="64"/>
      <c r="F437" s="64"/>
      <c r="G437" s="64"/>
      <c r="H437" s="64"/>
      <c r="I437" s="2"/>
      <c r="J437" s="2"/>
      <c r="K437" s="2"/>
      <c r="L437" s="2"/>
      <c r="M437" s="2"/>
      <c r="N437" s="2"/>
      <c r="O437" s="2"/>
      <c r="P437" s="66"/>
      <c r="Q437" s="66"/>
      <c r="R437" s="2"/>
      <c r="S437" s="2"/>
      <c r="T437" s="2"/>
    </row>
    <row r="438" spans="1:20">
      <c r="A438" s="3"/>
      <c r="B438" s="3"/>
      <c r="C438" s="2"/>
      <c r="D438" s="2"/>
      <c r="E438" s="64"/>
      <c r="F438" s="64"/>
      <c r="G438" s="64"/>
      <c r="H438" s="64"/>
      <c r="I438" s="2"/>
      <c r="J438" s="2"/>
      <c r="K438" s="2"/>
      <c r="L438" s="2"/>
      <c r="M438" s="2"/>
      <c r="N438" s="2"/>
      <c r="O438" s="2"/>
      <c r="P438" s="66"/>
      <c r="Q438" s="66"/>
      <c r="R438" s="2"/>
      <c r="S438" s="2"/>
      <c r="T438" s="2"/>
    </row>
    <row r="439" spans="1:20">
      <c r="A439" s="3"/>
      <c r="B439" s="3"/>
      <c r="C439" s="2"/>
      <c r="D439" s="2"/>
      <c r="E439" s="64"/>
      <c r="F439" s="64"/>
      <c r="G439" s="64"/>
      <c r="H439" s="64"/>
      <c r="I439" s="2"/>
      <c r="J439" s="2"/>
      <c r="K439" s="2"/>
      <c r="L439" s="2"/>
      <c r="M439" s="2"/>
      <c r="N439" s="2"/>
      <c r="O439" s="2"/>
      <c r="P439" s="66"/>
      <c r="Q439" s="66"/>
      <c r="R439" s="2"/>
      <c r="S439" s="2"/>
      <c r="T439" s="2"/>
    </row>
    <row r="440" spans="1:20">
      <c r="A440" s="3"/>
      <c r="B440" s="3"/>
      <c r="C440" s="2"/>
      <c r="D440" s="2"/>
      <c r="E440" s="64"/>
      <c r="F440" s="64"/>
      <c r="G440" s="64"/>
      <c r="H440" s="64"/>
      <c r="I440" s="2"/>
      <c r="J440" s="2"/>
      <c r="K440" s="2"/>
      <c r="L440" s="2"/>
      <c r="M440" s="2"/>
      <c r="N440" s="2"/>
      <c r="O440" s="2"/>
      <c r="P440" s="66"/>
      <c r="Q440" s="66"/>
      <c r="R440" s="2"/>
      <c r="S440" s="2"/>
      <c r="T440" s="2"/>
    </row>
    <row r="441" spans="1:20">
      <c r="A441" s="3"/>
      <c r="B441" s="3"/>
      <c r="C441" s="2"/>
      <c r="D441" s="2"/>
      <c r="E441" s="64"/>
      <c r="F441" s="64"/>
      <c r="G441" s="64"/>
      <c r="H441" s="64"/>
      <c r="I441" s="2"/>
      <c r="J441" s="2"/>
      <c r="K441" s="2"/>
      <c r="L441" s="2"/>
      <c r="M441" s="2"/>
      <c r="N441" s="2"/>
      <c r="O441" s="2"/>
      <c r="P441" s="66"/>
      <c r="Q441" s="66"/>
      <c r="R441" s="2"/>
      <c r="S441" s="2"/>
      <c r="T441" s="2"/>
    </row>
    <row r="442" spans="1:20">
      <c r="A442" s="3"/>
      <c r="B442" s="3"/>
      <c r="C442" s="2"/>
      <c r="D442" s="2"/>
      <c r="E442" s="64"/>
      <c r="F442" s="64"/>
      <c r="G442" s="64"/>
      <c r="H442" s="64"/>
      <c r="I442" s="2"/>
      <c r="J442" s="2"/>
      <c r="K442" s="2"/>
      <c r="L442" s="2"/>
      <c r="M442" s="2"/>
      <c r="N442" s="2"/>
      <c r="O442" s="2"/>
      <c r="P442" s="66"/>
      <c r="Q442" s="66"/>
      <c r="R442" s="2"/>
      <c r="S442" s="2"/>
      <c r="T442" s="2"/>
    </row>
    <row r="443" spans="1:20">
      <c r="A443" s="3"/>
      <c r="B443" s="3"/>
      <c r="C443" s="2"/>
      <c r="D443" s="2"/>
      <c r="E443" s="64"/>
      <c r="F443" s="64"/>
      <c r="G443" s="64"/>
      <c r="H443" s="64"/>
      <c r="I443" s="2"/>
      <c r="J443" s="2"/>
      <c r="K443" s="2"/>
      <c r="L443" s="2"/>
      <c r="M443" s="2"/>
      <c r="N443" s="2"/>
      <c r="O443" s="2"/>
      <c r="P443" s="66"/>
      <c r="Q443" s="66"/>
      <c r="R443" s="2"/>
      <c r="S443" s="2"/>
      <c r="T443" s="2"/>
    </row>
    <row r="444" spans="1:20">
      <c r="A444" s="3"/>
      <c r="B444" s="3"/>
      <c r="C444" s="2"/>
      <c r="D444" s="2"/>
      <c r="E444" s="64"/>
      <c r="F444" s="64"/>
      <c r="G444" s="64"/>
      <c r="H444" s="64"/>
      <c r="I444" s="2"/>
      <c r="J444" s="2"/>
      <c r="K444" s="2"/>
      <c r="L444" s="2"/>
      <c r="M444" s="2"/>
      <c r="N444" s="2"/>
      <c r="O444" s="2"/>
      <c r="P444" s="66"/>
      <c r="Q444" s="66"/>
      <c r="R444" s="2"/>
      <c r="S444" s="2"/>
      <c r="T444" s="2"/>
    </row>
    <row r="445" spans="1:20">
      <c r="A445" s="3"/>
      <c r="B445" s="3"/>
      <c r="C445" s="2"/>
      <c r="D445" s="2"/>
      <c r="E445" s="64"/>
      <c r="F445" s="64"/>
      <c r="G445" s="64"/>
      <c r="H445" s="64"/>
      <c r="I445" s="2"/>
      <c r="J445" s="2"/>
      <c r="K445" s="2"/>
      <c r="L445" s="2"/>
      <c r="M445" s="2"/>
      <c r="N445" s="2"/>
      <c r="O445" s="2"/>
      <c r="P445" s="66"/>
      <c r="Q445" s="66"/>
      <c r="R445" s="2"/>
      <c r="S445" s="2"/>
      <c r="T445" s="2"/>
    </row>
    <row r="446" spans="1:20">
      <c r="A446" s="3"/>
      <c r="B446" s="3"/>
      <c r="C446" s="2"/>
      <c r="D446" s="2"/>
      <c r="E446" s="64"/>
      <c r="F446" s="64"/>
      <c r="G446" s="64"/>
      <c r="H446" s="64"/>
      <c r="I446" s="2"/>
      <c r="J446" s="2"/>
      <c r="K446" s="2"/>
      <c r="L446" s="2"/>
      <c r="M446" s="2"/>
      <c r="N446" s="2"/>
      <c r="O446" s="2"/>
      <c r="P446" s="66"/>
      <c r="Q446" s="66"/>
      <c r="R446" s="2"/>
      <c r="S446" s="2"/>
      <c r="T446" s="2"/>
    </row>
    <row r="447" spans="1:20">
      <c r="A447" s="3"/>
      <c r="B447" s="3"/>
      <c r="C447" s="2"/>
      <c r="D447" s="2"/>
      <c r="E447" s="64"/>
      <c r="F447" s="64"/>
      <c r="G447" s="64"/>
      <c r="H447" s="64"/>
      <c r="I447" s="2"/>
      <c r="J447" s="2"/>
      <c r="K447" s="2"/>
      <c r="L447" s="2"/>
      <c r="M447" s="2"/>
      <c r="N447" s="2"/>
      <c r="O447" s="2"/>
      <c r="P447" s="66"/>
      <c r="Q447" s="66"/>
      <c r="R447" s="2"/>
      <c r="S447" s="2"/>
      <c r="T447" s="2"/>
    </row>
    <row r="448" spans="1:20">
      <c r="A448" s="3"/>
      <c r="B448" s="3"/>
      <c r="C448" s="2"/>
      <c r="D448" s="2"/>
      <c r="E448" s="64"/>
      <c r="F448" s="64"/>
      <c r="G448" s="64"/>
      <c r="H448" s="64"/>
      <c r="I448" s="2"/>
      <c r="J448" s="2"/>
      <c r="K448" s="2"/>
      <c r="L448" s="2"/>
      <c r="M448" s="2"/>
      <c r="N448" s="2"/>
      <c r="O448" s="2"/>
      <c r="P448" s="66"/>
      <c r="Q448" s="66"/>
      <c r="R448" s="2"/>
      <c r="S448" s="2"/>
      <c r="T448" s="2"/>
    </row>
    <row r="449" spans="1:20">
      <c r="A449" s="3"/>
      <c r="B449" s="3"/>
      <c r="C449" s="2"/>
      <c r="D449" s="2"/>
      <c r="E449" s="64"/>
      <c r="F449" s="64"/>
      <c r="G449" s="64"/>
      <c r="H449" s="64"/>
      <c r="I449" s="2"/>
      <c r="J449" s="2"/>
      <c r="K449" s="2"/>
      <c r="L449" s="2"/>
      <c r="M449" s="2"/>
      <c r="N449" s="2"/>
      <c r="O449" s="2"/>
      <c r="P449" s="66"/>
      <c r="Q449" s="66"/>
      <c r="R449" s="2"/>
      <c r="S449" s="2"/>
      <c r="T449" s="2"/>
    </row>
    <row r="450" spans="1:20">
      <c r="A450" s="3"/>
      <c r="B450" s="3"/>
      <c r="C450" s="2"/>
      <c r="D450" s="2"/>
      <c r="E450" s="64"/>
      <c r="F450" s="64"/>
      <c r="G450" s="64"/>
      <c r="H450" s="64"/>
      <c r="I450" s="2"/>
      <c r="J450" s="2"/>
      <c r="K450" s="2"/>
      <c r="L450" s="2"/>
      <c r="M450" s="2"/>
      <c r="N450" s="2"/>
      <c r="O450" s="2"/>
      <c r="P450" s="66"/>
      <c r="Q450" s="66"/>
      <c r="R450" s="2"/>
      <c r="S450" s="2"/>
      <c r="T450" s="2"/>
    </row>
    <row r="451" spans="1:20">
      <c r="A451" s="3"/>
      <c r="B451" s="3"/>
      <c r="C451" s="2"/>
      <c r="D451" s="2"/>
      <c r="E451" s="64"/>
      <c r="F451" s="64"/>
      <c r="G451" s="64"/>
      <c r="H451" s="64"/>
      <c r="I451" s="2"/>
      <c r="J451" s="2"/>
      <c r="K451" s="2"/>
      <c r="L451" s="2"/>
      <c r="M451" s="2"/>
      <c r="N451" s="2"/>
      <c r="O451" s="2"/>
      <c r="P451" s="66"/>
      <c r="Q451" s="66"/>
      <c r="R451" s="2"/>
      <c r="S451" s="2"/>
      <c r="T451" s="2"/>
    </row>
    <row r="452" spans="1:20">
      <c r="A452" s="3"/>
      <c r="B452" s="3"/>
      <c r="C452" s="2"/>
      <c r="D452" s="2"/>
      <c r="E452" s="64"/>
      <c r="F452" s="64"/>
      <c r="G452" s="64"/>
      <c r="H452" s="64"/>
      <c r="I452" s="2"/>
      <c r="J452" s="2"/>
      <c r="K452" s="2"/>
      <c r="L452" s="2"/>
      <c r="M452" s="2"/>
      <c r="N452" s="2"/>
      <c r="O452" s="2"/>
      <c r="P452" s="66"/>
      <c r="Q452" s="66"/>
      <c r="R452" s="2"/>
      <c r="S452" s="2"/>
      <c r="T452" s="2"/>
    </row>
    <row r="453" spans="1:20">
      <c r="A453" s="3"/>
      <c r="B453" s="3"/>
      <c r="C453" s="2"/>
      <c r="D453" s="2"/>
      <c r="E453" s="64"/>
      <c r="F453" s="64"/>
      <c r="G453" s="64"/>
      <c r="H453" s="64"/>
      <c r="I453" s="2"/>
      <c r="J453" s="2"/>
      <c r="K453" s="2"/>
      <c r="L453" s="2"/>
      <c r="M453" s="2"/>
      <c r="N453" s="2"/>
      <c r="O453" s="2"/>
      <c r="P453" s="66"/>
      <c r="Q453" s="66"/>
      <c r="R453" s="2"/>
      <c r="S453" s="2"/>
      <c r="T453" s="2"/>
    </row>
    <row r="454" spans="1:20">
      <c r="A454" s="3"/>
      <c r="B454" s="3"/>
      <c r="C454" s="2"/>
      <c r="D454" s="2"/>
      <c r="E454" s="64"/>
      <c r="F454" s="64"/>
      <c r="G454" s="64"/>
      <c r="H454" s="64"/>
      <c r="I454" s="2"/>
      <c r="J454" s="2"/>
      <c r="K454" s="2"/>
      <c r="L454" s="2"/>
      <c r="M454" s="2"/>
      <c r="N454" s="2"/>
      <c r="O454" s="2"/>
      <c r="P454" s="66"/>
      <c r="Q454" s="66"/>
      <c r="R454" s="2"/>
      <c r="S454" s="2"/>
      <c r="T454" s="2"/>
    </row>
    <row r="455" spans="1:20">
      <c r="A455" s="3"/>
      <c r="B455" s="3"/>
      <c r="C455" s="2"/>
      <c r="D455" s="2"/>
      <c r="E455" s="64"/>
      <c r="F455" s="64"/>
      <c r="G455" s="64"/>
      <c r="H455" s="64"/>
      <c r="I455" s="2"/>
      <c r="J455" s="2"/>
      <c r="K455" s="2"/>
      <c r="L455" s="2"/>
      <c r="M455" s="2"/>
      <c r="N455" s="2"/>
      <c r="O455" s="2"/>
      <c r="P455" s="66"/>
      <c r="Q455" s="66"/>
      <c r="R455" s="2"/>
      <c r="S455" s="2"/>
      <c r="T455" s="2"/>
    </row>
    <row r="456" spans="1:20">
      <c r="A456" s="3"/>
      <c r="B456" s="3"/>
      <c r="C456" s="2"/>
      <c r="D456" s="2"/>
      <c r="E456" s="64"/>
      <c r="F456" s="64"/>
      <c r="G456" s="64"/>
      <c r="H456" s="64"/>
      <c r="I456" s="2"/>
      <c r="J456" s="2"/>
      <c r="K456" s="2"/>
      <c r="L456" s="2"/>
      <c r="M456" s="2"/>
      <c r="N456" s="2"/>
      <c r="O456" s="2"/>
      <c r="P456" s="66"/>
      <c r="Q456" s="66"/>
      <c r="R456" s="2"/>
      <c r="S456" s="2"/>
      <c r="T456" s="2"/>
    </row>
    <row r="457" spans="1:20">
      <c r="A457" s="3"/>
      <c r="B457" s="3"/>
      <c r="C457" s="2"/>
      <c r="D457" s="2"/>
      <c r="E457" s="64"/>
      <c r="F457" s="64"/>
      <c r="G457" s="64"/>
      <c r="H457" s="64"/>
      <c r="I457" s="2"/>
      <c r="J457" s="2"/>
      <c r="K457" s="2"/>
      <c r="L457" s="2"/>
      <c r="M457" s="2"/>
      <c r="N457" s="2"/>
      <c r="O457" s="2"/>
      <c r="P457" s="66"/>
      <c r="Q457" s="66"/>
      <c r="R457" s="2"/>
      <c r="S457" s="2"/>
      <c r="T457" s="2"/>
    </row>
    <row r="458" spans="1:20">
      <c r="A458" s="3"/>
      <c r="B458" s="3"/>
      <c r="C458" s="2"/>
      <c r="D458" s="2"/>
      <c r="E458" s="64"/>
      <c r="F458" s="64"/>
      <c r="G458" s="64"/>
      <c r="H458" s="64"/>
      <c r="I458" s="2"/>
      <c r="J458" s="2"/>
      <c r="K458" s="2"/>
      <c r="L458" s="2"/>
      <c r="M458" s="2"/>
      <c r="N458" s="2"/>
      <c r="O458" s="2"/>
      <c r="P458" s="66"/>
      <c r="Q458" s="66"/>
      <c r="R458" s="2"/>
      <c r="S458" s="2"/>
      <c r="T458" s="2"/>
    </row>
    <row r="459" spans="1:20">
      <c r="A459" s="3"/>
      <c r="B459" s="3"/>
      <c r="C459" s="2"/>
      <c r="D459" s="2"/>
      <c r="E459" s="64"/>
      <c r="F459" s="64"/>
      <c r="G459" s="64"/>
      <c r="H459" s="64"/>
      <c r="I459" s="2"/>
      <c r="J459" s="2"/>
      <c r="K459" s="2"/>
      <c r="L459" s="2"/>
      <c r="M459" s="2"/>
      <c r="N459" s="2"/>
      <c r="O459" s="2"/>
      <c r="P459" s="66"/>
      <c r="Q459" s="66"/>
      <c r="R459" s="2"/>
      <c r="S459" s="2"/>
      <c r="T459" s="2"/>
    </row>
    <row r="460" spans="1:20">
      <c r="A460" s="3"/>
      <c r="B460" s="3"/>
      <c r="C460" s="2"/>
      <c r="D460" s="2"/>
      <c r="E460" s="64"/>
      <c r="F460" s="64"/>
      <c r="G460" s="64"/>
      <c r="H460" s="64"/>
      <c r="I460" s="2"/>
      <c r="J460" s="2"/>
      <c r="K460" s="2"/>
      <c r="L460" s="2"/>
      <c r="M460" s="2"/>
      <c r="N460" s="2"/>
      <c r="O460" s="2"/>
      <c r="P460" s="66"/>
      <c r="Q460" s="66"/>
      <c r="R460" s="2"/>
      <c r="S460" s="2"/>
      <c r="T460" s="2"/>
    </row>
    <row r="461" spans="1:20">
      <c r="A461" s="3"/>
      <c r="B461" s="3"/>
      <c r="C461" s="2"/>
      <c r="D461" s="2"/>
      <c r="E461" s="64"/>
      <c r="F461" s="64"/>
      <c r="G461" s="64"/>
      <c r="H461" s="64"/>
      <c r="I461" s="2"/>
      <c r="J461" s="2"/>
      <c r="K461" s="2"/>
      <c r="L461" s="2"/>
      <c r="M461" s="2"/>
      <c r="N461" s="2"/>
      <c r="O461" s="2"/>
      <c r="P461" s="66"/>
      <c r="Q461" s="66"/>
      <c r="R461" s="2"/>
      <c r="S461" s="2"/>
      <c r="T461" s="2"/>
    </row>
    <row r="462" spans="1:20">
      <c r="A462" s="3"/>
      <c r="B462" s="3"/>
      <c r="C462" s="2"/>
      <c r="D462" s="2"/>
      <c r="E462" s="64"/>
      <c r="F462" s="64"/>
      <c r="G462" s="64"/>
      <c r="H462" s="64"/>
      <c r="I462" s="2"/>
      <c r="J462" s="2"/>
      <c r="K462" s="2"/>
      <c r="L462" s="2"/>
      <c r="M462" s="2"/>
      <c r="N462" s="2"/>
      <c r="O462" s="2"/>
      <c r="P462" s="66"/>
      <c r="Q462" s="66"/>
      <c r="R462" s="2"/>
      <c r="S462" s="2"/>
      <c r="T462" s="2"/>
    </row>
    <row r="463" spans="1:20">
      <c r="A463" s="3"/>
      <c r="B463" s="3"/>
      <c r="C463" s="2"/>
      <c r="D463" s="2"/>
      <c r="E463" s="64"/>
      <c r="F463" s="64"/>
      <c r="G463" s="64"/>
      <c r="H463" s="64"/>
      <c r="I463" s="2"/>
      <c r="J463" s="2"/>
      <c r="K463" s="2"/>
      <c r="L463" s="2"/>
      <c r="M463" s="2"/>
      <c r="N463" s="2"/>
      <c r="O463" s="2"/>
      <c r="P463" s="66"/>
      <c r="Q463" s="66"/>
      <c r="R463" s="2"/>
      <c r="S463" s="2"/>
      <c r="T463" s="2"/>
    </row>
    <row r="464" spans="1:20">
      <c r="A464" s="3"/>
      <c r="B464" s="3"/>
      <c r="C464" s="2"/>
      <c r="D464" s="2"/>
      <c r="E464" s="64"/>
      <c r="F464" s="64"/>
      <c r="G464" s="64"/>
      <c r="H464" s="64"/>
      <c r="I464" s="2"/>
      <c r="J464" s="2"/>
      <c r="K464" s="2"/>
      <c r="L464" s="2"/>
      <c r="M464" s="2"/>
      <c r="N464" s="2"/>
      <c r="O464" s="2"/>
      <c r="P464" s="66"/>
      <c r="Q464" s="66"/>
      <c r="R464" s="2"/>
      <c r="S464" s="2"/>
      <c r="T464" s="2"/>
    </row>
    <row r="465" spans="1:20">
      <c r="A465" s="3"/>
      <c r="B465" s="3"/>
      <c r="C465" s="2"/>
      <c r="D465" s="2"/>
      <c r="E465" s="64"/>
      <c r="F465" s="64"/>
      <c r="G465" s="64"/>
      <c r="H465" s="64"/>
      <c r="I465" s="2"/>
      <c r="J465" s="2"/>
      <c r="K465" s="2"/>
      <c r="L465" s="2"/>
      <c r="M465" s="2"/>
      <c r="N465" s="2"/>
      <c r="O465" s="2"/>
      <c r="P465" s="66"/>
      <c r="Q465" s="66"/>
      <c r="R465" s="2"/>
      <c r="S465" s="2"/>
      <c r="T465" s="2"/>
    </row>
    <row r="466" spans="1:20">
      <c r="A466" s="3"/>
      <c r="B466" s="3"/>
      <c r="C466" s="2"/>
      <c r="D466" s="2"/>
      <c r="E466" s="64"/>
      <c r="F466" s="64"/>
      <c r="G466" s="64"/>
      <c r="H466" s="64"/>
      <c r="I466" s="2"/>
      <c r="J466" s="2"/>
      <c r="K466" s="2"/>
      <c r="L466" s="2"/>
      <c r="M466" s="2"/>
      <c r="N466" s="2"/>
      <c r="O466" s="2"/>
      <c r="P466" s="66"/>
      <c r="Q466" s="66"/>
      <c r="R466" s="2"/>
      <c r="S466" s="2"/>
      <c r="T466" s="2"/>
    </row>
    <row r="467" spans="1:20">
      <c r="A467" s="3"/>
      <c r="B467" s="3"/>
      <c r="C467" s="2"/>
      <c r="D467" s="2"/>
      <c r="E467" s="64"/>
      <c r="F467" s="64"/>
      <c r="G467" s="64"/>
      <c r="H467" s="64"/>
      <c r="I467" s="2"/>
      <c r="J467" s="2"/>
      <c r="K467" s="2"/>
      <c r="L467" s="2"/>
      <c r="M467" s="2"/>
      <c r="N467" s="2"/>
      <c r="O467" s="2"/>
      <c r="P467" s="66"/>
      <c r="Q467" s="66"/>
      <c r="R467" s="2"/>
      <c r="S467" s="2"/>
      <c r="T467" s="2"/>
    </row>
    <row r="468" spans="1:20">
      <c r="A468" s="3"/>
      <c r="B468" s="3"/>
      <c r="C468" s="2"/>
      <c r="D468" s="2"/>
      <c r="E468" s="64"/>
      <c r="F468" s="64"/>
      <c r="G468" s="64"/>
      <c r="H468" s="64"/>
      <c r="I468" s="2"/>
      <c r="J468" s="2"/>
      <c r="K468" s="2"/>
      <c r="L468" s="2"/>
      <c r="M468" s="2"/>
      <c r="N468" s="2"/>
      <c r="O468" s="2"/>
      <c r="P468" s="66"/>
      <c r="Q468" s="66"/>
      <c r="R468" s="2"/>
      <c r="S468" s="2"/>
      <c r="T468" s="2"/>
    </row>
    <row r="469" spans="1:20">
      <c r="A469" s="3"/>
      <c r="B469" s="3"/>
      <c r="C469" s="2"/>
      <c r="D469" s="2"/>
      <c r="E469" s="64"/>
      <c r="F469" s="64"/>
      <c r="G469" s="64"/>
      <c r="H469" s="64"/>
      <c r="I469" s="2"/>
      <c r="J469" s="2"/>
      <c r="K469" s="2"/>
      <c r="L469" s="2"/>
      <c r="M469" s="2"/>
      <c r="N469" s="2"/>
      <c r="O469" s="2"/>
      <c r="P469" s="66"/>
      <c r="Q469" s="66"/>
      <c r="R469" s="2"/>
      <c r="S469" s="2"/>
      <c r="T469" s="2"/>
    </row>
    <row r="470" spans="1:20">
      <c r="A470" s="3"/>
      <c r="B470" s="3"/>
      <c r="C470" s="2"/>
      <c r="D470" s="2"/>
      <c r="E470" s="64"/>
      <c r="F470" s="64"/>
      <c r="G470" s="64"/>
      <c r="H470" s="64"/>
      <c r="I470" s="2"/>
      <c r="J470" s="2"/>
      <c r="K470" s="2"/>
      <c r="L470" s="2"/>
      <c r="M470" s="2"/>
      <c r="N470" s="2"/>
      <c r="O470" s="2"/>
      <c r="P470" s="66"/>
      <c r="Q470" s="66"/>
      <c r="R470" s="2"/>
      <c r="S470" s="2"/>
      <c r="T470" s="2"/>
    </row>
    <row r="471" spans="1:20">
      <c r="A471" s="3"/>
      <c r="B471" s="3"/>
      <c r="C471" s="2"/>
      <c r="D471" s="2"/>
      <c r="E471" s="64"/>
      <c r="F471" s="64"/>
      <c r="G471" s="64"/>
      <c r="H471" s="64"/>
      <c r="I471" s="2"/>
      <c r="J471" s="2"/>
      <c r="K471" s="2"/>
      <c r="L471" s="2"/>
      <c r="M471" s="2"/>
      <c r="N471" s="2"/>
      <c r="O471" s="2"/>
      <c r="P471" s="66"/>
      <c r="Q471" s="66"/>
      <c r="R471" s="2"/>
      <c r="S471" s="2"/>
      <c r="T471" s="2"/>
    </row>
    <row r="472" spans="1:20">
      <c r="A472" s="3"/>
      <c r="B472" s="3"/>
      <c r="C472" s="2"/>
      <c r="D472" s="2"/>
      <c r="E472" s="64"/>
      <c r="F472" s="64"/>
      <c r="G472" s="64"/>
      <c r="H472" s="64"/>
      <c r="I472" s="2"/>
      <c r="J472" s="2"/>
      <c r="K472" s="2"/>
      <c r="L472" s="2"/>
      <c r="M472" s="2"/>
      <c r="N472" s="2"/>
      <c r="O472" s="2"/>
      <c r="P472" s="66"/>
      <c r="Q472" s="66"/>
      <c r="R472" s="2"/>
      <c r="S472" s="2"/>
      <c r="T472" s="2"/>
    </row>
    <row r="473" spans="1:20">
      <c r="A473" s="3"/>
      <c r="B473" s="3"/>
      <c r="C473" s="2"/>
      <c r="D473" s="2"/>
      <c r="E473" s="64"/>
      <c r="F473" s="64"/>
      <c r="G473" s="64"/>
      <c r="H473" s="64"/>
      <c r="I473" s="2"/>
      <c r="J473" s="2"/>
      <c r="K473" s="2"/>
      <c r="L473" s="2"/>
      <c r="M473" s="2"/>
      <c r="N473" s="2"/>
      <c r="O473" s="2"/>
      <c r="P473" s="66"/>
      <c r="Q473" s="66"/>
      <c r="R473" s="2"/>
      <c r="S473" s="2"/>
      <c r="T473" s="2"/>
    </row>
    <row r="474" spans="1:20">
      <c r="A474" s="3"/>
      <c r="B474" s="3"/>
      <c r="C474" s="2"/>
      <c r="D474" s="2"/>
      <c r="E474" s="64"/>
      <c r="F474" s="64"/>
      <c r="G474" s="64"/>
      <c r="H474" s="64"/>
      <c r="I474" s="2"/>
      <c r="J474" s="2"/>
      <c r="K474" s="2"/>
      <c r="L474" s="2"/>
      <c r="M474" s="2"/>
      <c r="N474" s="2"/>
      <c r="O474" s="2"/>
      <c r="P474" s="66"/>
      <c r="Q474" s="66"/>
      <c r="R474" s="2"/>
      <c r="S474" s="2"/>
      <c r="T474" s="2"/>
    </row>
    <row r="475" spans="1:20">
      <c r="A475" s="3"/>
      <c r="B475" s="3"/>
      <c r="C475" s="2"/>
      <c r="D475" s="2"/>
      <c r="E475" s="64"/>
      <c r="F475" s="64"/>
      <c r="G475" s="64"/>
      <c r="H475" s="64"/>
      <c r="I475" s="2"/>
      <c r="J475" s="2"/>
      <c r="K475" s="2"/>
      <c r="L475" s="2"/>
      <c r="M475" s="2"/>
      <c r="N475" s="2"/>
      <c r="O475" s="2"/>
      <c r="P475" s="66"/>
      <c r="Q475" s="66"/>
      <c r="R475" s="2"/>
      <c r="S475" s="2"/>
      <c r="T475" s="2"/>
    </row>
    <row r="476" spans="1:20">
      <c r="A476" s="3"/>
      <c r="B476" s="3"/>
      <c r="C476" s="2"/>
      <c r="D476" s="2"/>
      <c r="E476" s="64"/>
      <c r="F476" s="64"/>
      <c r="G476" s="64"/>
      <c r="H476" s="64"/>
      <c r="I476" s="2"/>
      <c r="J476" s="2"/>
      <c r="K476" s="2"/>
      <c r="L476" s="2"/>
      <c r="M476" s="2"/>
      <c r="N476" s="2"/>
      <c r="O476" s="2"/>
      <c r="P476" s="66"/>
      <c r="Q476" s="66"/>
      <c r="R476" s="2"/>
      <c r="S476" s="2"/>
      <c r="T476" s="2"/>
    </row>
    <row r="477" spans="1:20">
      <c r="A477" s="3"/>
      <c r="B477" s="3"/>
      <c r="C477" s="2"/>
      <c r="D477" s="2"/>
      <c r="E477" s="64"/>
      <c r="F477" s="64"/>
      <c r="G477" s="64"/>
      <c r="H477" s="64"/>
      <c r="I477" s="2"/>
      <c r="J477" s="2"/>
      <c r="K477" s="2"/>
      <c r="L477" s="2"/>
      <c r="M477" s="2"/>
      <c r="N477" s="2"/>
      <c r="O477" s="2"/>
      <c r="P477" s="66"/>
      <c r="Q477" s="66"/>
      <c r="R477" s="2"/>
      <c r="S477" s="2"/>
      <c r="T477" s="2"/>
    </row>
    <row r="478" spans="1:20">
      <c r="A478" s="3"/>
      <c r="B478" s="3"/>
      <c r="C478" s="2"/>
      <c r="D478" s="2"/>
      <c r="E478" s="64"/>
      <c r="F478" s="64"/>
      <c r="G478" s="64"/>
      <c r="H478" s="64"/>
      <c r="I478" s="2"/>
      <c r="J478" s="2"/>
      <c r="K478" s="2"/>
      <c r="L478" s="2"/>
      <c r="M478" s="2"/>
      <c r="N478" s="2"/>
      <c r="O478" s="2"/>
      <c r="P478" s="66"/>
      <c r="Q478" s="66"/>
      <c r="R478" s="2"/>
      <c r="S478" s="2"/>
      <c r="T478" s="2"/>
    </row>
    <row r="479" spans="1:20">
      <c r="A479" s="3"/>
      <c r="B479" s="3"/>
      <c r="C479" s="2"/>
      <c r="D479" s="2"/>
      <c r="E479" s="64"/>
      <c r="F479" s="64"/>
      <c r="G479" s="64"/>
      <c r="H479" s="64"/>
      <c r="I479" s="2"/>
      <c r="J479" s="2"/>
      <c r="K479" s="2"/>
      <c r="L479" s="2"/>
      <c r="M479" s="2"/>
      <c r="N479" s="2"/>
      <c r="O479" s="2"/>
      <c r="P479" s="66"/>
      <c r="Q479" s="66"/>
      <c r="R479" s="2"/>
      <c r="S479" s="2"/>
      <c r="T479" s="2"/>
    </row>
    <row r="480" spans="1:20">
      <c r="A480" s="3"/>
      <c r="B480" s="3"/>
      <c r="C480" s="2"/>
      <c r="D480" s="2"/>
      <c r="E480" s="64"/>
      <c r="F480" s="64"/>
      <c r="G480" s="64"/>
      <c r="H480" s="64"/>
      <c r="I480" s="2"/>
      <c r="J480" s="2"/>
      <c r="K480" s="2"/>
      <c r="L480" s="2"/>
      <c r="M480" s="2"/>
      <c r="N480" s="2"/>
      <c r="O480" s="2"/>
      <c r="P480" s="66"/>
      <c r="Q480" s="66"/>
      <c r="R480" s="2"/>
      <c r="S480" s="2"/>
      <c r="T480" s="2"/>
    </row>
    <row r="481" spans="1:20">
      <c r="A481" s="3"/>
      <c r="B481" s="3"/>
      <c r="C481" s="2"/>
      <c r="D481" s="2"/>
      <c r="E481" s="64"/>
      <c r="F481" s="64"/>
      <c r="G481" s="64"/>
      <c r="H481" s="64"/>
      <c r="I481" s="2"/>
      <c r="J481" s="2"/>
      <c r="K481" s="2"/>
      <c r="L481" s="2"/>
      <c r="M481" s="2"/>
      <c r="N481" s="2"/>
      <c r="O481" s="2"/>
      <c r="P481" s="66"/>
      <c r="Q481" s="66"/>
      <c r="R481" s="2"/>
      <c r="S481" s="2"/>
      <c r="T481" s="2"/>
    </row>
    <row r="482" spans="1:20">
      <c r="A482" s="3"/>
      <c r="B482" s="3"/>
      <c r="C482" s="2"/>
      <c r="D482" s="2"/>
      <c r="E482" s="64"/>
      <c r="F482" s="64"/>
      <c r="G482" s="64"/>
      <c r="H482" s="64"/>
      <c r="I482" s="2"/>
      <c r="J482" s="2"/>
      <c r="K482" s="2"/>
      <c r="L482" s="2"/>
      <c r="M482" s="2"/>
      <c r="N482" s="2"/>
      <c r="O482" s="2"/>
      <c r="P482" s="66"/>
      <c r="Q482" s="66"/>
      <c r="R482" s="2"/>
      <c r="S482" s="2"/>
      <c r="T482" s="2"/>
    </row>
    <row r="483" spans="1:20">
      <c r="A483" s="3"/>
      <c r="B483" s="3"/>
      <c r="C483" s="2"/>
      <c r="D483" s="2"/>
      <c r="E483" s="64"/>
      <c r="F483" s="64"/>
      <c r="G483" s="64"/>
      <c r="H483" s="64"/>
      <c r="I483" s="2"/>
      <c r="J483" s="2"/>
      <c r="K483" s="2"/>
      <c r="L483" s="2"/>
      <c r="M483" s="2"/>
      <c r="N483" s="2"/>
      <c r="O483" s="2"/>
      <c r="P483" s="66"/>
      <c r="Q483" s="66"/>
      <c r="R483" s="2"/>
      <c r="S483" s="2"/>
      <c r="T483" s="2"/>
    </row>
    <row r="484" spans="1:20">
      <c r="A484" s="3"/>
      <c r="B484" s="3"/>
      <c r="C484" s="2"/>
      <c r="D484" s="2"/>
      <c r="E484" s="64"/>
      <c r="F484" s="64"/>
      <c r="G484" s="64"/>
      <c r="H484" s="64"/>
      <c r="I484" s="2"/>
      <c r="J484" s="2"/>
      <c r="K484" s="2"/>
      <c r="L484" s="2"/>
      <c r="M484" s="2"/>
      <c r="N484" s="2"/>
      <c r="O484" s="2"/>
      <c r="P484" s="66"/>
      <c r="Q484" s="66"/>
      <c r="R484" s="2"/>
      <c r="S484" s="2"/>
      <c r="T484" s="2"/>
    </row>
    <row r="485" spans="1:20">
      <c r="A485" s="3"/>
      <c r="B485" s="3"/>
      <c r="C485" s="2"/>
      <c r="D485" s="2"/>
      <c r="E485" s="64"/>
      <c r="F485" s="64"/>
      <c r="G485" s="64"/>
      <c r="H485" s="64"/>
      <c r="I485" s="2"/>
      <c r="J485" s="2"/>
      <c r="K485" s="2"/>
      <c r="L485" s="2"/>
      <c r="M485" s="2"/>
      <c r="N485" s="2"/>
      <c r="O485" s="2"/>
      <c r="P485" s="66"/>
      <c r="Q485" s="66"/>
      <c r="R485" s="2"/>
      <c r="S485" s="2"/>
      <c r="T485" s="2"/>
    </row>
    <row r="486" spans="1:20">
      <c r="A486" s="3"/>
      <c r="B486" s="3"/>
      <c r="C486" s="2"/>
      <c r="D486" s="2"/>
      <c r="E486" s="64"/>
      <c r="F486" s="64"/>
      <c r="G486" s="64"/>
      <c r="H486" s="64"/>
      <c r="I486" s="2"/>
      <c r="J486" s="2"/>
      <c r="K486" s="2"/>
      <c r="L486" s="2"/>
      <c r="M486" s="2"/>
      <c r="N486" s="2"/>
      <c r="O486" s="2"/>
      <c r="P486" s="66"/>
      <c r="Q486" s="66"/>
      <c r="R486" s="2"/>
      <c r="S486" s="2"/>
      <c r="T486" s="2"/>
    </row>
    <row r="487" spans="1:20">
      <c r="A487" s="3"/>
      <c r="B487" s="3"/>
      <c r="C487" s="2"/>
      <c r="D487" s="2"/>
      <c r="E487" s="64"/>
      <c r="F487" s="64"/>
      <c r="G487" s="64"/>
      <c r="H487" s="64"/>
      <c r="I487" s="2"/>
      <c r="J487" s="2"/>
      <c r="K487" s="2"/>
      <c r="L487" s="2"/>
      <c r="M487" s="2"/>
      <c r="N487" s="2"/>
      <c r="O487" s="2"/>
      <c r="P487" s="66"/>
      <c r="Q487" s="66"/>
      <c r="R487" s="2"/>
      <c r="S487" s="2"/>
      <c r="T487" s="2"/>
    </row>
    <row r="488" spans="1:20">
      <c r="A488" s="3"/>
      <c r="B488" s="3"/>
      <c r="C488" s="2"/>
      <c r="D488" s="2"/>
      <c r="E488" s="64"/>
      <c r="F488" s="64"/>
      <c r="G488" s="64"/>
      <c r="H488" s="64"/>
      <c r="I488" s="2"/>
      <c r="J488" s="2"/>
      <c r="K488" s="2"/>
      <c r="L488" s="2"/>
      <c r="M488" s="2"/>
      <c r="N488" s="2"/>
      <c r="O488" s="2"/>
      <c r="P488" s="66"/>
      <c r="Q488" s="66"/>
      <c r="R488" s="2"/>
      <c r="S488" s="2"/>
      <c r="T488" s="2"/>
    </row>
    <row r="489" spans="1:20">
      <c r="A489" s="3"/>
      <c r="B489" s="3"/>
      <c r="C489" s="2"/>
      <c r="D489" s="2"/>
      <c r="E489" s="64"/>
      <c r="F489" s="64"/>
      <c r="G489" s="64"/>
      <c r="H489" s="64"/>
      <c r="I489" s="2"/>
      <c r="J489" s="2"/>
      <c r="K489" s="2"/>
      <c r="L489" s="2"/>
      <c r="M489" s="2"/>
      <c r="N489" s="2"/>
      <c r="O489" s="2"/>
      <c r="P489" s="66"/>
      <c r="Q489" s="66"/>
      <c r="R489" s="2"/>
      <c r="S489" s="2"/>
      <c r="T489" s="2"/>
    </row>
    <row r="490" spans="1:20">
      <c r="A490" s="3"/>
      <c r="B490" s="3"/>
      <c r="C490" s="2"/>
      <c r="D490" s="2"/>
      <c r="E490" s="64"/>
      <c r="F490" s="64"/>
      <c r="G490" s="64"/>
      <c r="H490" s="64"/>
      <c r="I490" s="2"/>
      <c r="J490" s="2"/>
      <c r="K490" s="2"/>
      <c r="L490" s="2"/>
      <c r="M490" s="2"/>
      <c r="N490" s="2"/>
      <c r="O490" s="2"/>
      <c r="P490" s="66"/>
      <c r="Q490" s="66"/>
      <c r="R490" s="2"/>
      <c r="S490" s="2"/>
      <c r="T490" s="2"/>
    </row>
    <row r="491" spans="1:20">
      <c r="A491" s="3"/>
      <c r="B491" s="3"/>
      <c r="C491" s="2"/>
      <c r="D491" s="2"/>
      <c r="E491" s="64"/>
      <c r="F491" s="64"/>
      <c r="G491" s="64"/>
      <c r="H491" s="64"/>
      <c r="I491" s="2"/>
      <c r="J491" s="2"/>
      <c r="K491" s="2"/>
      <c r="L491" s="2"/>
      <c r="M491" s="2"/>
      <c r="N491" s="2"/>
      <c r="O491" s="2"/>
      <c r="P491" s="66"/>
      <c r="Q491" s="66"/>
      <c r="R491" s="2"/>
      <c r="S491" s="2"/>
      <c r="T491" s="2"/>
    </row>
    <row r="492" spans="1:20">
      <c r="A492" s="3"/>
      <c r="B492" s="3"/>
      <c r="C492" s="2"/>
      <c r="D492" s="2"/>
      <c r="E492" s="64"/>
      <c r="F492" s="64"/>
      <c r="G492" s="64"/>
      <c r="H492" s="64"/>
      <c r="I492" s="2"/>
      <c r="J492" s="2"/>
      <c r="K492" s="2"/>
      <c r="L492" s="2"/>
      <c r="M492" s="2"/>
      <c r="N492" s="2"/>
      <c r="O492" s="2"/>
      <c r="P492" s="66"/>
      <c r="Q492" s="66"/>
      <c r="R492" s="2"/>
      <c r="S492" s="2"/>
      <c r="T492" s="2"/>
    </row>
    <row r="493" spans="1:20">
      <c r="A493" s="3"/>
      <c r="B493" s="3"/>
      <c r="C493" s="2"/>
      <c r="D493" s="2"/>
      <c r="E493" s="64"/>
      <c r="F493" s="64"/>
      <c r="G493" s="64"/>
      <c r="H493" s="64"/>
      <c r="I493" s="2"/>
      <c r="J493" s="2"/>
      <c r="K493" s="2"/>
      <c r="L493" s="2"/>
      <c r="M493" s="2"/>
      <c r="N493" s="2"/>
      <c r="O493" s="2"/>
      <c r="P493" s="66"/>
      <c r="Q493" s="66"/>
      <c r="R493" s="2"/>
      <c r="S493" s="2"/>
      <c r="T493" s="2"/>
    </row>
    <row r="494" spans="1:20">
      <c r="A494" s="3"/>
      <c r="B494" s="3"/>
      <c r="C494" s="2"/>
      <c r="D494" s="2"/>
      <c r="E494" s="64"/>
      <c r="F494" s="64"/>
      <c r="G494" s="64"/>
      <c r="H494" s="64"/>
      <c r="I494" s="2"/>
      <c r="J494" s="2"/>
      <c r="K494" s="2"/>
      <c r="L494" s="2"/>
      <c r="M494" s="2"/>
      <c r="N494" s="2"/>
      <c r="O494" s="2"/>
      <c r="P494" s="66"/>
      <c r="Q494" s="66"/>
      <c r="R494" s="2"/>
      <c r="S494" s="2"/>
      <c r="T494" s="2"/>
    </row>
    <row r="495" spans="1:20">
      <c r="A495" s="3"/>
      <c r="B495" s="3"/>
      <c r="C495" s="2"/>
      <c r="D495" s="2"/>
      <c r="E495" s="64"/>
      <c r="F495" s="64"/>
      <c r="G495" s="64"/>
      <c r="H495" s="64"/>
      <c r="I495" s="2"/>
      <c r="J495" s="2"/>
      <c r="K495" s="2"/>
      <c r="L495" s="2"/>
      <c r="M495" s="2"/>
      <c r="N495" s="2"/>
      <c r="O495" s="2"/>
      <c r="P495" s="66"/>
      <c r="Q495" s="66"/>
      <c r="R495" s="2"/>
      <c r="S495" s="2"/>
      <c r="T495" s="2"/>
    </row>
    <row r="496" spans="1:20">
      <c r="A496" s="3"/>
      <c r="B496" s="3"/>
      <c r="C496" s="2"/>
      <c r="D496" s="2"/>
      <c r="E496" s="64"/>
      <c r="F496" s="64"/>
      <c r="G496" s="64"/>
      <c r="H496" s="64"/>
      <c r="I496" s="2"/>
      <c r="J496" s="2"/>
      <c r="K496" s="2"/>
      <c r="L496" s="2"/>
      <c r="M496" s="2"/>
      <c r="N496" s="2"/>
      <c r="O496" s="2"/>
      <c r="P496" s="66"/>
      <c r="Q496" s="66"/>
      <c r="R496" s="2"/>
      <c r="S496" s="2"/>
      <c r="T496" s="2"/>
    </row>
    <row r="497" spans="1:20">
      <c r="A497" s="3"/>
      <c r="B497" s="3"/>
      <c r="C497" s="2"/>
      <c r="D497" s="2"/>
      <c r="E497" s="64"/>
      <c r="F497" s="64"/>
      <c r="G497" s="64"/>
      <c r="H497" s="64"/>
      <c r="I497" s="2"/>
      <c r="J497" s="2"/>
      <c r="K497" s="2"/>
      <c r="L497" s="2"/>
      <c r="M497" s="2"/>
      <c r="N497" s="2"/>
      <c r="O497" s="2"/>
      <c r="P497" s="66"/>
      <c r="Q497" s="66"/>
      <c r="R497" s="2"/>
      <c r="S497" s="2"/>
      <c r="T497" s="2"/>
    </row>
    <row r="498" spans="1:20">
      <c r="A498" s="3"/>
      <c r="B498" s="3"/>
      <c r="C498" s="2"/>
      <c r="D498" s="2"/>
      <c r="E498" s="64"/>
      <c r="F498" s="64"/>
      <c r="G498" s="64"/>
      <c r="H498" s="64"/>
      <c r="I498" s="2"/>
      <c r="J498" s="2"/>
      <c r="K498" s="2"/>
      <c r="L498" s="2"/>
      <c r="M498" s="2"/>
      <c r="N498" s="2"/>
      <c r="O498" s="2"/>
      <c r="P498" s="66"/>
      <c r="Q498" s="66"/>
      <c r="R498" s="2"/>
      <c r="S498" s="2"/>
      <c r="T498" s="2"/>
    </row>
    <row r="499" spans="1:20">
      <c r="A499" s="3"/>
      <c r="B499" s="3"/>
      <c r="C499" s="2"/>
      <c r="D499" s="2"/>
      <c r="E499" s="64"/>
      <c r="F499" s="64"/>
      <c r="G499" s="64"/>
      <c r="H499" s="64"/>
      <c r="I499" s="2"/>
      <c r="J499" s="2"/>
      <c r="K499" s="2"/>
      <c r="L499" s="2"/>
      <c r="M499" s="2"/>
      <c r="N499" s="2"/>
      <c r="O499" s="2"/>
      <c r="P499" s="66"/>
      <c r="Q499" s="66"/>
      <c r="R499" s="2"/>
      <c r="S499" s="2"/>
      <c r="T499" s="2"/>
    </row>
    <row r="500" spans="1:20">
      <c r="A500" s="3"/>
      <c r="B500" s="3"/>
      <c r="C500" s="2"/>
      <c r="D500" s="2"/>
      <c r="E500" s="64"/>
      <c r="F500" s="64"/>
      <c r="G500" s="64"/>
      <c r="H500" s="64"/>
      <c r="I500" s="2"/>
      <c r="J500" s="2"/>
      <c r="K500" s="2"/>
      <c r="L500" s="2"/>
      <c r="M500" s="2"/>
      <c r="N500" s="2"/>
      <c r="O500" s="2"/>
      <c r="P500" s="66"/>
      <c r="Q500" s="66"/>
      <c r="R500" s="2"/>
      <c r="S500" s="2"/>
      <c r="T500" s="2"/>
    </row>
    <row r="501" spans="1:20">
      <c r="A501" s="3"/>
      <c r="B501" s="3"/>
      <c r="C501" s="2"/>
      <c r="D501" s="2"/>
      <c r="E501" s="64"/>
      <c r="F501" s="64"/>
      <c r="G501" s="64"/>
      <c r="H501" s="64"/>
      <c r="I501" s="2"/>
      <c r="J501" s="2"/>
      <c r="K501" s="2"/>
      <c r="L501" s="2"/>
      <c r="M501" s="2"/>
      <c r="N501" s="2"/>
      <c r="O501" s="2"/>
      <c r="P501" s="66"/>
      <c r="Q501" s="66"/>
      <c r="R501" s="2"/>
      <c r="S501" s="2"/>
      <c r="T501" s="2"/>
    </row>
    <row r="502" spans="1:20">
      <c r="A502" s="3"/>
      <c r="B502" s="3"/>
      <c r="C502" s="2"/>
      <c r="D502" s="2"/>
      <c r="E502" s="64"/>
      <c r="F502" s="64"/>
      <c r="G502" s="64"/>
      <c r="H502" s="64"/>
      <c r="I502" s="2"/>
      <c r="J502" s="2"/>
      <c r="K502" s="2"/>
      <c r="L502" s="2"/>
      <c r="M502" s="2"/>
      <c r="N502" s="2"/>
      <c r="O502" s="2"/>
      <c r="P502" s="66"/>
      <c r="Q502" s="66"/>
      <c r="R502" s="2"/>
      <c r="S502" s="2"/>
      <c r="T502" s="2"/>
    </row>
    <row r="503" spans="1:20">
      <c r="A503" s="3"/>
      <c r="B503" s="3"/>
      <c r="C503" s="2"/>
      <c r="D503" s="2"/>
      <c r="E503" s="64"/>
      <c r="F503" s="64"/>
      <c r="G503" s="64"/>
      <c r="H503" s="64"/>
      <c r="I503" s="2"/>
      <c r="J503" s="2"/>
      <c r="K503" s="2"/>
      <c r="L503" s="2"/>
      <c r="M503" s="2"/>
      <c r="N503" s="2"/>
      <c r="O503" s="2"/>
      <c r="P503" s="66"/>
      <c r="Q503" s="66"/>
      <c r="R503" s="2"/>
      <c r="S503" s="2"/>
      <c r="T503" s="2"/>
    </row>
    <row r="504" spans="1:20">
      <c r="A504" s="3"/>
      <c r="B504" s="3"/>
      <c r="C504" s="2"/>
      <c r="D504" s="2"/>
      <c r="E504" s="64"/>
      <c r="F504" s="64"/>
      <c r="G504" s="64"/>
      <c r="H504" s="64"/>
      <c r="I504" s="2"/>
      <c r="J504" s="2"/>
      <c r="K504" s="2"/>
      <c r="L504" s="2"/>
      <c r="M504" s="2"/>
      <c r="N504" s="2"/>
      <c r="O504" s="2"/>
      <c r="P504" s="66"/>
      <c r="Q504" s="66"/>
      <c r="R504" s="2"/>
      <c r="S504" s="2"/>
      <c r="T504" s="2"/>
    </row>
    <row r="505" spans="1:20">
      <c r="A505" s="3"/>
      <c r="B505" s="3"/>
      <c r="C505" s="2"/>
      <c r="D505" s="2"/>
      <c r="E505" s="64"/>
      <c r="F505" s="64"/>
      <c r="G505" s="64"/>
      <c r="H505" s="64"/>
      <c r="I505" s="2"/>
      <c r="J505" s="2"/>
      <c r="K505" s="2"/>
      <c r="L505" s="2"/>
      <c r="M505" s="2"/>
      <c r="N505" s="2"/>
      <c r="O505" s="2"/>
      <c r="P505" s="66"/>
      <c r="Q505" s="66"/>
      <c r="R505" s="2"/>
      <c r="S505" s="2"/>
      <c r="T505" s="2"/>
    </row>
    <row r="506" spans="1:20">
      <c r="A506" s="3"/>
      <c r="B506" s="3"/>
      <c r="C506" s="2"/>
      <c r="D506" s="2"/>
      <c r="E506" s="64"/>
      <c r="F506" s="64"/>
      <c r="G506" s="64"/>
      <c r="H506" s="64"/>
      <c r="I506" s="2"/>
      <c r="J506" s="2"/>
      <c r="K506" s="2"/>
      <c r="L506" s="2"/>
      <c r="M506" s="2"/>
      <c r="N506" s="2"/>
      <c r="O506" s="2"/>
      <c r="P506" s="66"/>
      <c r="Q506" s="66"/>
      <c r="R506" s="2"/>
      <c r="S506" s="2"/>
      <c r="T506" s="2"/>
    </row>
    <row r="507" spans="1:20">
      <c r="A507" s="3"/>
      <c r="B507" s="3"/>
      <c r="C507" s="2"/>
      <c r="D507" s="2"/>
      <c r="E507" s="64"/>
      <c r="F507" s="64"/>
      <c r="G507" s="64"/>
      <c r="H507" s="64"/>
      <c r="I507" s="2"/>
      <c r="J507" s="2"/>
      <c r="K507" s="2"/>
      <c r="L507" s="2"/>
      <c r="M507" s="2"/>
      <c r="N507" s="2"/>
      <c r="O507" s="2"/>
      <c r="P507" s="66"/>
      <c r="Q507" s="66"/>
      <c r="R507" s="2"/>
      <c r="S507" s="2"/>
      <c r="T507" s="2"/>
    </row>
    <row r="508" spans="1:20">
      <c r="A508" s="3"/>
      <c r="B508" s="3"/>
      <c r="C508" s="2"/>
      <c r="D508" s="2"/>
      <c r="E508" s="64"/>
      <c r="F508" s="64"/>
      <c r="G508" s="64"/>
      <c r="H508" s="64"/>
      <c r="I508" s="2"/>
      <c r="J508" s="2"/>
      <c r="K508" s="2"/>
      <c r="L508" s="2"/>
      <c r="M508" s="2"/>
      <c r="N508" s="2"/>
      <c r="O508" s="2"/>
      <c r="P508" s="66"/>
      <c r="Q508" s="66"/>
      <c r="R508" s="2"/>
      <c r="S508" s="2"/>
      <c r="T508" s="2"/>
    </row>
    <row r="509" spans="1:20">
      <c r="A509" s="3"/>
      <c r="B509" s="3"/>
      <c r="C509" s="2"/>
      <c r="D509" s="2"/>
      <c r="E509" s="64"/>
      <c r="F509" s="64"/>
      <c r="G509" s="64"/>
      <c r="H509" s="64"/>
      <c r="I509" s="2"/>
      <c r="J509" s="2"/>
      <c r="K509" s="2"/>
      <c r="L509" s="2"/>
      <c r="M509" s="2"/>
      <c r="N509" s="2"/>
      <c r="O509" s="2"/>
      <c r="P509" s="66"/>
      <c r="Q509" s="66"/>
      <c r="R509" s="2"/>
      <c r="S509" s="2"/>
      <c r="T509" s="2"/>
    </row>
    <row r="510" spans="1:20">
      <c r="A510" s="3"/>
      <c r="B510" s="3"/>
      <c r="C510" s="2"/>
      <c r="D510" s="2"/>
      <c r="E510" s="64"/>
      <c r="F510" s="64"/>
      <c r="G510" s="64"/>
      <c r="H510" s="64"/>
      <c r="I510" s="2"/>
      <c r="J510" s="2"/>
      <c r="K510" s="2"/>
      <c r="L510" s="2"/>
      <c r="M510" s="2"/>
      <c r="N510" s="2"/>
      <c r="O510" s="2"/>
      <c r="P510" s="66"/>
      <c r="Q510" s="66"/>
      <c r="R510" s="2"/>
      <c r="S510" s="2"/>
      <c r="T510" s="2"/>
    </row>
    <row r="511" spans="1:20">
      <c r="A511" s="3"/>
      <c r="B511" s="3"/>
      <c r="C511" s="2"/>
      <c r="D511" s="2"/>
      <c r="E511" s="64"/>
      <c r="F511" s="64"/>
      <c r="G511" s="64"/>
      <c r="H511" s="64"/>
      <c r="I511" s="2"/>
      <c r="J511" s="2"/>
      <c r="K511" s="2"/>
      <c r="L511" s="2"/>
      <c r="M511" s="2"/>
      <c r="N511" s="2"/>
      <c r="O511" s="2"/>
      <c r="P511" s="66"/>
      <c r="Q511" s="66"/>
      <c r="R511" s="2"/>
      <c r="S511" s="2"/>
      <c r="T511" s="2"/>
    </row>
    <row r="512" spans="1:20">
      <c r="A512" s="3"/>
      <c r="B512" s="3"/>
      <c r="C512" s="2"/>
      <c r="D512" s="2"/>
      <c r="E512" s="64"/>
      <c r="F512" s="64"/>
      <c r="G512" s="64"/>
      <c r="H512" s="64"/>
      <c r="I512" s="2"/>
      <c r="J512" s="2"/>
      <c r="K512" s="2"/>
      <c r="L512" s="2"/>
      <c r="M512" s="2"/>
      <c r="N512" s="2"/>
      <c r="O512" s="2"/>
      <c r="P512" s="66"/>
      <c r="Q512" s="66"/>
      <c r="R512" s="2"/>
      <c r="S512" s="2"/>
      <c r="T512" s="2"/>
    </row>
    <row r="513" spans="1:20">
      <c r="A513" s="3"/>
      <c r="B513" s="3"/>
      <c r="C513" s="2"/>
      <c r="D513" s="2"/>
      <c r="E513" s="64"/>
      <c r="F513" s="64"/>
      <c r="G513" s="64"/>
      <c r="H513" s="64"/>
      <c r="I513" s="2"/>
      <c r="J513" s="2"/>
      <c r="K513" s="2"/>
      <c r="L513" s="2"/>
      <c r="M513" s="2"/>
      <c r="N513" s="2"/>
      <c r="O513" s="2"/>
      <c r="P513" s="66"/>
      <c r="Q513" s="66"/>
      <c r="R513" s="2"/>
      <c r="S513" s="2"/>
      <c r="T513" s="2"/>
    </row>
    <row r="514" spans="1:20">
      <c r="A514" s="3"/>
      <c r="B514" s="3"/>
      <c r="C514" s="2"/>
      <c r="D514" s="2"/>
      <c r="E514" s="64"/>
      <c r="F514" s="64"/>
      <c r="G514" s="64"/>
      <c r="H514" s="64"/>
      <c r="I514" s="2"/>
      <c r="J514" s="2"/>
      <c r="K514" s="2"/>
      <c r="L514" s="2"/>
      <c r="M514" s="2"/>
      <c r="N514" s="2"/>
      <c r="O514" s="2"/>
      <c r="P514" s="66"/>
      <c r="Q514" s="66"/>
      <c r="R514" s="2"/>
      <c r="S514" s="2"/>
      <c r="T514" s="2"/>
    </row>
    <row r="515" spans="1:20">
      <c r="A515" s="3"/>
      <c r="B515" s="3"/>
      <c r="C515" s="2"/>
      <c r="D515" s="2"/>
      <c r="E515" s="64"/>
      <c r="F515" s="64"/>
      <c r="G515" s="64"/>
      <c r="H515" s="64"/>
      <c r="I515" s="2"/>
      <c r="J515" s="2"/>
      <c r="K515" s="2"/>
      <c r="L515" s="2"/>
      <c r="M515" s="2"/>
      <c r="N515" s="2"/>
      <c r="O515" s="2"/>
      <c r="P515" s="66"/>
      <c r="Q515" s="66"/>
      <c r="R515" s="2"/>
      <c r="S515" s="2"/>
      <c r="T515" s="2"/>
    </row>
    <row r="516" spans="1:20">
      <c r="A516" s="3"/>
      <c r="B516" s="3"/>
      <c r="C516" s="2"/>
      <c r="D516" s="2"/>
      <c r="E516" s="64"/>
      <c r="F516" s="64"/>
      <c r="G516" s="64"/>
      <c r="H516" s="64"/>
      <c r="I516" s="2"/>
      <c r="J516" s="2"/>
      <c r="K516" s="2"/>
      <c r="L516" s="2"/>
      <c r="M516" s="2"/>
      <c r="N516" s="2"/>
      <c r="O516" s="2"/>
      <c r="P516" s="66"/>
      <c r="Q516" s="66"/>
      <c r="R516" s="2"/>
      <c r="S516" s="2"/>
      <c r="T516" s="2"/>
    </row>
    <row r="517" spans="1:20">
      <c r="A517" s="3"/>
      <c r="B517" s="3"/>
      <c r="C517" s="2"/>
      <c r="D517" s="2"/>
      <c r="E517" s="64"/>
      <c r="F517" s="64"/>
      <c r="G517" s="64"/>
      <c r="H517" s="64"/>
      <c r="I517" s="2"/>
      <c r="J517" s="2"/>
      <c r="K517" s="2"/>
      <c r="L517" s="2"/>
      <c r="M517" s="2"/>
      <c r="N517" s="2"/>
      <c r="O517" s="2"/>
      <c r="P517" s="66"/>
      <c r="Q517" s="66"/>
      <c r="R517" s="2"/>
      <c r="S517" s="2"/>
      <c r="T517" s="2"/>
    </row>
    <row r="518" spans="1:20">
      <c r="A518" s="3"/>
      <c r="B518" s="3"/>
      <c r="C518" s="2"/>
      <c r="D518" s="2"/>
      <c r="E518" s="64"/>
      <c r="F518" s="64"/>
      <c r="G518" s="64"/>
      <c r="H518" s="64"/>
      <c r="I518" s="2"/>
      <c r="J518" s="2"/>
      <c r="K518" s="2"/>
      <c r="L518" s="2"/>
      <c r="M518" s="2"/>
      <c r="N518" s="2"/>
      <c r="O518" s="2"/>
      <c r="P518" s="66"/>
      <c r="Q518" s="66"/>
      <c r="R518" s="2"/>
      <c r="S518" s="2"/>
      <c r="T518" s="2"/>
    </row>
    <row r="519" spans="1:20">
      <c r="A519" s="3"/>
      <c r="B519" s="3"/>
      <c r="C519" s="2"/>
      <c r="D519" s="2"/>
      <c r="E519" s="64"/>
      <c r="F519" s="64"/>
      <c r="G519" s="64"/>
      <c r="H519" s="64"/>
      <c r="I519" s="2"/>
      <c r="J519" s="2"/>
      <c r="K519" s="2"/>
      <c r="L519" s="2"/>
      <c r="M519" s="2"/>
      <c r="N519" s="2"/>
      <c r="O519" s="2"/>
      <c r="P519" s="66"/>
      <c r="Q519" s="66"/>
      <c r="R519" s="2"/>
      <c r="S519" s="2"/>
      <c r="T519" s="2"/>
    </row>
    <row r="520" spans="1:20">
      <c r="A520" s="3"/>
      <c r="B520" s="3"/>
      <c r="C520" s="2"/>
      <c r="D520" s="2"/>
      <c r="E520" s="64"/>
      <c r="F520" s="64"/>
      <c r="G520" s="64"/>
      <c r="H520" s="64"/>
      <c r="I520" s="2"/>
      <c r="J520" s="2"/>
      <c r="K520" s="2"/>
      <c r="L520" s="2"/>
      <c r="M520" s="2"/>
      <c r="N520" s="2"/>
      <c r="O520" s="2"/>
      <c r="P520" s="66"/>
      <c r="Q520" s="66"/>
      <c r="R520" s="2"/>
      <c r="S520" s="2"/>
      <c r="T520" s="2"/>
    </row>
    <row r="521" spans="1:20">
      <c r="A521" s="3"/>
      <c r="B521" s="3"/>
      <c r="C521" s="2"/>
      <c r="D521" s="2"/>
      <c r="E521" s="64"/>
      <c r="F521" s="64"/>
      <c r="G521" s="64"/>
      <c r="H521" s="64"/>
      <c r="I521" s="2"/>
      <c r="J521" s="2"/>
      <c r="K521" s="2"/>
      <c r="L521" s="2"/>
      <c r="M521" s="2"/>
      <c r="N521" s="2"/>
      <c r="O521" s="2"/>
      <c r="P521" s="66"/>
      <c r="Q521" s="66"/>
      <c r="R521" s="2"/>
      <c r="S521" s="2"/>
      <c r="T521" s="2"/>
    </row>
    <row r="522" spans="1:20">
      <c r="A522" s="3"/>
      <c r="B522" s="3"/>
      <c r="C522" s="2"/>
      <c r="D522" s="2"/>
      <c r="E522" s="64"/>
      <c r="F522" s="64"/>
      <c r="G522" s="64"/>
      <c r="H522" s="64"/>
      <c r="I522" s="2"/>
      <c r="J522" s="2"/>
      <c r="K522" s="2"/>
      <c r="L522" s="2"/>
      <c r="M522" s="2"/>
      <c r="N522" s="2"/>
      <c r="O522" s="2"/>
      <c r="P522" s="66"/>
      <c r="Q522" s="66"/>
      <c r="R522" s="2"/>
      <c r="S522" s="2"/>
      <c r="T522" s="2"/>
    </row>
    <row r="523" spans="1:20">
      <c r="A523" s="3"/>
      <c r="B523" s="3"/>
      <c r="C523" s="2"/>
      <c r="D523" s="2"/>
      <c r="E523" s="64"/>
      <c r="F523" s="64"/>
      <c r="G523" s="64"/>
      <c r="H523" s="64"/>
      <c r="I523" s="2"/>
      <c r="J523" s="2"/>
      <c r="K523" s="2"/>
      <c r="L523" s="2"/>
      <c r="M523" s="2"/>
      <c r="N523" s="2"/>
      <c r="O523" s="2"/>
      <c r="P523" s="66"/>
      <c r="Q523" s="66"/>
      <c r="R523" s="2"/>
      <c r="S523" s="2"/>
      <c r="T523" s="2"/>
    </row>
    <row r="524" spans="1:20">
      <c r="A524" s="3"/>
      <c r="B524" s="3"/>
      <c r="C524" s="2"/>
      <c r="D524" s="2"/>
      <c r="E524" s="64"/>
      <c r="F524" s="64"/>
      <c r="G524" s="64"/>
      <c r="H524" s="64"/>
      <c r="I524" s="2"/>
      <c r="J524" s="2"/>
      <c r="K524" s="2"/>
      <c r="L524" s="2"/>
      <c r="M524" s="2"/>
      <c r="N524" s="2"/>
      <c r="O524" s="2"/>
      <c r="P524" s="66"/>
      <c r="Q524" s="66"/>
      <c r="R524" s="2"/>
      <c r="S524" s="2"/>
      <c r="T524" s="2"/>
    </row>
    <row r="525" spans="1:20">
      <c r="A525" s="3"/>
      <c r="B525" s="3"/>
      <c r="C525" s="2"/>
      <c r="D525" s="2"/>
      <c r="E525" s="64"/>
      <c r="F525" s="64"/>
      <c r="G525" s="64"/>
      <c r="H525" s="64"/>
      <c r="I525" s="2"/>
      <c r="J525" s="2"/>
      <c r="K525" s="2"/>
      <c r="L525" s="2"/>
      <c r="M525" s="2"/>
      <c r="N525" s="2"/>
      <c r="O525" s="2"/>
      <c r="P525" s="66"/>
      <c r="Q525" s="66"/>
      <c r="R525" s="2"/>
      <c r="S525" s="2"/>
      <c r="T525" s="2"/>
    </row>
    <row r="526" spans="1:20">
      <c r="A526" s="3"/>
      <c r="B526" s="3"/>
      <c r="C526" s="2"/>
      <c r="D526" s="2"/>
      <c r="E526" s="64"/>
      <c r="F526" s="64"/>
      <c r="G526" s="64"/>
      <c r="H526" s="64"/>
      <c r="I526" s="2"/>
      <c r="J526" s="2"/>
      <c r="K526" s="2"/>
      <c r="L526" s="2"/>
      <c r="M526" s="2"/>
      <c r="N526" s="2"/>
      <c r="O526" s="2"/>
      <c r="P526" s="66"/>
      <c r="Q526" s="66"/>
      <c r="R526" s="2"/>
      <c r="S526" s="2"/>
      <c r="T526" s="2"/>
    </row>
    <row r="527" spans="1:20">
      <c r="A527" s="3"/>
      <c r="B527" s="3"/>
      <c r="C527" s="2"/>
      <c r="D527" s="2"/>
      <c r="E527" s="64"/>
      <c r="F527" s="64"/>
      <c r="G527" s="64"/>
      <c r="H527" s="64"/>
      <c r="I527" s="2"/>
      <c r="J527" s="2"/>
      <c r="K527" s="2"/>
      <c r="L527" s="2"/>
      <c r="M527" s="2"/>
      <c r="N527" s="2"/>
      <c r="O527" s="2"/>
      <c r="P527" s="66"/>
      <c r="Q527" s="66"/>
      <c r="R527" s="2"/>
      <c r="S527" s="2"/>
      <c r="T527" s="2"/>
    </row>
    <row r="528" spans="1:20">
      <c r="A528" s="3"/>
      <c r="B528" s="3"/>
      <c r="C528" s="2"/>
      <c r="D528" s="2"/>
      <c r="E528" s="64"/>
      <c r="F528" s="64"/>
      <c r="G528" s="64"/>
      <c r="H528" s="64"/>
      <c r="I528" s="2"/>
      <c r="J528" s="2"/>
      <c r="K528" s="2"/>
      <c r="L528" s="2"/>
      <c r="M528" s="2"/>
      <c r="N528" s="2"/>
      <c r="O528" s="2"/>
      <c r="P528" s="66"/>
      <c r="Q528" s="66"/>
      <c r="R528" s="2"/>
      <c r="S528" s="2"/>
      <c r="T528" s="2"/>
    </row>
    <row r="529" spans="1:20">
      <c r="A529" s="3"/>
      <c r="B529" s="3"/>
      <c r="C529" s="2"/>
      <c r="D529" s="2"/>
      <c r="E529" s="64"/>
      <c r="F529" s="64"/>
      <c r="G529" s="64"/>
      <c r="H529" s="64"/>
      <c r="I529" s="2"/>
      <c r="J529" s="2"/>
      <c r="K529" s="2"/>
      <c r="L529" s="2"/>
      <c r="M529" s="2"/>
      <c r="N529" s="2"/>
      <c r="O529" s="2"/>
      <c r="P529" s="66"/>
      <c r="Q529" s="66"/>
      <c r="R529" s="2"/>
      <c r="S529" s="2"/>
      <c r="T529" s="2"/>
    </row>
    <row r="530" spans="1:20">
      <c r="A530" s="3"/>
      <c r="B530" s="3"/>
      <c r="C530" s="2"/>
      <c r="D530" s="2"/>
      <c r="E530" s="64"/>
      <c r="F530" s="64"/>
      <c r="G530" s="64"/>
      <c r="H530" s="64"/>
      <c r="I530" s="2"/>
      <c r="J530" s="2"/>
      <c r="K530" s="2"/>
      <c r="L530" s="2"/>
      <c r="M530" s="2"/>
      <c r="N530" s="2"/>
      <c r="O530" s="2"/>
      <c r="P530" s="66"/>
      <c r="Q530" s="66"/>
      <c r="R530" s="2"/>
      <c r="S530" s="2"/>
      <c r="T530" s="2"/>
    </row>
    <row r="531" spans="1:20">
      <c r="A531" s="3"/>
      <c r="B531" s="3"/>
      <c r="C531" s="2"/>
      <c r="D531" s="2"/>
      <c r="E531" s="64"/>
      <c r="F531" s="64"/>
      <c r="G531" s="64"/>
      <c r="H531" s="64"/>
      <c r="I531" s="2"/>
      <c r="J531" s="2"/>
      <c r="K531" s="2"/>
      <c r="L531" s="2"/>
      <c r="M531" s="2"/>
      <c r="N531" s="2"/>
      <c r="O531" s="2"/>
      <c r="P531" s="66"/>
      <c r="Q531" s="66"/>
      <c r="R531" s="2"/>
      <c r="S531" s="2"/>
      <c r="T531" s="2"/>
    </row>
    <row r="532" spans="1:20">
      <c r="A532" s="3"/>
      <c r="B532" s="3"/>
      <c r="C532" s="2"/>
      <c r="D532" s="2"/>
      <c r="E532" s="64"/>
      <c r="F532" s="64"/>
      <c r="G532" s="64"/>
      <c r="H532" s="64"/>
      <c r="I532" s="2"/>
      <c r="J532" s="2"/>
      <c r="K532" s="2"/>
      <c r="L532" s="2"/>
      <c r="M532" s="2"/>
      <c r="N532" s="2"/>
      <c r="O532" s="2"/>
      <c r="P532" s="66"/>
      <c r="Q532" s="66"/>
      <c r="R532" s="2"/>
      <c r="S532" s="2"/>
      <c r="T532" s="2"/>
    </row>
    <row r="533" spans="1:20">
      <c r="A533" s="3"/>
      <c r="B533" s="3"/>
      <c r="C533" s="2"/>
      <c r="D533" s="2"/>
      <c r="E533" s="64"/>
      <c r="F533" s="64"/>
      <c r="G533" s="64"/>
      <c r="H533" s="64"/>
      <c r="I533" s="2"/>
      <c r="J533" s="2"/>
      <c r="K533" s="2"/>
      <c r="L533" s="2"/>
      <c r="M533" s="2"/>
      <c r="N533" s="2"/>
      <c r="O533" s="2"/>
      <c r="P533" s="66"/>
      <c r="Q533" s="66"/>
      <c r="R533" s="2"/>
      <c r="S533" s="2"/>
      <c r="T533" s="2"/>
    </row>
    <row r="534" spans="1:20">
      <c r="A534" s="3"/>
      <c r="B534" s="3"/>
      <c r="C534" s="2"/>
      <c r="D534" s="2"/>
      <c r="E534" s="64"/>
      <c r="F534" s="64"/>
      <c r="G534" s="64"/>
      <c r="H534" s="64"/>
      <c r="I534" s="2"/>
      <c r="J534" s="2"/>
      <c r="K534" s="2"/>
      <c r="L534" s="2"/>
      <c r="M534" s="2"/>
      <c r="N534" s="2"/>
      <c r="O534" s="2"/>
      <c r="P534" s="66"/>
      <c r="Q534" s="66"/>
      <c r="R534" s="2"/>
      <c r="S534" s="2"/>
      <c r="T534" s="2"/>
    </row>
    <row r="535" spans="1:20">
      <c r="A535" s="3"/>
      <c r="B535" s="3"/>
      <c r="C535" s="2"/>
      <c r="D535" s="2"/>
      <c r="E535" s="64"/>
      <c r="F535" s="64"/>
      <c r="G535" s="64"/>
      <c r="H535" s="64"/>
      <c r="I535" s="2"/>
      <c r="J535" s="2"/>
      <c r="K535" s="2"/>
      <c r="L535" s="2"/>
      <c r="M535" s="2"/>
      <c r="N535" s="2"/>
      <c r="O535" s="2"/>
      <c r="P535" s="66"/>
      <c r="Q535" s="66"/>
      <c r="R535" s="2"/>
      <c r="S535" s="2"/>
      <c r="T535" s="2"/>
    </row>
    <row r="536" spans="1:20">
      <c r="A536" s="3"/>
      <c r="B536" s="3"/>
      <c r="C536" s="2"/>
      <c r="D536" s="2"/>
      <c r="E536" s="64"/>
      <c r="F536" s="64"/>
      <c r="G536" s="64"/>
      <c r="H536" s="64"/>
      <c r="I536" s="2"/>
      <c r="J536" s="2"/>
      <c r="K536" s="2"/>
      <c r="L536" s="2"/>
      <c r="M536" s="2"/>
      <c r="N536" s="2"/>
      <c r="O536" s="2"/>
      <c r="P536" s="66"/>
      <c r="Q536" s="66"/>
      <c r="R536" s="2"/>
      <c r="S536" s="2"/>
      <c r="T536" s="2"/>
    </row>
    <row r="537" spans="1:20">
      <c r="A537" s="3"/>
      <c r="B537" s="3"/>
      <c r="C537" s="2"/>
      <c r="D537" s="2"/>
      <c r="E537" s="64"/>
      <c r="F537" s="64"/>
      <c r="G537" s="64"/>
      <c r="H537" s="64"/>
      <c r="I537" s="2"/>
      <c r="J537" s="2"/>
      <c r="K537" s="2"/>
      <c r="L537" s="2"/>
      <c r="M537" s="2"/>
      <c r="N537" s="2"/>
      <c r="O537" s="2"/>
      <c r="P537" s="66"/>
      <c r="Q537" s="66"/>
      <c r="R537" s="2"/>
      <c r="S537" s="2"/>
      <c r="T537" s="2"/>
    </row>
    <row r="538" spans="1:20">
      <c r="A538" s="3"/>
      <c r="B538" s="3"/>
      <c r="C538" s="2"/>
      <c r="D538" s="2"/>
      <c r="E538" s="64"/>
      <c r="F538" s="64"/>
      <c r="G538" s="64"/>
      <c r="H538" s="64"/>
      <c r="I538" s="2"/>
      <c r="J538" s="2"/>
      <c r="K538" s="2"/>
      <c r="L538" s="2"/>
      <c r="M538" s="2"/>
      <c r="N538" s="2"/>
      <c r="O538" s="2"/>
      <c r="P538" s="66"/>
      <c r="Q538" s="66"/>
      <c r="R538" s="2"/>
      <c r="S538" s="2"/>
      <c r="T538" s="2"/>
    </row>
    <row r="539" spans="1:20">
      <c r="A539" s="3"/>
      <c r="B539" s="3"/>
      <c r="C539" s="2"/>
      <c r="D539" s="2"/>
      <c r="E539" s="64"/>
      <c r="F539" s="64"/>
      <c r="G539" s="64"/>
      <c r="H539" s="64"/>
      <c r="I539" s="2"/>
      <c r="J539" s="2"/>
      <c r="K539" s="2"/>
      <c r="L539" s="2"/>
      <c r="M539" s="2"/>
      <c r="N539" s="2"/>
      <c r="O539" s="2"/>
      <c r="P539" s="66"/>
      <c r="Q539" s="66"/>
      <c r="R539" s="2"/>
      <c r="S539" s="2"/>
      <c r="T539" s="2"/>
    </row>
    <row r="540" spans="1:20">
      <c r="A540" s="3"/>
      <c r="B540" s="3"/>
      <c r="C540" s="2"/>
      <c r="D540" s="2"/>
      <c r="E540" s="64"/>
      <c r="F540" s="64"/>
      <c r="G540" s="64"/>
      <c r="H540" s="64"/>
      <c r="I540" s="2"/>
      <c r="J540" s="2"/>
      <c r="K540" s="2"/>
      <c r="L540" s="2"/>
      <c r="M540" s="2"/>
      <c r="N540" s="2"/>
      <c r="O540" s="2"/>
      <c r="P540" s="66"/>
      <c r="Q540" s="66"/>
      <c r="R540" s="2"/>
      <c r="S540" s="2"/>
      <c r="T540" s="2"/>
    </row>
    <row r="541" spans="1:20">
      <c r="A541" s="3"/>
      <c r="B541" s="3"/>
      <c r="C541" s="2"/>
      <c r="D541" s="2"/>
      <c r="E541" s="64"/>
      <c r="F541" s="64"/>
      <c r="G541" s="64"/>
      <c r="H541" s="64"/>
      <c r="I541" s="2"/>
      <c r="J541" s="2"/>
      <c r="K541" s="2"/>
      <c r="L541" s="2"/>
      <c r="M541" s="2"/>
      <c r="N541" s="2"/>
      <c r="O541" s="2"/>
      <c r="P541" s="66"/>
      <c r="Q541" s="66"/>
      <c r="R541" s="2"/>
      <c r="S541" s="2"/>
      <c r="T541" s="2"/>
    </row>
    <row r="542" spans="1:20">
      <c r="A542" s="3"/>
      <c r="B542" s="3"/>
      <c r="C542" s="2"/>
      <c r="D542" s="2"/>
      <c r="E542" s="64"/>
      <c r="F542" s="64"/>
      <c r="G542" s="64"/>
      <c r="H542" s="64"/>
      <c r="I542" s="2"/>
      <c r="J542" s="2"/>
      <c r="K542" s="2"/>
      <c r="L542" s="2"/>
      <c r="M542" s="2"/>
      <c r="N542" s="2"/>
      <c r="O542" s="2"/>
      <c r="P542" s="66"/>
      <c r="Q542" s="66"/>
      <c r="R542" s="2"/>
      <c r="S542" s="2"/>
      <c r="T542" s="2"/>
    </row>
    <row r="543" spans="1:20">
      <c r="A543" s="3"/>
      <c r="B543" s="3"/>
      <c r="C543" s="2"/>
      <c r="D543" s="2"/>
      <c r="E543" s="64"/>
      <c r="F543" s="64"/>
      <c r="G543" s="64"/>
      <c r="H543" s="64"/>
      <c r="I543" s="2"/>
      <c r="J543" s="2"/>
      <c r="K543" s="2"/>
      <c r="L543" s="2"/>
      <c r="M543" s="2"/>
      <c r="N543" s="2"/>
      <c r="O543" s="2"/>
      <c r="P543" s="66"/>
      <c r="Q543" s="66"/>
      <c r="R543" s="2"/>
      <c r="S543" s="2"/>
      <c r="T543" s="2"/>
    </row>
    <row r="544" spans="1:20">
      <c r="A544" s="3"/>
      <c r="B544" s="3"/>
      <c r="C544" s="2"/>
      <c r="D544" s="2"/>
      <c r="E544" s="64"/>
      <c r="F544" s="64"/>
      <c r="G544" s="64"/>
      <c r="H544" s="64"/>
      <c r="I544" s="2"/>
      <c r="J544" s="2"/>
      <c r="K544" s="2"/>
      <c r="L544" s="2"/>
      <c r="M544" s="2"/>
      <c r="N544" s="2"/>
      <c r="O544" s="2"/>
      <c r="P544" s="66"/>
      <c r="Q544" s="66"/>
      <c r="R544" s="2"/>
      <c r="S544" s="2"/>
      <c r="T544" s="2"/>
    </row>
    <row r="545" spans="1:20">
      <c r="A545" s="3"/>
      <c r="B545" s="3"/>
      <c r="C545" s="2"/>
      <c r="D545" s="2"/>
      <c r="E545" s="64"/>
      <c r="F545" s="64"/>
      <c r="G545" s="64"/>
      <c r="H545" s="64"/>
      <c r="I545" s="2"/>
      <c r="J545" s="2"/>
      <c r="K545" s="2"/>
      <c r="L545" s="2"/>
      <c r="M545" s="2"/>
      <c r="N545" s="2"/>
      <c r="O545" s="2"/>
      <c r="P545" s="66"/>
      <c r="Q545" s="66"/>
      <c r="R545" s="2"/>
      <c r="S545" s="2"/>
      <c r="T545" s="2"/>
    </row>
    <row r="546" spans="1:20">
      <c r="A546" s="3"/>
      <c r="B546" s="3"/>
      <c r="C546" s="2"/>
      <c r="D546" s="2"/>
      <c r="E546" s="64"/>
      <c r="F546" s="64"/>
      <c r="G546" s="64"/>
      <c r="H546" s="64"/>
      <c r="I546" s="2"/>
      <c r="J546" s="2"/>
      <c r="K546" s="2"/>
      <c r="L546" s="2"/>
      <c r="M546" s="2"/>
      <c r="N546" s="2"/>
      <c r="O546" s="2"/>
      <c r="P546" s="66"/>
      <c r="Q546" s="66"/>
      <c r="R546" s="2"/>
      <c r="S546" s="2"/>
      <c r="T546" s="2"/>
    </row>
    <row r="547" spans="1:20">
      <c r="A547" s="3"/>
      <c r="B547" s="3"/>
      <c r="C547" s="2"/>
      <c r="D547" s="2"/>
      <c r="E547" s="64"/>
      <c r="F547" s="64"/>
      <c r="G547" s="64"/>
      <c r="H547" s="64"/>
      <c r="I547" s="2"/>
      <c r="J547" s="2"/>
      <c r="K547" s="2"/>
      <c r="L547" s="2"/>
      <c r="M547" s="2"/>
      <c r="N547" s="2"/>
      <c r="O547" s="2"/>
      <c r="P547" s="66"/>
      <c r="Q547" s="66"/>
      <c r="R547" s="2"/>
      <c r="S547" s="2"/>
      <c r="T547" s="2"/>
    </row>
    <row r="548" spans="1:20">
      <c r="A548" s="3"/>
      <c r="B548" s="3"/>
      <c r="C548" s="2"/>
      <c r="D548" s="2"/>
      <c r="E548" s="64"/>
      <c r="F548" s="64"/>
      <c r="G548" s="64"/>
      <c r="H548" s="64"/>
      <c r="I548" s="2"/>
      <c r="J548" s="2"/>
      <c r="K548" s="2"/>
      <c r="L548" s="2"/>
      <c r="M548" s="2"/>
      <c r="N548" s="2"/>
      <c r="O548" s="2"/>
      <c r="P548" s="66"/>
      <c r="Q548" s="66"/>
      <c r="R548" s="2"/>
      <c r="S548" s="2"/>
      <c r="T548" s="2"/>
    </row>
    <row r="549" spans="1:20">
      <c r="A549" s="3"/>
      <c r="B549" s="3"/>
      <c r="C549" s="2"/>
      <c r="D549" s="2"/>
      <c r="E549" s="64"/>
      <c r="F549" s="64"/>
      <c r="G549" s="64"/>
      <c r="H549" s="64"/>
      <c r="I549" s="2"/>
      <c r="J549" s="2"/>
      <c r="K549" s="2"/>
      <c r="L549" s="2"/>
      <c r="M549" s="2"/>
      <c r="N549" s="2"/>
      <c r="O549" s="2"/>
      <c r="P549" s="66"/>
      <c r="Q549" s="66"/>
      <c r="R549" s="2"/>
      <c r="S549" s="2"/>
      <c r="T549" s="2"/>
    </row>
    <row r="550" spans="1:20">
      <c r="A550" s="3"/>
      <c r="B550" s="3"/>
      <c r="C550" s="2"/>
      <c r="D550" s="2"/>
      <c r="E550" s="64"/>
      <c r="F550" s="64"/>
      <c r="G550" s="64"/>
      <c r="H550" s="64"/>
      <c r="I550" s="2"/>
      <c r="J550" s="2"/>
      <c r="K550" s="2"/>
      <c r="L550" s="2"/>
      <c r="M550" s="2"/>
      <c r="N550" s="2"/>
      <c r="O550" s="2"/>
      <c r="P550" s="66"/>
      <c r="Q550" s="66"/>
      <c r="R550" s="2"/>
      <c r="S550" s="2"/>
      <c r="T550" s="2"/>
    </row>
    <row r="551" spans="1:20">
      <c r="A551" s="3"/>
      <c r="B551" s="3"/>
      <c r="C551" s="2"/>
      <c r="D551" s="2"/>
      <c r="E551" s="64"/>
      <c r="F551" s="64"/>
      <c r="G551" s="64"/>
      <c r="H551" s="64"/>
      <c r="I551" s="2"/>
      <c r="J551" s="2"/>
      <c r="K551" s="2"/>
      <c r="L551" s="2"/>
      <c r="M551" s="2"/>
      <c r="N551" s="2"/>
      <c r="O551" s="2"/>
      <c r="P551" s="66"/>
      <c r="Q551" s="66"/>
      <c r="R551" s="2"/>
      <c r="S551" s="2"/>
      <c r="T551" s="2"/>
    </row>
    <row r="552" spans="1:20">
      <c r="A552" s="3"/>
      <c r="B552" s="3"/>
      <c r="C552" s="2"/>
      <c r="D552" s="2"/>
      <c r="E552" s="64"/>
      <c r="F552" s="64"/>
      <c r="G552" s="64"/>
      <c r="H552" s="64"/>
      <c r="I552" s="2"/>
      <c r="J552" s="2"/>
      <c r="K552" s="2"/>
      <c r="L552" s="2"/>
      <c r="M552" s="2"/>
      <c r="N552" s="2"/>
      <c r="O552" s="2"/>
      <c r="P552" s="66"/>
      <c r="Q552" s="66"/>
      <c r="R552" s="2"/>
      <c r="S552" s="2"/>
      <c r="T552" s="2"/>
    </row>
    <row r="553" spans="1:20">
      <c r="A553" s="3"/>
      <c r="B553" s="3"/>
      <c r="C553" s="2"/>
      <c r="D553" s="2"/>
      <c r="E553" s="64"/>
      <c r="F553" s="64"/>
      <c r="G553" s="64"/>
      <c r="H553" s="64"/>
      <c r="I553" s="2"/>
      <c r="J553" s="2"/>
      <c r="K553" s="2"/>
      <c r="L553" s="2"/>
      <c r="M553" s="2"/>
      <c r="N553" s="2"/>
      <c r="O553" s="2"/>
      <c r="P553" s="66"/>
      <c r="Q553" s="66"/>
      <c r="R553" s="2"/>
      <c r="S553" s="2"/>
      <c r="T553" s="2"/>
    </row>
    <row r="554" spans="1:20">
      <c r="A554" s="3"/>
      <c r="B554" s="3"/>
      <c r="C554" s="2"/>
      <c r="D554" s="2"/>
      <c r="E554" s="64"/>
      <c r="F554" s="64"/>
      <c r="G554" s="64"/>
      <c r="H554" s="64"/>
      <c r="I554" s="2"/>
      <c r="J554" s="2"/>
      <c r="K554" s="2"/>
      <c r="L554" s="2"/>
      <c r="M554" s="2"/>
      <c r="N554" s="2"/>
      <c r="O554" s="2"/>
      <c r="P554" s="66"/>
      <c r="Q554" s="66"/>
      <c r="R554" s="2"/>
      <c r="S554" s="2"/>
      <c r="T554" s="2"/>
    </row>
    <row r="555" spans="1:20">
      <c r="A555" s="3"/>
      <c r="B555" s="3"/>
      <c r="C555" s="2"/>
      <c r="D555" s="2"/>
      <c r="E555" s="64"/>
      <c r="F555" s="64"/>
      <c r="G555" s="64"/>
      <c r="H555" s="64"/>
      <c r="I555" s="2"/>
      <c r="J555" s="2"/>
      <c r="K555" s="2"/>
      <c r="L555" s="2"/>
      <c r="M555" s="2"/>
      <c r="N555" s="2"/>
      <c r="O555" s="2"/>
      <c r="P555" s="66"/>
      <c r="Q555" s="66"/>
      <c r="R555" s="2"/>
      <c r="S555" s="2"/>
      <c r="T555" s="2"/>
    </row>
    <row r="556" spans="1:20">
      <c r="A556" s="3"/>
      <c r="B556" s="3"/>
      <c r="C556" s="2"/>
      <c r="D556" s="2"/>
      <c r="E556" s="64"/>
      <c r="F556" s="64"/>
      <c r="G556" s="64"/>
      <c r="H556" s="64"/>
      <c r="I556" s="2"/>
      <c r="J556" s="2"/>
      <c r="K556" s="2"/>
      <c r="L556" s="2"/>
      <c r="M556" s="2"/>
      <c r="N556" s="2"/>
      <c r="O556" s="2"/>
      <c r="P556" s="66"/>
      <c r="Q556" s="66"/>
      <c r="R556" s="2"/>
      <c r="S556" s="2"/>
      <c r="T556" s="2"/>
    </row>
    <row r="557" spans="1:20">
      <c r="A557" s="3"/>
      <c r="B557" s="3"/>
      <c r="C557" s="2"/>
      <c r="D557" s="2"/>
      <c r="E557" s="64"/>
      <c r="F557" s="64"/>
      <c r="G557" s="64"/>
      <c r="H557" s="64"/>
      <c r="I557" s="2"/>
      <c r="J557" s="2"/>
      <c r="K557" s="2"/>
      <c r="L557" s="2"/>
      <c r="M557" s="2"/>
      <c r="N557" s="2"/>
      <c r="O557" s="2"/>
      <c r="P557" s="66"/>
      <c r="Q557" s="66"/>
      <c r="R557" s="2"/>
      <c r="S557" s="2"/>
      <c r="T557" s="2"/>
    </row>
    <row r="558" spans="1:20">
      <c r="A558" s="3"/>
      <c r="B558" s="3"/>
      <c r="C558" s="2"/>
      <c r="D558" s="2"/>
      <c r="E558" s="64"/>
      <c r="F558" s="64"/>
      <c r="G558" s="64"/>
      <c r="H558" s="64"/>
      <c r="I558" s="2"/>
      <c r="J558" s="2"/>
      <c r="K558" s="2"/>
      <c r="L558" s="2"/>
      <c r="M558" s="2"/>
      <c r="N558" s="2"/>
      <c r="O558" s="2"/>
      <c r="P558" s="66"/>
      <c r="Q558" s="66"/>
      <c r="R558" s="2"/>
      <c r="S558" s="2"/>
      <c r="T558" s="2"/>
    </row>
    <row r="559" spans="1:20">
      <c r="A559" s="3"/>
      <c r="B559" s="3"/>
      <c r="C559" s="2"/>
      <c r="D559" s="2"/>
      <c r="E559" s="64"/>
      <c r="F559" s="64"/>
      <c r="G559" s="64"/>
      <c r="H559" s="64"/>
      <c r="I559" s="2"/>
      <c r="J559" s="2"/>
      <c r="K559" s="2"/>
      <c r="L559" s="2"/>
      <c r="M559" s="2"/>
      <c r="N559" s="2"/>
      <c r="O559" s="2"/>
      <c r="P559" s="66"/>
      <c r="Q559" s="66"/>
      <c r="R559" s="2"/>
      <c r="S559" s="2"/>
      <c r="T559" s="2"/>
    </row>
    <row r="560" spans="1:20">
      <c r="A560" s="3"/>
      <c r="B560" s="3"/>
      <c r="C560" s="2"/>
      <c r="D560" s="2"/>
      <c r="E560" s="64"/>
      <c r="F560" s="64"/>
      <c r="G560" s="64"/>
      <c r="H560" s="64"/>
      <c r="I560" s="2"/>
      <c r="J560" s="2"/>
      <c r="K560" s="2"/>
      <c r="L560" s="2"/>
      <c r="M560" s="2"/>
      <c r="N560" s="2"/>
      <c r="O560" s="2"/>
      <c r="P560" s="66"/>
      <c r="Q560" s="66"/>
      <c r="R560" s="2"/>
      <c r="S560" s="2"/>
      <c r="T560" s="2"/>
    </row>
    <row r="561" spans="1:20">
      <c r="A561" s="3"/>
      <c r="B561" s="3"/>
      <c r="C561" s="2"/>
      <c r="D561" s="2"/>
      <c r="E561" s="64"/>
      <c r="F561" s="64"/>
      <c r="G561" s="64"/>
      <c r="H561" s="64"/>
      <c r="I561" s="2"/>
      <c r="J561" s="2"/>
      <c r="K561" s="2"/>
      <c r="L561" s="2"/>
      <c r="M561" s="2"/>
      <c r="N561" s="2"/>
      <c r="O561" s="2"/>
      <c r="P561" s="66"/>
      <c r="Q561" s="66"/>
      <c r="R561" s="2"/>
      <c r="S561" s="2"/>
      <c r="T561" s="2"/>
    </row>
    <row r="562" spans="1:20">
      <c r="A562" s="3"/>
      <c r="B562" s="3"/>
      <c r="C562" s="2"/>
      <c r="D562" s="2"/>
      <c r="E562" s="64"/>
      <c r="F562" s="64"/>
      <c r="G562" s="64"/>
      <c r="H562" s="64"/>
      <c r="I562" s="2"/>
      <c r="J562" s="2"/>
      <c r="K562" s="2"/>
      <c r="L562" s="2"/>
      <c r="M562" s="2"/>
      <c r="N562" s="2"/>
      <c r="O562" s="2"/>
      <c r="P562" s="66"/>
      <c r="Q562" s="66"/>
      <c r="R562" s="2"/>
      <c r="S562" s="2"/>
      <c r="T562" s="2"/>
    </row>
    <row r="563" spans="1:20">
      <c r="A563" s="3"/>
      <c r="B563" s="3"/>
      <c r="C563" s="2"/>
      <c r="D563" s="2"/>
      <c r="E563" s="64"/>
      <c r="F563" s="64"/>
      <c r="G563" s="64"/>
      <c r="H563" s="64"/>
      <c r="I563" s="2"/>
      <c r="J563" s="2"/>
      <c r="K563" s="2"/>
      <c r="L563" s="2"/>
      <c r="M563" s="2"/>
      <c r="N563" s="2"/>
      <c r="O563" s="2"/>
      <c r="P563" s="66"/>
      <c r="Q563" s="66"/>
      <c r="R563" s="2"/>
      <c r="S563" s="2"/>
      <c r="T563" s="2"/>
    </row>
    <row r="564" spans="1:20">
      <c r="A564" s="3"/>
      <c r="B564" s="3"/>
      <c r="C564" s="2"/>
      <c r="D564" s="2"/>
      <c r="E564" s="64"/>
      <c r="F564" s="64"/>
      <c r="G564" s="64"/>
      <c r="H564" s="64"/>
      <c r="I564" s="2"/>
      <c r="J564" s="2"/>
      <c r="K564" s="2"/>
      <c r="L564" s="2"/>
      <c r="M564" s="2"/>
      <c r="N564" s="2"/>
      <c r="O564" s="2"/>
      <c r="P564" s="66"/>
      <c r="Q564" s="66"/>
      <c r="R564" s="2"/>
      <c r="S564" s="2"/>
      <c r="T564" s="2"/>
    </row>
    <row r="565" spans="1:20">
      <c r="A565" s="3"/>
      <c r="B565" s="3"/>
      <c r="C565" s="2"/>
      <c r="D565" s="2"/>
      <c r="E565" s="64"/>
      <c r="F565" s="64"/>
      <c r="G565" s="64"/>
      <c r="H565" s="64"/>
      <c r="I565" s="2"/>
      <c r="J565" s="2"/>
      <c r="K565" s="2"/>
      <c r="L565" s="2"/>
      <c r="M565" s="2"/>
      <c r="N565" s="2"/>
      <c r="O565" s="2"/>
      <c r="P565" s="66"/>
      <c r="Q565" s="66"/>
      <c r="R565" s="2"/>
      <c r="S565" s="2"/>
      <c r="T565" s="2"/>
    </row>
    <row r="566" spans="1:20">
      <c r="A566" s="3"/>
      <c r="B566" s="3"/>
      <c r="C566" s="2"/>
      <c r="D566" s="2"/>
      <c r="E566" s="64"/>
      <c r="F566" s="64"/>
      <c r="G566" s="64"/>
      <c r="H566" s="64"/>
      <c r="I566" s="2"/>
      <c r="J566" s="2"/>
      <c r="K566" s="2"/>
      <c r="L566" s="2"/>
      <c r="M566" s="2"/>
      <c r="N566" s="2"/>
      <c r="O566" s="2"/>
      <c r="P566" s="66"/>
      <c r="Q566" s="66"/>
      <c r="R566" s="2"/>
      <c r="S566" s="2"/>
      <c r="T566" s="2"/>
    </row>
    <row r="567" spans="1:20">
      <c r="A567" s="3"/>
      <c r="B567" s="3"/>
      <c r="C567" s="2"/>
      <c r="D567" s="2"/>
      <c r="E567" s="64"/>
      <c r="F567" s="64"/>
      <c r="G567" s="64"/>
      <c r="H567" s="64"/>
      <c r="I567" s="2"/>
      <c r="J567" s="2"/>
      <c r="K567" s="2"/>
      <c r="L567" s="2"/>
      <c r="M567" s="2"/>
      <c r="N567" s="2"/>
      <c r="O567" s="2"/>
      <c r="P567" s="66"/>
      <c r="Q567" s="66"/>
      <c r="R567" s="2"/>
      <c r="S567" s="2"/>
      <c r="T567" s="2"/>
    </row>
    <row r="568" spans="1:20">
      <c r="A568" s="3"/>
      <c r="B568" s="3"/>
      <c r="C568" s="2"/>
      <c r="D568" s="2"/>
      <c r="E568" s="64"/>
      <c r="F568" s="64"/>
      <c r="G568" s="64"/>
      <c r="H568" s="64"/>
      <c r="I568" s="2"/>
      <c r="J568" s="2"/>
      <c r="K568" s="2"/>
      <c r="L568" s="2"/>
      <c r="M568" s="2"/>
      <c r="N568" s="2"/>
      <c r="O568" s="2"/>
      <c r="P568" s="66"/>
      <c r="Q568" s="66"/>
      <c r="R568" s="2"/>
      <c r="S568" s="2"/>
      <c r="T568" s="2"/>
    </row>
    <row r="569" spans="1:20">
      <c r="A569" s="3"/>
      <c r="B569" s="3"/>
      <c r="C569" s="2"/>
      <c r="D569" s="2"/>
      <c r="E569" s="64"/>
      <c r="F569" s="64"/>
      <c r="G569" s="64"/>
      <c r="H569" s="64"/>
      <c r="I569" s="2"/>
      <c r="J569" s="2"/>
      <c r="K569" s="2"/>
      <c r="L569" s="2"/>
      <c r="M569" s="2"/>
      <c r="N569" s="2"/>
      <c r="O569" s="2"/>
      <c r="P569" s="66"/>
      <c r="Q569" s="66"/>
      <c r="R569" s="2"/>
      <c r="S569" s="2"/>
      <c r="T569" s="2"/>
    </row>
    <row r="570" spans="1:20">
      <c r="A570" s="3"/>
      <c r="B570" s="3"/>
      <c r="C570" s="2"/>
      <c r="D570" s="2"/>
      <c r="E570" s="64"/>
      <c r="F570" s="64"/>
      <c r="G570" s="64"/>
      <c r="H570" s="64"/>
      <c r="I570" s="2"/>
      <c r="J570" s="2"/>
      <c r="K570" s="2"/>
      <c r="L570" s="2"/>
      <c r="M570" s="2"/>
      <c r="N570" s="2"/>
      <c r="O570" s="2"/>
      <c r="P570" s="66"/>
      <c r="Q570" s="66"/>
      <c r="R570" s="2"/>
      <c r="S570" s="2"/>
      <c r="T570" s="2"/>
    </row>
    <row r="571" spans="1:20">
      <c r="A571" s="3"/>
      <c r="B571" s="3"/>
      <c r="C571" s="2"/>
      <c r="D571" s="2"/>
      <c r="E571" s="64"/>
      <c r="F571" s="64"/>
      <c r="G571" s="64"/>
      <c r="H571" s="64"/>
      <c r="I571" s="2"/>
      <c r="J571" s="2"/>
      <c r="K571" s="2"/>
      <c r="L571" s="2"/>
      <c r="M571" s="2"/>
      <c r="N571" s="2"/>
      <c r="O571" s="2"/>
      <c r="P571" s="66"/>
      <c r="Q571" s="66"/>
      <c r="R571" s="2"/>
      <c r="S571" s="2"/>
      <c r="T571" s="2"/>
    </row>
    <row r="572" spans="1:20">
      <c r="A572" s="3"/>
      <c r="B572" s="3"/>
      <c r="C572" s="2"/>
      <c r="D572" s="2"/>
      <c r="E572" s="64"/>
      <c r="F572" s="64"/>
      <c r="G572" s="64"/>
      <c r="H572" s="64"/>
      <c r="I572" s="2"/>
      <c r="J572" s="2"/>
      <c r="K572" s="2"/>
      <c r="L572" s="2"/>
      <c r="M572" s="2"/>
      <c r="N572" s="2"/>
      <c r="O572" s="2"/>
      <c r="P572" s="66"/>
      <c r="Q572" s="66"/>
      <c r="R572" s="2"/>
      <c r="S572" s="2"/>
      <c r="T572" s="2"/>
    </row>
    <row r="573" spans="1:20">
      <c r="A573" s="3"/>
      <c r="B573" s="3"/>
      <c r="C573" s="2"/>
      <c r="D573" s="2"/>
      <c r="E573" s="64"/>
      <c r="F573" s="64"/>
      <c r="G573" s="64"/>
      <c r="H573" s="64"/>
      <c r="I573" s="2"/>
      <c r="J573" s="2"/>
      <c r="K573" s="2"/>
      <c r="L573" s="2"/>
      <c r="M573" s="2"/>
      <c r="N573" s="2"/>
      <c r="O573" s="2"/>
      <c r="P573" s="66"/>
      <c r="Q573" s="66"/>
      <c r="R573" s="2"/>
      <c r="S573" s="2"/>
      <c r="T573" s="2"/>
    </row>
    <row r="574" spans="1:20">
      <c r="A574" s="3"/>
      <c r="B574" s="3"/>
      <c r="C574" s="2"/>
      <c r="D574" s="2"/>
      <c r="E574" s="64"/>
      <c r="F574" s="64"/>
      <c r="G574" s="64"/>
      <c r="H574" s="64"/>
      <c r="I574" s="2"/>
      <c r="J574" s="2"/>
      <c r="K574" s="2"/>
      <c r="L574" s="2"/>
      <c r="M574" s="2"/>
      <c r="N574" s="2"/>
      <c r="O574" s="2"/>
      <c r="P574" s="66"/>
      <c r="Q574" s="66"/>
      <c r="R574" s="2"/>
      <c r="S574" s="2"/>
      <c r="T574" s="2"/>
    </row>
    <row r="575" spans="1:20">
      <c r="A575" s="3"/>
      <c r="B575" s="3"/>
      <c r="C575" s="2"/>
      <c r="D575" s="2"/>
      <c r="E575" s="64"/>
      <c r="F575" s="64"/>
      <c r="G575" s="64"/>
      <c r="H575" s="64"/>
      <c r="I575" s="2"/>
      <c r="J575" s="2"/>
      <c r="K575" s="2"/>
      <c r="L575" s="2"/>
      <c r="M575" s="2"/>
      <c r="N575" s="2"/>
      <c r="O575" s="2"/>
      <c r="P575" s="66"/>
      <c r="Q575" s="66"/>
      <c r="R575" s="2"/>
      <c r="S575" s="2"/>
      <c r="T575" s="2"/>
    </row>
    <row r="576" spans="1:20">
      <c r="A576" s="3"/>
      <c r="B576" s="3"/>
      <c r="C576" s="2"/>
      <c r="D576" s="2"/>
      <c r="E576" s="64"/>
      <c r="F576" s="64"/>
      <c r="G576" s="64"/>
      <c r="H576" s="64"/>
      <c r="I576" s="2"/>
      <c r="J576" s="2"/>
      <c r="K576" s="2"/>
      <c r="L576" s="2"/>
      <c r="M576" s="2"/>
      <c r="N576" s="2"/>
      <c r="O576" s="2"/>
      <c r="P576" s="66"/>
      <c r="Q576" s="66"/>
      <c r="R576" s="2"/>
      <c r="S576" s="2"/>
      <c r="T576" s="2"/>
    </row>
    <row r="577" spans="1:20">
      <c r="A577" s="3"/>
      <c r="B577" s="3"/>
      <c r="C577" s="2"/>
      <c r="D577" s="2"/>
      <c r="E577" s="64"/>
      <c r="F577" s="64"/>
      <c r="G577" s="64"/>
      <c r="H577" s="64"/>
      <c r="I577" s="2"/>
      <c r="J577" s="2"/>
      <c r="K577" s="2"/>
      <c r="L577" s="2"/>
      <c r="M577" s="2"/>
      <c r="N577" s="2"/>
      <c r="O577" s="2"/>
      <c r="P577" s="66"/>
      <c r="Q577" s="66"/>
      <c r="R577" s="2"/>
      <c r="S577" s="2"/>
      <c r="T577" s="2"/>
    </row>
    <row r="578" spans="1:20">
      <c r="A578" s="3"/>
      <c r="B578" s="3"/>
      <c r="C578" s="2"/>
      <c r="D578" s="2"/>
      <c r="E578" s="64"/>
      <c r="F578" s="64"/>
      <c r="G578" s="64"/>
      <c r="H578" s="64"/>
      <c r="I578" s="2"/>
      <c r="J578" s="2"/>
      <c r="K578" s="2"/>
      <c r="L578" s="2"/>
      <c r="M578" s="2"/>
      <c r="N578" s="2"/>
      <c r="O578" s="2"/>
      <c r="P578" s="66"/>
      <c r="Q578" s="66"/>
      <c r="R578" s="2"/>
      <c r="S578" s="2"/>
      <c r="T578" s="2"/>
    </row>
    <row r="579" spans="1:20">
      <c r="A579" s="3"/>
      <c r="B579" s="3"/>
      <c r="C579" s="2"/>
      <c r="D579" s="2"/>
      <c r="E579" s="64"/>
      <c r="F579" s="64"/>
      <c r="G579" s="64"/>
      <c r="H579" s="64"/>
      <c r="I579" s="2"/>
      <c r="J579" s="2"/>
      <c r="K579" s="2"/>
      <c r="L579" s="2"/>
      <c r="M579" s="2"/>
      <c r="N579" s="2"/>
      <c r="O579" s="2"/>
      <c r="P579" s="66"/>
      <c r="Q579" s="66"/>
      <c r="R579" s="2"/>
      <c r="S579" s="2"/>
      <c r="T579" s="2"/>
    </row>
    <row r="580" spans="1:20">
      <c r="A580" s="3"/>
      <c r="B580" s="3"/>
      <c r="C580" s="2"/>
      <c r="D580" s="2"/>
      <c r="E580" s="64"/>
      <c r="F580" s="64"/>
      <c r="G580" s="64"/>
      <c r="H580" s="64"/>
      <c r="I580" s="2"/>
      <c r="J580" s="2"/>
      <c r="K580" s="2"/>
      <c r="L580" s="2"/>
      <c r="M580" s="2"/>
      <c r="N580" s="2"/>
      <c r="O580" s="2"/>
      <c r="P580" s="66"/>
      <c r="Q580" s="66"/>
      <c r="R580" s="2"/>
      <c r="S580" s="2"/>
      <c r="T580" s="2"/>
    </row>
    <row r="581" spans="1:20">
      <c r="A581" s="3"/>
      <c r="B581" s="3"/>
      <c r="C581" s="2"/>
      <c r="D581" s="2"/>
      <c r="E581" s="64"/>
      <c r="F581" s="64"/>
      <c r="G581" s="64"/>
      <c r="H581" s="64"/>
      <c r="I581" s="2"/>
      <c r="J581" s="2"/>
      <c r="K581" s="2"/>
      <c r="L581" s="2"/>
      <c r="M581" s="2"/>
      <c r="N581" s="2"/>
      <c r="O581" s="2"/>
      <c r="P581" s="66"/>
      <c r="Q581" s="66"/>
      <c r="R581" s="2"/>
      <c r="S581" s="2"/>
      <c r="T581" s="2"/>
    </row>
    <row r="582" spans="1:20">
      <c r="A582" s="3"/>
      <c r="B582" s="3"/>
      <c r="C582" s="2"/>
      <c r="D582" s="2"/>
      <c r="E582" s="64"/>
      <c r="F582" s="64"/>
      <c r="G582" s="64"/>
      <c r="H582" s="64"/>
      <c r="I582" s="2"/>
      <c r="J582" s="2"/>
      <c r="K582" s="2"/>
      <c r="L582" s="2"/>
      <c r="M582" s="2"/>
      <c r="N582" s="2"/>
      <c r="O582" s="2"/>
      <c r="P582" s="66"/>
      <c r="Q582" s="66"/>
      <c r="R582" s="2"/>
      <c r="S582" s="2"/>
      <c r="T582" s="2"/>
    </row>
    <row r="583" spans="1:20">
      <c r="A583" s="3"/>
      <c r="B583" s="3"/>
      <c r="C583" s="2"/>
      <c r="D583" s="2"/>
      <c r="E583" s="64"/>
      <c r="F583" s="64"/>
      <c r="G583" s="64"/>
      <c r="H583" s="64"/>
      <c r="I583" s="2"/>
      <c r="J583" s="2"/>
      <c r="K583" s="2"/>
      <c r="L583" s="2"/>
      <c r="M583" s="2"/>
      <c r="N583" s="2"/>
      <c r="O583" s="2"/>
      <c r="P583" s="66"/>
      <c r="Q583" s="66"/>
      <c r="R583" s="2"/>
      <c r="S583" s="2"/>
      <c r="T583" s="2"/>
    </row>
    <row r="584" spans="1:20">
      <c r="A584" s="3"/>
      <c r="B584" s="3"/>
      <c r="C584" s="2"/>
      <c r="D584" s="2"/>
      <c r="E584" s="64"/>
      <c r="F584" s="64"/>
      <c r="G584" s="64"/>
      <c r="H584" s="64"/>
      <c r="I584" s="2"/>
      <c r="J584" s="2"/>
      <c r="K584" s="2"/>
      <c r="L584" s="2"/>
      <c r="M584" s="2"/>
      <c r="N584" s="2"/>
      <c r="O584" s="2"/>
      <c r="P584" s="66"/>
      <c r="Q584" s="66"/>
      <c r="R584" s="2"/>
      <c r="S584" s="2"/>
      <c r="T584" s="2"/>
    </row>
    <row r="585" spans="1:20">
      <c r="A585" s="3"/>
      <c r="B585" s="3"/>
      <c r="C585" s="2"/>
      <c r="D585" s="2"/>
      <c r="E585" s="64"/>
      <c r="F585" s="64"/>
      <c r="G585" s="64"/>
      <c r="H585" s="64"/>
      <c r="I585" s="2"/>
      <c r="J585" s="2"/>
      <c r="K585" s="2"/>
      <c r="L585" s="2"/>
      <c r="M585" s="2"/>
      <c r="N585" s="2"/>
      <c r="O585" s="2"/>
      <c r="P585" s="66"/>
      <c r="Q585" s="66"/>
      <c r="R585" s="2"/>
      <c r="S585" s="2"/>
      <c r="T585" s="2"/>
    </row>
    <row r="586" spans="1:20">
      <c r="A586" s="3"/>
      <c r="B586" s="3"/>
      <c r="C586" s="2"/>
      <c r="D586" s="2"/>
      <c r="E586" s="64"/>
      <c r="F586" s="64"/>
      <c r="G586" s="64"/>
      <c r="H586" s="64"/>
      <c r="I586" s="2"/>
      <c r="J586" s="2"/>
      <c r="K586" s="2"/>
      <c r="L586" s="2"/>
      <c r="M586" s="2"/>
      <c r="N586" s="2"/>
      <c r="O586" s="2"/>
      <c r="P586" s="66"/>
      <c r="Q586" s="66"/>
      <c r="R586" s="2"/>
      <c r="S586" s="2"/>
      <c r="T586" s="2"/>
    </row>
    <row r="587" spans="1:20">
      <c r="A587" s="3"/>
      <c r="B587" s="3"/>
      <c r="C587" s="2"/>
      <c r="D587" s="2"/>
      <c r="E587" s="64"/>
      <c r="F587" s="64"/>
      <c r="G587" s="64"/>
      <c r="H587" s="64"/>
      <c r="I587" s="2"/>
      <c r="J587" s="2"/>
      <c r="K587" s="2"/>
      <c r="L587" s="2"/>
      <c r="M587" s="2"/>
      <c r="N587" s="2"/>
      <c r="O587" s="2"/>
      <c r="P587" s="66"/>
      <c r="Q587" s="66"/>
      <c r="R587" s="2"/>
      <c r="S587" s="2"/>
      <c r="T587" s="2"/>
    </row>
    <row r="588" spans="1:20">
      <c r="A588" s="3"/>
      <c r="B588" s="3"/>
      <c r="C588" s="2"/>
      <c r="D588" s="2"/>
      <c r="E588" s="64"/>
      <c r="F588" s="64"/>
      <c r="G588" s="64"/>
      <c r="H588" s="64"/>
      <c r="I588" s="2"/>
      <c r="J588" s="2"/>
      <c r="K588" s="2"/>
      <c r="L588" s="2"/>
      <c r="M588" s="2"/>
      <c r="N588" s="2"/>
      <c r="O588" s="2"/>
      <c r="P588" s="66"/>
      <c r="Q588" s="66"/>
      <c r="R588" s="2"/>
      <c r="S588" s="2"/>
      <c r="T588" s="2"/>
    </row>
    <row r="589" spans="1:20">
      <c r="A589" s="3"/>
      <c r="B589" s="3"/>
      <c r="C589" s="2"/>
      <c r="D589" s="2"/>
      <c r="E589" s="64"/>
      <c r="F589" s="64"/>
      <c r="G589" s="64"/>
      <c r="H589" s="64"/>
      <c r="I589" s="2"/>
      <c r="J589" s="2"/>
      <c r="K589" s="2"/>
      <c r="L589" s="2"/>
      <c r="M589" s="2"/>
      <c r="N589" s="2"/>
      <c r="O589" s="2"/>
      <c r="P589" s="66"/>
      <c r="Q589" s="66"/>
      <c r="R589" s="2"/>
      <c r="S589" s="2"/>
      <c r="T589" s="2"/>
    </row>
    <row r="590" spans="1:20">
      <c r="A590" s="3"/>
      <c r="B590" s="3"/>
      <c r="C590" s="2"/>
      <c r="D590" s="2"/>
      <c r="E590" s="64"/>
      <c r="F590" s="64"/>
      <c r="G590" s="64"/>
      <c r="H590" s="64"/>
      <c r="I590" s="2"/>
      <c r="J590" s="2"/>
      <c r="K590" s="2"/>
      <c r="L590" s="2"/>
      <c r="M590" s="2"/>
      <c r="N590" s="2"/>
      <c r="O590" s="2"/>
      <c r="P590" s="66"/>
      <c r="Q590" s="66"/>
      <c r="R590" s="2"/>
      <c r="S590" s="2"/>
      <c r="T590" s="2"/>
    </row>
    <row r="591" spans="1:20">
      <c r="A591" s="3"/>
      <c r="B591" s="3"/>
      <c r="C591" s="2"/>
      <c r="D591" s="2"/>
      <c r="E591" s="64"/>
      <c r="F591" s="64"/>
      <c r="G591" s="64"/>
      <c r="H591" s="64"/>
      <c r="I591" s="2"/>
      <c r="J591" s="2"/>
      <c r="K591" s="2"/>
      <c r="L591" s="2"/>
      <c r="M591" s="2"/>
      <c r="N591" s="2"/>
      <c r="O591" s="2"/>
      <c r="P591" s="66"/>
      <c r="Q591" s="66"/>
      <c r="R591" s="2"/>
      <c r="S591" s="2"/>
      <c r="T591" s="2"/>
    </row>
    <row r="592" spans="1:20">
      <c r="A592" s="3"/>
      <c r="B592" s="3"/>
      <c r="C592" s="2"/>
      <c r="D592" s="2"/>
      <c r="E592" s="64"/>
      <c r="F592" s="64"/>
      <c r="G592" s="64"/>
      <c r="H592" s="64"/>
      <c r="I592" s="2"/>
      <c r="J592" s="2"/>
      <c r="K592" s="2"/>
      <c r="L592" s="2"/>
      <c r="M592" s="2"/>
      <c r="N592" s="2"/>
      <c r="O592" s="2"/>
      <c r="P592" s="66"/>
      <c r="Q592" s="66"/>
      <c r="R592" s="2"/>
      <c r="S592" s="2"/>
      <c r="T592" s="2"/>
    </row>
    <row r="593" spans="1:20">
      <c r="A593" s="3"/>
      <c r="B593" s="3"/>
      <c r="C593" s="2"/>
      <c r="D593" s="2"/>
      <c r="E593" s="64"/>
      <c r="F593" s="64"/>
      <c r="G593" s="64"/>
      <c r="H593" s="64"/>
      <c r="I593" s="2"/>
      <c r="J593" s="2"/>
      <c r="K593" s="2"/>
      <c r="L593" s="2"/>
      <c r="M593" s="2"/>
      <c r="N593" s="2"/>
      <c r="O593" s="2"/>
      <c r="P593" s="66"/>
      <c r="Q593" s="66"/>
      <c r="R593" s="2"/>
      <c r="S593" s="2"/>
      <c r="T593" s="2"/>
    </row>
    <row r="594" spans="1:20">
      <c r="A594" s="3"/>
      <c r="B594" s="3"/>
      <c r="C594" s="2"/>
      <c r="D594" s="2"/>
      <c r="E594" s="64"/>
      <c r="F594" s="64"/>
      <c r="G594" s="64"/>
      <c r="H594" s="64"/>
      <c r="I594" s="2"/>
      <c r="J594" s="2"/>
      <c r="K594" s="2"/>
      <c r="L594" s="2"/>
      <c r="M594" s="2"/>
      <c r="N594" s="2"/>
      <c r="O594" s="2"/>
      <c r="P594" s="66"/>
      <c r="Q594" s="66"/>
      <c r="R594" s="2"/>
      <c r="S594" s="2"/>
      <c r="T594" s="2"/>
    </row>
    <row r="595" spans="1:20">
      <c r="A595" s="3"/>
      <c r="B595" s="3"/>
      <c r="C595" s="2"/>
      <c r="D595" s="2"/>
      <c r="E595" s="64"/>
      <c r="F595" s="64"/>
      <c r="G595" s="64"/>
      <c r="H595" s="64"/>
      <c r="I595" s="2"/>
      <c r="J595" s="2"/>
      <c r="K595" s="2"/>
      <c r="L595" s="2"/>
      <c r="M595" s="2"/>
      <c r="N595" s="2"/>
      <c r="O595" s="2"/>
      <c r="P595" s="66"/>
      <c r="Q595" s="66"/>
      <c r="R595" s="2"/>
      <c r="S595" s="2"/>
      <c r="T595" s="2"/>
    </row>
    <row r="596" spans="1:20">
      <c r="A596" s="3"/>
      <c r="B596" s="3"/>
      <c r="C596" s="2"/>
      <c r="D596" s="2"/>
      <c r="E596" s="64"/>
      <c r="F596" s="64"/>
      <c r="G596" s="64"/>
      <c r="H596" s="64"/>
      <c r="I596" s="2"/>
      <c r="J596" s="2"/>
      <c r="K596" s="2"/>
      <c r="L596" s="2"/>
      <c r="M596" s="2"/>
      <c r="N596" s="2"/>
      <c r="O596" s="2"/>
      <c r="P596" s="66"/>
      <c r="Q596" s="66"/>
      <c r="R596" s="2"/>
      <c r="S596" s="2"/>
      <c r="T596" s="2"/>
    </row>
    <row r="597" spans="1:20">
      <c r="A597" s="3"/>
      <c r="B597" s="3"/>
      <c r="C597" s="2"/>
      <c r="D597" s="2"/>
      <c r="E597" s="64"/>
      <c r="F597" s="64"/>
      <c r="G597" s="64"/>
      <c r="H597" s="64"/>
      <c r="I597" s="2"/>
      <c r="J597" s="2"/>
      <c r="K597" s="2"/>
      <c r="L597" s="2"/>
      <c r="M597" s="2"/>
      <c r="N597" s="2"/>
      <c r="O597" s="2"/>
      <c r="P597" s="66"/>
      <c r="Q597" s="66"/>
      <c r="R597" s="2"/>
      <c r="S597" s="2"/>
      <c r="T597" s="2"/>
    </row>
    <row r="598" spans="1:20">
      <c r="A598" s="3"/>
      <c r="B598" s="3"/>
      <c r="C598" s="2"/>
      <c r="D598" s="2"/>
      <c r="E598" s="64"/>
      <c r="F598" s="64"/>
      <c r="G598" s="64"/>
      <c r="H598" s="64"/>
      <c r="I598" s="2"/>
      <c r="J598" s="2"/>
      <c r="K598" s="2"/>
      <c r="L598" s="2"/>
      <c r="M598" s="2"/>
      <c r="N598" s="2"/>
      <c r="O598" s="2"/>
      <c r="P598" s="66"/>
      <c r="Q598" s="66"/>
      <c r="R598" s="2"/>
      <c r="S598" s="2"/>
      <c r="T598" s="2"/>
    </row>
    <row r="599" spans="1:20">
      <c r="A599" s="3"/>
      <c r="B599" s="3"/>
      <c r="C599" s="2"/>
      <c r="D599" s="2"/>
      <c r="E599" s="64"/>
      <c r="F599" s="64"/>
      <c r="G599" s="64"/>
      <c r="H599" s="64"/>
      <c r="I599" s="2"/>
      <c r="J599" s="2"/>
      <c r="K599" s="2"/>
      <c r="L599" s="2"/>
      <c r="M599" s="2"/>
      <c r="N599" s="2"/>
      <c r="O599" s="2"/>
      <c r="P599" s="66"/>
      <c r="Q599" s="66"/>
      <c r="R599" s="2"/>
      <c r="S599" s="2"/>
      <c r="T599" s="2"/>
    </row>
    <row r="600" spans="1:20">
      <c r="A600" s="3"/>
      <c r="B600" s="3"/>
      <c r="C600" s="2"/>
      <c r="D600" s="2"/>
      <c r="E600" s="64"/>
      <c r="F600" s="64"/>
      <c r="G600" s="64"/>
      <c r="H600" s="64"/>
      <c r="I600" s="2"/>
      <c r="J600" s="2"/>
      <c r="K600" s="2"/>
      <c r="L600" s="2"/>
      <c r="M600" s="2"/>
      <c r="N600" s="2"/>
      <c r="O600" s="2"/>
      <c r="P600" s="66"/>
      <c r="Q600" s="66"/>
      <c r="R600" s="2"/>
      <c r="S600" s="2"/>
      <c r="T600" s="2"/>
    </row>
    <row r="601" spans="1:20">
      <c r="A601" s="3"/>
      <c r="B601" s="3"/>
      <c r="C601" s="2"/>
      <c r="D601" s="2"/>
      <c r="E601" s="64"/>
      <c r="F601" s="64"/>
      <c r="G601" s="64"/>
      <c r="H601" s="64"/>
      <c r="I601" s="2"/>
      <c r="J601" s="2"/>
      <c r="K601" s="2"/>
      <c r="L601" s="2"/>
      <c r="M601" s="2"/>
      <c r="N601" s="2"/>
      <c r="O601" s="2"/>
      <c r="P601" s="66"/>
      <c r="Q601" s="66"/>
      <c r="R601" s="2"/>
      <c r="S601" s="2"/>
      <c r="T601" s="2"/>
    </row>
    <row r="602" spans="1:20">
      <c r="A602" s="3"/>
      <c r="B602" s="3"/>
      <c r="C602" s="2"/>
      <c r="D602" s="2"/>
      <c r="E602" s="64"/>
      <c r="F602" s="64"/>
      <c r="G602" s="64"/>
      <c r="H602" s="64"/>
      <c r="I602" s="2"/>
      <c r="J602" s="2"/>
      <c r="K602" s="2"/>
      <c r="L602" s="2"/>
      <c r="M602" s="2"/>
      <c r="N602" s="2"/>
      <c r="O602" s="2"/>
      <c r="P602" s="66"/>
      <c r="Q602" s="66"/>
      <c r="R602" s="2"/>
      <c r="S602" s="2"/>
      <c r="T602" s="2"/>
    </row>
    <row r="603" spans="1:20">
      <c r="A603" s="3"/>
      <c r="B603" s="3"/>
      <c r="C603" s="2"/>
      <c r="D603" s="2"/>
      <c r="E603" s="64"/>
      <c r="F603" s="64"/>
      <c r="G603" s="64"/>
      <c r="H603" s="64"/>
      <c r="I603" s="2"/>
      <c r="J603" s="2"/>
      <c r="K603" s="2"/>
      <c r="L603" s="2"/>
      <c r="M603" s="2"/>
      <c r="N603" s="2"/>
      <c r="O603" s="2"/>
      <c r="P603" s="66"/>
      <c r="Q603" s="66"/>
      <c r="R603" s="2"/>
      <c r="S603" s="2"/>
      <c r="T603" s="2"/>
    </row>
    <row r="604" spans="1:20">
      <c r="A604" s="3"/>
      <c r="B604" s="3"/>
      <c r="C604" s="2"/>
      <c r="D604" s="2"/>
      <c r="E604" s="64"/>
      <c r="F604" s="64"/>
      <c r="G604" s="64"/>
      <c r="H604" s="64"/>
      <c r="I604" s="2"/>
      <c r="J604" s="2"/>
      <c r="K604" s="2"/>
      <c r="L604" s="2"/>
      <c r="M604" s="2"/>
      <c r="N604" s="2"/>
      <c r="O604" s="2"/>
      <c r="P604" s="66"/>
      <c r="Q604" s="66"/>
      <c r="R604" s="2"/>
      <c r="S604" s="2"/>
      <c r="T604" s="2"/>
    </row>
    <row r="605" spans="1:20">
      <c r="A605" s="3"/>
      <c r="B605" s="3"/>
      <c r="C605" s="2"/>
      <c r="D605" s="2"/>
      <c r="E605" s="64"/>
      <c r="F605" s="64"/>
      <c r="G605" s="64"/>
      <c r="H605" s="64"/>
      <c r="I605" s="2"/>
      <c r="J605" s="2"/>
      <c r="K605" s="2"/>
      <c r="L605" s="2"/>
      <c r="M605" s="2"/>
      <c r="N605" s="2"/>
      <c r="O605" s="2"/>
      <c r="P605" s="66"/>
      <c r="Q605" s="66"/>
      <c r="R605" s="2"/>
      <c r="S605" s="2"/>
      <c r="T605" s="2"/>
    </row>
    <row r="606" spans="1:20">
      <c r="A606" s="3"/>
      <c r="B606" s="3"/>
      <c r="C606" s="2"/>
      <c r="D606" s="2"/>
      <c r="E606" s="64"/>
      <c r="F606" s="64"/>
      <c r="G606" s="64"/>
      <c r="H606" s="64"/>
      <c r="I606" s="2"/>
      <c r="J606" s="2"/>
      <c r="K606" s="2"/>
      <c r="L606" s="2"/>
      <c r="M606" s="2"/>
      <c r="N606" s="2"/>
      <c r="O606" s="2"/>
      <c r="P606" s="66"/>
      <c r="Q606" s="66"/>
      <c r="R606" s="2"/>
      <c r="S606" s="2"/>
      <c r="T606" s="2"/>
    </row>
    <row r="607" spans="1:20">
      <c r="A607" s="3"/>
      <c r="B607" s="3"/>
      <c r="C607" s="2"/>
      <c r="D607" s="2"/>
      <c r="E607" s="64"/>
      <c r="F607" s="64"/>
      <c r="G607" s="64"/>
      <c r="H607" s="64"/>
      <c r="I607" s="2"/>
      <c r="J607" s="2"/>
      <c r="K607" s="2"/>
      <c r="L607" s="2"/>
      <c r="M607" s="2"/>
      <c r="N607" s="2"/>
      <c r="O607" s="2"/>
      <c r="P607" s="66"/>
      <c r="Q607" s="66"/>
      <c r="R607" s="2"/>
      <c r="S607" s="2"/>
      <c r="T607" s="2"/>
    </row>
    <row r="608" spans="1:20">
      <c r="A608" s="3"/>
      <c r="B608" s="3"/>
      <c r="C608" s="2"/>
      <c r="D608" s="2"/>
      <c r="E608" s="64"/>
      <c r="F608" s="64"/>
      <c r="G608" s="64"/>
      <c r="H608" s="64"/>
      <c r="I608" s="2"/>
      <c r="J608" s="2"/>
      <c r="K608" s="2"/>
      <c r="L608" s="2"/>
      <c r="M608" s="2"/>
      <c r="N608" s="2"/>
      <c r="O608" s="2"/>
      <c r="P608" s="66"/>
      <c r="Q608" s="66"/>
      <c r="R608" s="2"/>
      <c r="S608" s="2"/>
      <c r="T608" s="2"/>
    </row>
    <row r="609" spans="1:20">
      <c r="A609" s="3"/>
      <c r="B609" s="3"/>
      <c r="C609" s="2"/>
      <c r="D609" s="2"/>
      <c r="E609" s="64"/>
      <c r="F609" s="64"/>
      <c r="G609" s="64"/>
      <c r="H609" s="64"/>
      <c r="I609" s="2"/>
      <c r="J609" s="2"/>
      <c r="K609" s="2"/>
      <c r="L609" s="2"/>
      <c r="M609" s="2"/>
      <c r="N609" s="2"/>
      <c r="O609" s="2"/>
      <c r="P609" s="66"/>
      <c r="Q609" s="66"/>
      <c r="R609" s="2"/>
      <c r="S609" s="2"/>
      <c r="T609" s="2"/>
    </row>
    <row r="610" spans="1:20">
      <c r="A610" s="3"/>
      <c r="B610" s="3"/>
      <c r="C610" s="2"/>
      <c r="D610" s="2"/>
      <c r="E610" s="64"/>
      <c r="F610" s="64"/>
      <c r="G610" s="64"/>
      <c r="H610" s="64"/>
      <c r="I610" s="2"/>
      <c r="J610" s="2"/>
      <c r="K610" s="2"/>
      <c r="L610" s="2"/>
      <c r="M610" s="2"/>
      <c r="N610" s="2"/>
      <c r="O610" s="2"/>
      <c r="P610" s="66"/>
      <c r="Q610" s="66"/>
      <c r="R610" s="2"/>
      <c r="S610" s="2"/>
      <c r="T610" s="2"/>
    </row>
    <row r="611" spans="1:20">
      <c r="A611" s="3"/>
      <c r="B611" s="3"/>
      <c r="C611" s="2"/>
      <c r="D611" s="2"/>
      <c r="E611" s="64"/>
      <c r="F611" s="64"/>
      <c r="G611" s="64"/>
      <c r="H611" s="64"/>
      <c r="I611" s="2"/>
      <c r="J611" s="2"/>
      <c r="K611" s="2"/>
      <c r="L611" s="2"/>
      <c r="M611" s="2"/>
      <c r="N611" s="2"/>
      <c r="O611" s="2"/>
      <c r="P611" s="66"/>
      <c r="Q611" s="66"/>
      <c r="R611" s="2"/>
      <c r="S611" s="2"/>
      <c r="T611" s="2"/>
    </row>
    <row r="612" spans="1:20">
      <c r="A612" s="3"/>
      <c r="B612" s="3"/>
      <c r="C612" s="2"/>
      <c r="D612" s="2"/>
      <c r="E612" s="64"/>
      <c r="F612" s="64"/>
      <c r="G612" s="64"/>
      <c r="H612" s="64"/>
      <c r="I612" s="2"/>
      <c r="J612" s="2"/>
      <c r="K612" s="2"/>
      <c r="L612" s="2"/>
      <c r="M612" s="2"/>
      <c r="N612" s="2"/>
      <c r="O612" s="2"/>
      <c r="P612" s="66"/>
      <c r="Q612" s="66"/>
      <c r="R612" s="2"/>
      <c r="S612" s="2"/>
      <c r="T612" s="2"/>
    </row>
    <row r="613" spans="1:20">
      <c r="A613" s="3"/>
      <c r="B613" s="3"/>
      <c r="C613" s="2"/>
      <c r="D613" s="2"/>
      <c r="E613" s="64"/>
      <c r="F613" s="64"/>
      <c r="G613" s="64"/>
      <c r="H613" s="64"/>
      <c r="I613" s="2"/>
      <c r="J613" s="2"/>
      <c r="K613" s="2"/>
      <c r="L613" s="2"/>
      <c r="M613" s="2"/>
      <c r="N613" s="2"/>
      <c r="O613" s="2"/>
      <c r="P613" s="66"/>
      <c r="Q613" s="66"/>
      <c r="R613" s="2"/>
      <c r="S613" s="2"/>
      <c r="T613" s="2"/>
    </row>
    <row r="614" spans="1:20">
      <c r="A614" s="3"/>
      <c r="B614" s="3"/>
      <c r="C614" s="2"/>
      <c r="D614" s="2"/>
      <c r="E614" s="64"/>
      <c r="F614" s="64"/>
      <c r="G614" s="64"/>
      <c r="H614" s="64"/>
      <c r="I614" s="2"/>
      <c r="J614" s="2"/>
      <c r="K614" s="2"/>
      <c r="L614" s="2"/>
      <c r="M614" s="2"/>
      <c r="N614" s="2"/>
      <c r="O614" s="2"/>
      <c r="P614" s="66"/>
      <c r="Q614" s="66"/>
      <c r="R614" s="2"/>
      <c r="S614" s="2"/>
      <c r="T614" s="2"/>
    </row>
    <row r="615" spans="1:20">
      <c r="A615" s="3"/>
      <c r="B615" s="3"/>
      <c r="C615" s="2"/>
      <c r="D615" s="2"/>
      <c r="E615" s="64"/>
      <c r="F615" s="64"/>
      <c r="G615" s="64"/>
      <c r="H615" s="64"/>
      <c r="I615" s="2"/>
      <c r="J615" s="2"/>
      <c r="K615" s="2"/>
      <c r="L615" s="2"/>
      <c r="M615" s="2"/>
      <c r="N615" s="2"/>
      <c r="O615" s="2"/>
      <c r="P615" s="66"/>
      <c r="Q615" s="66"/>
      <c r="R615" s="2"/>
      <c r="S615" s="2"/>
      <c r="T615" s="2"/>
    </row>
    <row r="616" spans="1:20">
      <c r="A616" s="3"/>
      <c r="B616" s="3"/>
      <c r="C616" s="2"/>
      <c r="D616" s="2"/>
      <c r="E616" s="64"/>
      <c r="F616" s="64"/>
      <c r="G616" s="64"/>
      <c r="H616" s="64"/>
      <c r="I616" s="2"/>
      <c r="J616" s="2"/>
      <c r="K616" s="2"/>
      <c r="L616" s="2"/>
      <c r="M616" s="2"/>
      <c r="N616" s="2"/>
      <c r="O616" s="2"/>
      <c r="P616" s="66"/>
      <c r="Q616" s="66"/>
      <c r="R616" s="2"/>
      <c r="S616" s="2"/>
      <c r="T616" s="2"/>
    </row>
    <row r="617" spans="1:20">
      <c r="A617" s="3"/>
      <c r="B617" s="3"/>
      <c r="C617" s="2"/>
      <c r="D617" s="2"/>
      <c r="E617" s="64"/>
      <c r="F617" s="64"/>
      <c r="G617" s="64"/>
      <c r="H617" s="64"/>
      <c r="I617" s="2"/>
      <c r="J617" s="2"/>
      <c r="K617" s="2"/>
      <c r="L617" s="2"/>
      <c r="M617" s="2"/>
      <c r="N617" s="2"/>
      <c r="O617" s="2"/>
      <c r="P617" s="66"/>
      <c r="Q617" s="66"/>
      <c r="R617" s="2"/>
      <c r="S617" s="2"/>
      <c r="T617" s="2"/>
    </row>
    <row r="618" spans="1:20">
      <c r="A618" s="3"/>
      <c r="B618" s="3"/>
      <c r="C618" s="2"/>
      <c r="D618" s="2"/>
      <c r="E618" s="64"/>
      <c r="F618" s="64"/>
      <c r="G618" s="64"/>
      <c r="H618" s="64"/>
      <c r="I618" s="2"/>
      <c r="J618" s="2"/>
      <c r="K618" s="2"/>
      <c r="L618" s="2"/>
      <c r="M618" s="2"/>
      <c r="N618" s="2"/>
      <c r="O618" s="2"/>
      <c r="P618" s="66"/>
      <c r="Q618" s="66"/>
      <c r="R618" s="2"/>
      <c r="S618" s="2"/>
      <c r="T618" s="2"/>
    </row>
    <row r="619" spans="1:20">
      <c r="A619" s="3"/>
      <c r="B619" s="3"/>
      <c r="C619" s="2"/>
      <c r="D619" s="2"/>
      <c r="E619" s="64"/>
      <c r="F619" s="64"/>
      <c r="G619" s="64"/>
      <c r="H619" s="64"/>
      <c r="I619" s="2"/>
      <c r="J619" s="2"/>
      <c r="K619" s="2"/>
      <c r="L619" s="2"/>
      <c r="M619" s="2"/>
      <c r="N619" s="2"/>
      <c r="O619" s="2"/>
      <c r="P619" s="66"/>
      <c r="Q619" s="66"/>
      <c r="R619" s="2"/>
      <c r="S619" s="2"/>
      <c r="T619" s="2"/>
    </row>
    <row r="620" spans="1:20">
      <c r="A620" s="3"/>
      <c r="B620" s="3"/>
      <c r="C620" s="2"/>
      <c r="D620" s="2"/>
      <c r="E620" s="64"/>
      <c r="F620" s="64"/>
      <c r="G620" s="64"/>
      <c r="H620" s="64"/>
      <c r="I620" s="2"/>
      <c r="J620" s="2"/>
      <c r="K620" s="2"/>
      <c r="L620" s="2"/>
      <c r="M620" s="2"/>
      <c r="N620" s="2"/>
      <c r="O620" s="2"/>
      <c r="P620" s="66"/>
      <c r="Q620" s="66"/>
      <c r="R620" s="2"/>
      <c r="S620" s="2"/>
      <c r="T620" s="2"/>
    </row>
    <row r="621" spans="1:20">
      <c r="A621" s="3"/>
      <c r="B621" s="3"/>
      <c r="C621" s="2"/>
      <c r="D621" s="2"/>
      <c r="E621" s="64"/>
      <c r="F621" s="64"/>
      <c r="G621" s="64"/>
      <c r="H621" s="64"/>
      <c r="I621" s="2"/>
      <c r="J621" s="2"/>
      <c r="K621" s="2"/>
      <c r="L621" s="2"/>
      <c r="M621" s="2"/>
      <c r="N621" s="2"/>
      <c r="O621" s="2"/>
      <c r="P621" s="66"/>
      <c r="Q621" s="66"/>
      <c r="R621" s="2"/>
      <c r="S621" s="2"/>
      <c r="T621" s="2"/>
    </row>
    <row r="622" spans="1:20">
      <c r="A622" s="3"/>
      <c r="B622" s="3"/>
      <c r="C622" s="2"/>
      <c r="D622" s="2"/>
      <c r="E622" s="64"/>
      <c r="F622" s="64"/>
      <c r="G622" s="64"/>
      <c r="H622" s="64"/>
      <c r="I622" s="2"/>
      <c r="J622" s="2"/>
      <c r="K622" s="2"/>
      <c r="L622" s="2"/>
      <c r="M622" s="2"/>
      <c r="N622" s="2"/>
      <c r="O622" s="2"/>
      <c r="P622" s="66"/>
      <c r="Q622" s="66"/>
      <c r="R622" s="2"/>
      <c r="S622" s="2"/>
      <c r="T622" s="2"/>
    </row>
    <row r="623" spans="1:20">
      <c r="A623" s="3"/>
      <c r="B623" s="3"/>
      <c r="C623" s="2"/>
      <c r="D623" s="2"/>
      <c r="E623" s="64"/>
      <c r="F623" s="64"/>
      <c r="G623" s="64"/>
      <c r="H623" s="64"/>
      <c r="I623" s="2"/>
      <c r="J623" s="2"/>
      <c r="K623" s="2"/>
      <c r="L623" s="2"/>
      <c r="M623" s="2"/>
      <c r="N623" s="2"/>
      <c r="O623" s="2"/>
      <c r="P623" s="66"/>
      <c r="Q623" s="66"/>
      <c r="R623" s="2"/>
      <c r="S623" s="2"/>
      <c r="T623" s="2"/>
    </row>
    <row r="624" spans="1:20">
      <c r="A624" s="3"/>
      <c r="B624" s="3"/>
      <c r="C624" s="2"/>
      <c r="D624" s="2"/>
      <c r="E624" s="64"/>
      <c r="F624" s="64"/>
      <c r="G624" s="64"/>
      <c r="H624" s="64"/>
      <c r="I624" s="2"/>
      <c r="J624" s="2"/>
      <c r="K624" s="2"/>
      <c r="L624" s="2"/>
      <c r="M624" s="2"/>
      <c r="N624" s="2"/>
      <c r="O624" s="2"/>
      <c r="P624" s="66"/>
      <c r="Q624" s="66"/>
      <c r="R624" s="2"/>
      <c r="S624" s="2"/>
      <c r="T624" s="2"/>
    </row>
    <row r="625" spans="1:20">
      <c r="A625" s="3"/>
      <c r="B625" s="3"/>
      <c r="C625" s="2"/>
      <c r="D625" s="2"/>
      <c r="E625" s="64"/>
      <c r="F625" s="64"/>
      <c r="G625" s="64"/>
      <c r="H625" s="64"/>
      <c r="I625" s="2"/>
      <c r="J625" s="2"/>
      <c r="K625" s="2"/>
      <c r="L625" s="2"/>
      <c r="M625" s="2"/>
      <c r="N625" s="2"/>
      <c r="O625" s="2"/>
      <c r="P625" s="66"/>
      <c r="Q625" s="66"/>
      <c r="R625" s="2"/>
      <c r="S625" s="2"/>
      <c r="T625" s="2"/>
    </row>
    <row r="626" spans="1:20">
      <c r="A626" s="3"/>
      <c r="B626" s="3"/>
      <c r="C626" s="2"/>
      <c r="D626" s="2"/>
      <c r="E626" s="64"/>
      <c r="F626" s="64"/>
      <c r="G626" s="64"/>
      <c r="H626" s="64"/>
      <c r="I626" s="2"/>
      <c r="J626" s="2"/>
      <c r="K626" s="2"/>
      <c r="L626" s="2"/>
      <c r="M626" s="2"/>
      <c r="N626" s="2"/>
      <c r="O626" s="2"/>
      <c r="P626" s="66"/>
      <c r="Q626" s="66"/>
      <c r="R626" s="2"/>
      <c r="S626" s="2"/>
      <c r="T626" s="2"/>
    </row>
    <row r="627" spans="1:20">
      <c r="A627" s="3"/>
      <c r="B627" s="3"/>
      <c r="C627" s="2"/>
      <c r="D627" s="2"/>
      <c r="E627" s="64"/>
      <c r="F627" s="64"/>
      <c r="G627" s="64"/>
      <c r="H627" s="64"/>
      <c r="I627" s="2"/>
      <c r="J627" s="2"/>
      <c r="K627" s="2"/>
      <c r="L627" s="2"/>
      <c r="M627" s="2"/>
      <c r="N627" s="2"/>
      <c r="O627" s="2"/>
      <c r="P627" s="66"/>
      <c r="Q627" s="66"/>
      <c r="R627" s="2"/>
      <c r="S627" s="2"/>
      <c r="T627" s="2"/>
    </row>
    <row r="628" spans="1:20">
      <c r="A628" s="3"/>
      <c r="B628" s="3"/>
      <c r="C628" s="2"/>
      <c r="D628" s="2"/>
      <c r="E628" s="64"/>
      <c r="F628" s="64"/>
      <c r="G628" s="64"/>
      <c r="H628" s="64"/>
      <c r="I628" s="2"/>
      <c r="J628" s="2"/>
      <c r="K628" s="2"/>
      <c r="L628" s="2"/>
      <c r="M628" s="2"/>
      <c r="N628" s="2"/>
      <c r="O628" s="2"/>
      <c r="P628" s="66"/>
      <c r="Q628" s="66"/>
      <c r="R628" s="2"/>
      <c r="S628" s="2"/>
      <c r="T628" s="2"/>
    </row>
    <row r="629" spans="1:20">
      <c r="A629" s="3"/>
      <c r="B629" s="3"/>
      <c r="C629" s="2"/>
      <c r="D629" s="2"/>
      <c r="E629" s="64"/>
      <c r="F629" s="64"/>
      <c r="G629" s="64"/>
      <c r="H629" s="64"/>
      <c r="I629" s="2"/>
      <c r="J629" s="2"/>
      <c r="K629" s="2"/>
      <c r="L629" s="2"/>
      <c r="M629" s="2"/>
      <c r="N629" s="2"/>
      <c r="O629" s="2"/>
      <c r="P629" s="66"/>
      <c r="Q629" s="66"/>
      <c r="R629" s="2"/>
      <c r="S629" s="2"/>
      <c r="T629" s="2"/>
    </row>
    <row r="630" spans="1:20">
      <c r="A630" s="3"/>
      <c r="B630" s="3"/>
      <c r="C630" s="2"/>
      <c r="D630" s="2"/>
      <c r="E630" s="64"/>
      <c r="F630" s="64"/>
      <c r="G630" s="64"/>
      <c r="H630" s="64"/>
      <c r="I630" s="2"/>
      <c r="J630" s="2"/>
      <c r="K630" s="2"/>
      <c r="L630" s="2"/>
      <c r="M630" s="2"/>
      <c r="N630" s="2"/>
      <c r="O630" s="2"/>
      <c r="P630" s="66"/>
      <c r="Q630" s="66"/>
      <c r="R630" s="2"/>
      <c r="S630" s="2"/>
      <c r="T630" s="2"/>
    </row>
    <row r="631" spans="1:20">
      <c r="A631" s="3"/>
      <c r="B631" s="3"/>
      <c r="C631" s="2"/>
      <c r="D631" s="2"/>
      <c r="E631" s="64"/>
      <c r="F631" s="64"/>
      <c r="G631" s="64"/>
      <c r="H631" s="64"/>
      <c r="I631" s="2"/>
      <c r="J631" s="2"/>
      <c r="K631" s="2"/>
      <c r="L631" s="2"/>
      <c r="M631" s="2"/>
      <c r="N631" s="2"/>
      <c r="O631" s="2"/>
      <c r="P631" s="66"/>
      <c r="Q631" s="66"/>
      <c r="R631" s="2"/>
      <c r="S631" s="2"/>
      <c r="T631" s="2"/>
    </row>
    <row r="632" spans="1:20">
      <c r="A632" s="3"/>
      <c r="B632" s="3"/>
      <c r="C632" s="2"/>
      <c r="D632" s="2"/>
      <c r="E632" s="64"/>
      <c r="F632" s="64"/>
      <c r="G632" s="64"/>
      <c r="H632" s="64"/>
      <c r="I632" s="2"/>
      <c r="J632" s="2"/>
      <c r="K632" s="2"/>
      <c r="L632" s="2"/>
      <c r="M632" s="2"/>
      <c r="N632" s="2"/>
      <c r="O632" s="2"/>
      <c r="P632" s="66"/>
      <c r="Q632" s="66"/>
      <c r="R632" s="2"/>
      <c r="S632" s="2"/>
      <c r="T632" s="2"/>
    </row>
    <row r="633" spans="1:20">
      <c r="A633" s="3"/>
      <c r="B633" s="3"/>
      <c r="C633" s="2"/>
      <c r="D633" s="2"/>
      <c r="E633" s="64"/>
      <c r="F633" s="64"/>
      <c r="G633" s="64"/>
      <c r="H633" s="64"/>
      <c r="I633" s="2"/>
      <c r="J633" s="2"/>
      <c r="K633" s="2"/>
      <c r="L633" s="2"/>
      <c r="M633" s="2"/>
      <c r="N633" s="2"/>
      <c r="O633" s="2"/>
      <c r="P633" s="66"/>
      <c r="Q633" s="66"/>
      <c r="R633" s="2"/>
      <c r="S633" s="2"/>
      <c r="T633" s="2"/>
    </row>
    <row r="634" spans="1:20">
      <c r="A634" s="3"/>
      <c r="B634" s="3"/>
      <c r="C634" s="2"/>
      <c r="D634" s="2"/>
      <c r="E634" s="64"/>
      <c r="F634" s="64"/>
      <c r="G634" s="64"/>
      <c r="H634" s="64"/>
      <c r="I634" s="2"/>
      <c r="J634" s="2"/>
      <c r="K634" s="2"/>
      <c r="L634" s="2"/>
      <c r="M634" s="2"/>
      <c r="N634" s="2"/>
      <c r="O634" s="2"/>
      <c r="P634" s="66"/>
      <c r="Q634" s="66"/>
      <c r="R634" s="2"/>
      <c r="S634" s="2"/>
      <c r="T634" s="2"/>
    </row>
    <row r="635" spans="1:20">
      <c r="A635" s="3"/>
      <c r="B635" s="3"/>
      <c r="C635" s="2"/>
      <c r="D635" s="2"/>
      <c r="E635" s="64"/>
      <c r="F635" s="64"/>
      <c r="G635" s="64"/>
      <c r="H635" s="64"/>
      <c r="I635" s="2"/>
      <c r="J635" s="2"/>
      <c r="K635" s="2"/>
      <c r="L635" s="2"/>
      <c r="M635" s="2"/>
      <c r="N635" s="2"/>
      <c r="O635" s="2"/>
      <c r="P635" s="66"/>
      <c r="Q635" s="66"/>
      <c r="R635" s="2"/>
      <c r="S635" s="2"/>
      <c r="T635" s="2"/>
    </row>
    <row r="636" spans="1:20">
      <c r="A636" s="3"/>
      <c r="B636" s="3"/>
      <c r="C636" s="2"/>
      <c r="D636" s="2"/>
      <c r="E636" s="64"/>
      <c r="F636" s="64"/>
      <c r="G636" s="64"/>
      <c r="H636" s="64"/>
      <c r="I636" s="2"/>
      <c r="J636" s="2"/>
      <c r="K636" s="2"/>
      <c r="L636" s="2"/>
      <c r="M636" s="2"/>
      <c r="N636" s="2"/>
      <c r="O636" s="2"/>
      <c r="P636" s="66"/>
      <c r="Q636" s="66"/>
      <c r="R636" s="2"/>
      <c r="S636" s="2"/>
      <c r="T636" s="2"/>
    </row>
    <row r="637" spans="1:20">
      <c r="A637" s="3"/>
      <c r="B637" s="3"/>
      <c r="C637" s="2"/>
      <c r="D637" s="2"/>
      <c r="E637" s="64"/>
      <c r="F637" s="64"/>
      <c r="G637" s="64"/>
      <c r="H637" s="64"/>
      <c r="I637" s="2"/>
      <c r="J637" s="2"/>
      <c r="K637" s="2"/>
      <c r="L637" s="2"/>
      <c r="M637" s="2"/>
      <c r="N637" s="2"/>
      <c r="O637" s="2"/>
      <c r="P637" s="66"/>
      <c r="Q637" s="66"/>
      <c r="R637" s="2"/>
      <c r="S637" s="2"/>
      <c r="T637" s="2"/>
    </row>
    <row r="638" spans="1:20">
      <c r="A638" s="3"/>
      <c r="B638" s="3"/>
      <c r="C638" s="2"/>
      <c r="D638" s="2"/>
      <c r="E638" s="64"/>
      <c r="F638" s="64"/>
      <c r="G638" s="64"/>
      <c r="H638" s="64"/>
      <c r="I638" s="2"/>
      <c r="J638" s="2"/>
      <c r="K638" s="2"/>
      <c r="L638" s="2"/>
      <c r="M638" s="2"/>
      <c r="N638" s="2"/>
      <c r="O638" s="2"/>
      <c r="P638" s="66"/>
      <c r="Q638" s="66"/>
      <c r="R638" s="2"/>
      <c r="S638" s="2"/>
      <c r="T638" s="2"/>
    </row>
    <row r="639" spans="1:20">
      <c r="A639" s="3"/>
      <c r="B639" s="3"/>
      <c r="C639" s="2"/>
      <c r="D639" s="2"/>
      <c r="E639" s="64"/>
      <c r="F639" s="64"/>
      <c r="G639" s="64"/>
      <c r="H639" s="64"/>
      <c r="I639" s="2"/>
      <c r="J639" s="2"/>
      <c r="K639" s="2"/>
      <c r="L639" s="2"/>
      <c r="M639" s="2"/>
      <c r="N639" s="2"/>
      <c r="O639" s="2"/>
      <c r="P639" s="66"/>
      <c r="Q639" s="66"/>
      <c r="R639" s="2"/>
      <c r="S639" s="2"/>
      <c r="T639" s="2"/>
    </row>
    <row r="640" spans="1:20">
      <c r="A640" s="3"/>
      <c r="B640" s="3"/>
      <c r="C640" s="2"/>
      <c r="D640" s="2"/>
      <c r="E640" s="64"/>
      <c r="F640" s="64"/>
      <c r="G640" s="64"/>
      <c r="H640" s="64"/>
      <c r="I640" s="2"/>
      <c r="J640" s="2"/>
      <c r="K640" s="2"/>
      <c r="L640" s="2"/>
      <c r="M640" s="2"/>
      <c r="N640" s="2"/>
      <c r="O640" s="2"/>
      <c r="P640" s="66"/>
      <c r="Q640" s="66"/>
      <c r="R640" s="2"/>
      <c r="S640" s="2"/>
      <c r="T640" s="2"/>
    </row>
    <row r="641" spans="1:20">
      <c r="A641" s="3"/>
      <c r="B641" s="3"/>
      <c r="C641" s="2"/>
      <c r="D641" s="2"/>
      <c r="E641" s="64"/>
      <c r="F641" s="64"/>
      <c r="G641" s="64"/>
      <c r="H641" s="64"/>
      <c r="I641" s="2"/>
      <c r="J641" s="2"/>
      <c r="K641" s="2"/>
      <c r="L641" s="2"/>
      <c r="M641" s="2"/>
      <c r="N641" s="2"/>
      <c r="O641" s="2"/>
      <c r="P641" s="66"/>
      <c r="Q641" s="66"/>
      <c r="R641" s="2"/>
      <c r="S641" s="2"/>
      <c r="T641" s="2"/>
    </row>
    <row r="642" spans="1:20">
      <c r="A642" s="3"/>
      <c r="B642" s="3"/>
      <c r="C642" s="2"/>
      <c r="D642" s="2"/>
      <c r="E642" s="64"/>
      <c r="F642" s="64"/>
      <c r="G642" s="64"/>
      <c r="H642" s="64"/>
      <c r="I642" s="2"/>
      <c r="J642" s="2"/>
      <c r="K642" s="2"/>
      <c r="L642" s="2"/>
      <c r="M642" s="2"/>
      <c r="N642" s="2"/>
      <c r="O642" s="2"/>
      <c r="P642" s="66"/>
      <c r="Q642" s="66"/>
      <c r="R642" s="2"/>
      <c r="S642" s="2"/>
      <c r="T642" s="2"/>
    </row>
    <row r="643" spans="1:20">
      <c r="A643" s="3"/>
      <c r="B643" s="3"/>
      <c r="C643" s="2"/>
      <c r="D643" s="2"/>
      <c r="E643" s="64"/>
      <c r="F643" s="64"/>
      <c r="G643" s="64"/>
      <c r="H643" s="64"/>
      <c r="I643" s="2"/>
      <c r="J643" s="2"/>
      <c r="K643" s="2"/>
      <c r="L643" s="2"/>
      <c r="M643" s="2"/>
      <c r="N643" s="2"/>
      <c r="O643" s="2"/>
      <c r="P643" s="66"/>
      <c r="Q643" s="66"/>
      <c r="R643" s="2"/>
      <c r="S643" s="2"/>
      <c r="T643" s="2"/>
    </row>
    <row r="644" spans="1:20">
      <c r="A644" s="3"/>
      <c r="B644" s="3"/>
      <c r="C644" s="2"/>
      <c r="D644" s="2"/>
      <c r="E644" s="64"/>
      <c r="F644" s="64"/>
      <c r="G644" s="64"/>
      <c r="H644" s="64"/>
      <c r="I644" s="2"/>
      <c r="J644" s="2"/>
      <c r="K644" s="2"/>
      <c r="L644" s="2"/>
      <c r="M644" s="2"/>
      <c r="N644" s="2"/>
      <c r="O644" s="2"/>
      <c r="P644" s="66"/>
      <c r="Q644" s="66"/>
      <c r="R644" s="2"/>
      <c r="S644" s="2"/>
      <c r="T644" s="2"/>
    </row>
    <row r="645" spans="1:20">
      <c r="A645" s="3"/>
      <c r="B645" s="3"/>
      <c r="C645" s="2"/>
      <c r="D645" s="2"/>
      <c r="E645" s="64"/>
      <c r="F645" s="64"/>
      <c r="G645" s="64"/>
      <c r="H645" s="64"/>
      <c r="I645" s="2"/>
      <c r="J645" s="2"/>
      <c r="K645" s="2"/>
      <c r="L645" s="2"/>
      <c r="M645" s="2"/>
      <c r="N645" s="2"/>
      <c r="O645" s="2"/>
      <c r="P645" s="66"/>
      <c r="Q645" s="66"/>
      <c r="R645" s="2"/>
      <c r="S645" s="2"/>
      <c r="T645" s="2"/>
    </row>
    <row r="646" spans="1:20">
      <c r="A646" s="3"/>
      <c r="B646" s="3"/>
      <c r="C646" s="2"/>
      <c r="D646" s="2"/>
      <c r="E646" s="64"/>
      <c r="F646" s="64"/>
      <c r="G646" s="64"/>
      <c r="H646" s="64"/>
      <c r="I646" s="2"/>
      <c r="J646" s="2"/>
      <c r="K646" s="2"/>
      <c r="L646" s="2"/>
      <c r="M646" s="2"/>
      <c r="N646" s="2"/>
      <c r="O646" s="2"/>
      <c r="P646" s="66"/>
      <c r="Q646" s="66"/>
      <c r="R646" s="2"/>
      <c r="S646" s="2"/>
      <c r="T646" s="2"/>
    </row>
    <row r="647" spans="1:20">
      <c r="A647" s="3"/>
      <c r="B647" s="3"/>
      <c r="C647" s="2"/>
      <c r="D647" s="2"/>
      <c r="E647" s="64"/>
      <c r="F647" s="64"/>
      <c r="G647" s="64"/>
      <c r="H647" s="64"/>
      <c r="I647" s="2"/>
      <c r="J647" s="2"/>
      <c r="K647" s="2"/>
      <c r="L647" s="2"/>
      <c r="M647" s="2"/>
      <c r="N647" s="2"/>
      <c r="O647" s="2"/>
      <c r="P647" s="66"/>
      <c r="Q647" s="66"/>
      <c r="R647" s="2"/>
      <c r="S647" s="2"/>
      <c r="T647" s="2"/>
    </row>
    <row r="648" spans="1:20">
      <c r="A648" s="3"/>
      <c r="B648" s="3"/>
      <c r="C648" s="2"/>
      <c r="D648" s="2"/>
      <c r="E648" s="64"/>
      <c r="F648" s="64"/>
      <c r="G648" s="64"/>
      <c r="H648" s="64"/>
      <c r="I648" s="2"/>
      <c r="J648" s="2"/>
      <c r="K648" s="2"/>
      <c r="L648" s="2"/>
      <c r="M648" s="2"/>
      <c r="N648" s="2"/>
      <c r="O648" s="2"/>
      <c r="P648" s="66"/>
      <c r="Q648" s="66"/>
      <c r="R648" s="2"/>
      <c r="S648" s="2"/>
      <c r="T648" s="2"/>
    </row>
    <row r="649" spans="1:20">
      <c r="A649" s="3"/>
      <c r="B649" s="3"/>
      <c r="C649" s="2"/>
      <c r="D649" s="2"/>
      <c r="E649" s="64"/>
      <c r="F649" s="64"/>
      <c r="G649" s="64"/>
      <c r="H649" s="64"/>
      <c r="I649" s="2"/>
      <c r="J649" s="2"/>
      <c r="K649" s="2"/>
      <c r="L649" s="2"/>
      <c r="M649" s="2"/>
      <c r="N649" s="2"/>
      <c r="O649" s="2"/>
      <c r="P649" s="66"/>
      <c r="Q649" s="66"/>
      <c r="R649" s="2"/>
      <c r="S649" s="2"/>
      <c r="T649" s="2"/>
    </row>
    <row r="650" spans="1:20">
      <c r="A650" s="3"/>
      <c r="B650" s="3"/>
      <c r="C650" s="2"/>
      <c r="D650" s="2"/>
      <c r="E650" s="64"/>
      <c r="F650" s="64"/>
      <c r="G650" s="64"/>
      <c r="H650" s="64"/>
      <c r="I650" s="2"/>
      <c r="J650" s="2"/>
      <c r="K650" s="2"/>
      <c r="L650" s="2"/>
      <c r="M650" s="2"/>
      <c r="N650" s="2"/>
      <c r="O650" s="2"/>
      <c r="P650" s="66"/>
      <c r="Q650" s="66"/>
      <c r="R650" s="2"/>
      <c r="S650" s="2"/>
      <c r="T650" s="2"/>
    </row>
    <row r="651" spans="1:20">
      <c r="A651" s="3"/>
      <c r="B651" s="3"/>
      <c r="C651" s="2"/>
      <c r="D651" s="2"/>
      <c r="E651" s="64"/>
      <c r="F651" s="64"/>
      <c r="G651" s="64"/>
      <c r="H651" s="64"/>
      <c r="I651" s="2"/>
      <c r="J651" s="2"/>
      <c r="K651" s="2"/>
      <c r="L651" s="2"/>
      <c r="M651" s="2"/>
      <c r="N651" s="2"/>
      <c r="O651" s="2"/>
      <c r="P651" s="66"/>
      <c r="Q651" s="66"/>
      <c r="R651" s="2"/>
      <c r="S651" s="2"/>
      <c r="T651" s="2"/>
    </row>
    <row r="652" spans="1:20">
      <c r="A652" s="3"/>
      <c r="B652" s="3"/>
      <c r="C652" s="2"/>
      <c r="D652" s="2"/>
      <c r="E652" s="64"/>
      <c r="F652" s="64"/>
      <c r="G652" s="64"/>
      <c r="H652" s="64"/>
      <c r="I652" s="2"/>
      <c r="J652" s="2"/>
      <c r="K652" s="2"/>
      <c r="L652" s="2"/>
      <c r="M652" s="2"/>
      <c r="N652" s="2"/>
      <c r="O652" s="2"/>
      <c r="P652" s="66"/>
      <c r="Q652" s="66"/>
      <c r="R652" s="2"/>
      <c r="S652" s="2"/>
      <c r="T652" s="2"/>
    </row>
    <row r="653" spans="1:20">
      <c r="A653" s="3"/>
      <c r="B653" s="3"/>
      <c r="C653" s="2"/>
      <c r="D653" s="2"/>
      <c r="E653" s="64"/>
      <c r="F653" s="64"/>
      <c r="G653" s="64"/>
      <c r="H653" s="64"/>
      <c r="I653" s="2"/>
      <c r="J653" s="2"/>
      <c r="K653" s="2"/>
      <c r="L653" s="2"/>
      <c r="M653" s="2"/>
      <c r="N653" s="2"/>
      <c r="O653" s="2"/>
      <c r="P653" s="66"/>
      <c r="Q653" s="66"/>
      <c r="R653" s="2"/>
      <c r="S653" s="2"/>
      <c r="T653" s="2"/>
    </row>
    <row r="654" spans="1:20">
      <c r="A654" s="3"/>
      <c r="B654" s="3"/>
      <c r="C654" s="2"/>
      <c r="D654" s="2"/>
      <c r="E654" s="64"/>
      <c r="F654" s="64"/>
      <c r="G654" s="64"/>
      <c r="H654" s="64"/>
      <c r="I654" s="2"/>
      <c r="J654" s="2"/>
      <c r="K654" s="2"/>
      <c r="L654" s="2"/>
      <c r="M654" s="2"/>
      <c r="N654" s="2"/>
      <c r="O654" s="2"/>
      <c r="P654" s="66"/>
      <c r="Q654" s="66"/>
      <c r="R654" s="2"/>
      <c r="S654" s="2"/>
      <c r="T654" s="2"/>
    </row>
    <row r="655" spans="1:20">
      <c r="A655" s="3"/>
      <c r="B655" s="3"/>
      <c r="C655" s="2"/>
      <c r="D655" s="2"/>
      <c r="E655" s="64"/>
      <c r="F655" s="64"/>
      <c r="G655" s="64"/>
      <c r="H655" s="64"/>
      <c r="I655" s="2"/>
      <c r="J655" s="2"/>
      <c r="K655" s="2"/>
      <c r="L655" s="2"/>
      <c r="M655" s="2"/>
      <c r="N655" s="2"/>
      <c r="O655" s="2"/>
      <c r="P655" s="66"/>
      <c r="Q655" s="66"/>
      <c r="R655" s="2"/>
      <c r="S655" s="2"/>
      <c r="T655" s="2"/>
    </row>
    <row r="656" spans="1:20">
      <c r="A656" s="3"/>
      <c r="B656" s="3"/>
      <c r="C656" s="2"/>
      <c r="D656" s="2"/>
      <c r="E656" s="64"/>
      <c r="F656" s="64"/>
      <c r="G656" s="64"/>
      <c r="H656" s="64"/>
      <c r="I656" s="2"/>
      <c r="J656" s="2"/>
      <c r="K656" s="2"/>
      <c r="L656" s="2"/>
      <c r="M656" s="2"/>
      <c r="N656" s="2"/>
      <c r="O656" s="2"/>
      <c r="P656" s="66"/>
      <c r="Q656" s="66"/>
      <c r="R656" s="2"/>
      <c r="S656" s="2"/>
      <c r="T656" s="2"/>
    </row>
    <row r="657" spans="1:20">
      <c r="A657" s="3"/>
      <c r="B657" s="3"/>
      <c r="C657" s="2"/>
      <c r="D657" s="2"/>
      <c r="E657" s="64"/>
      <c r="F657" s="64"/>
      <c r="G657" s="64"/>
      <c r="H657" s="64"/>
      <c r="I657" s="2"/>
      <c r="J657" s="2"/>
      <c r="K657" s="2"/>
      <c r="L657" s="2"/>
      <c r="M657" s="2"/>
      <c r="N657" s="2"/>
      <c r="O657" s="2"/>
      <c r="P657" s="66"/>
      <c r="Q657" s="66"/>
      <c r="R657" s="2"/>
      <c r="S657" s="2"/>
      <c r="T657" s="2"/>
    </row>
    <row r="658" spans="1:20">
      <c r="A658" s="3"/>
      <c r="B658" s="3"/>
      <c r="C658" s="2"/>
      <c r="D658" s="2"/>
      <c r="E658" s="64"/>
      <c r="F658" s="64"/>
      <c r="G658" s="64"/>
      <c r="H658" s="64"/>
      <c r="I658" s="2"/>
      <c r="J658" s="2"/>
      <c r="K658" s="2"/>
      <c r="L658" s="2"/>
      <c r="M658" s="2"/>
      <c r="N658" s="2"/>
      <c r="O658" s="2"/>
      <c r="P658" s="66"/>
      <c r="Q658" s="66"/>
      <c r="R658" s="2"/>
      <c r="S658" s="2"/>
      <c r="T658" s="2"/>
    </row>
    <row r="659" spans="1:20">
      <c r="A659" s="3"/>
      <c r="B659" s="3"/>
      <c r="C659" s="2"/>
      <c r="D659" s="2"/>
      <c r="E659" s="64"/>
      <c r="F659" s="64"/>
      <c r="G659" s="64"/>
      <c r="H659" s="64"/>
      <c r="I659" s="2"/>
      <c r="J659" s="2"/>
      <c r="K659" s="2"/>
      <c r="L659" s="2"/>
      <c r="M659" s="2"/>
      <c r="N659" s="2"/>
      <c r="O659" s="2"/>
      <c r="P659" s="66"/>
      <c r="Q659" s="66"/>
      <c r="R659" s="2"/>
      <c r="S659" s="2"/>
      <c r="T659" s="2"/>
    </row>
    <row r="660" spans="1:20">
      <c r="A660" s="3"/>
      <c r="B660" s="3"/>
      <c r="C660" s="2"/>
      <c r="D660" s="2"/>
      <c r="E660" s="64"/>
      <c r="F660" s="64"/>
      <c r="G660" s="64"/>
      <c r="H660" s="64"/>
      <c r="I660" s="2"/>
      <c r="J660" s="2"/>
      <c r="K660" s="2"/>
      <c r="L660" s="2"/>
      <c r="M660" s="2"/>
      <c r="N660" s="2"/>
      <c r="O660" s="2"/>
      <c r="P660" s="66"/>
      <c r="Q660" s="66"/>
      <c r="R660" s="2"/>
      <c r="S660" s="2"/>
      <c r="T660" s="2"/>
    </row>
    <row r="661" spans="1:20">
      <c r="A661" s="3"/>
      <c r="B661" s="3"/>
      <c r="C661" s="2"/>
      <c r="D661" s="2"/>
      <c r="E661" s="64"/>
      <c r="F661" s="64"/>
      <c r="G661" s="64"/>
      <c r="H661" s="64"/>
      <c r="I661" s="2"/>
      <c r="J661" s="2"/>
      <c r="K661" s="2"/>
      <c r="L661" s="2"/>
      <c r="M661" s="2"/>
      <c r="N661" s="2"/>
      <c r="O661" s="2"/>
      <c r="P661" s="66"/>
      <c r="Q661" s="66"/>
      <c r="R661" s="2"/>
      <c r="S661" s="2"/>
      <c r="T661" s="2"/>
    </row>
    <row r="662" spans="1:20">
      <c r="A662" s="3"/>
      <c r="B662" s="3"/>
      <c r="C662" s="2"/>
      <c r="D662" s="2"/>
      <c r="E662" s="64"/>
      <c r="F662" s="64"/>
      <c r="G662" s="64"/>
      <c r="H662" s="64"/>
      <c r="I662" s="2"/>
      <c r="J662" s="2"/>
      <c r="K662" s="2"/>
      <c r="L662" s="2"/>
      <c r="M662" s="2"/>
      <c r="N662" s="2"/>
      <c r="O662" s="2"/>
      <c r="P662" s="66"/>
      <c r="Q662" s="66"/>
      <c r="R662" s="2"/>
      <c r="S662" s="2"/>
      <c r="T662" s="2"/>
    </row>
    <row r="663" spans="1:20">
      <c r="A663" s="3"/>
      <c r="B663" s="3"/>
      <c r="C663" s="2"/>
      <c r="D663" s="2"/>
      <c r="E663" s="64"/>
      <c r="F663" s="64"/>
      <c r="G663" s="64"/>
      <c r="H663" s="64"/>
      <c r="I663" s="2"/>
      <c r="J663" s="2"/>
      <c r="K663" s="2"/>
      <c r="L663" s="2"/>
      <c r="M663" s="2"/>
      <c r="N663" s="2"/>
      <c r="O663" s="2"/>
      <c r="P663" s="66"/>
      <c r="Q663" s="66"/>
      <c r="R663" s="2"/>
      <c r="S663" s="2"/>
      <c r="T663" s="2"/>
    </row>
    <row r="664" spans="1:20">
      <c r="A664" s="3"/>
      <c r="B664" s="3"/>
      <c r="C664" s="2"/>
      <c r="D664" s="2"/>
      <c r="E664" s="64"/>
      <c r="F664" s="64"/>
      <c r="G664" s="64"/>
      <c r="H664" s="64"/>
      <c r="I664" s="2"/>
      <c r="J664" s="2"/>
      <c r="K664" s="2"/>
      <c r="L664" s="2"/>
      <c r="M664" s="2"/>
      <c r="N664" s="2"/>
      <c r="O664" s="2"/>
      <c r="P664" s="66"/>
      <c r="Q664" s="66"/>
      <c r="R664" s="2"/>
      <c r="S664" s="2"/>
      <c r="T664" s="2"/>
    </row>
    <row r="665" spans="1:20">
      <c r="A665" s="3"/>
      <c r="B665" s="3"/>
      <c r="C665" s="2"/>
      <c r="D665" s="2"/>
      <c r="E665" s="64"/>
      <c r="F665" s="64"/>
      <c r="G665" s="64"/>
      <c r="H665" s="64"/>
      <c r="I665" s="2"/>
      <c r="J665" s="2"/>
      <c r="K665" s="2"/>
      <c r="L665" s="2"/>
      <c r="M665" s="2"/>
      <c r="N665" s="2"/>
      <c r="O665" s="2"/>
      <c r="P665" s="66"/>
      <c r="Q665" s="66"/>
      <c r="R665" s="2"/>
      <c r="S665" s="2"/>
      <c r="T665" s="2"/>
    </row>
    <row r="666" spans="1:20">
      <c r="A666" s="3"/>
      <c r="B666" s="3"/>
      <c r="C666" s="2"/>
      <c r="D666" s="2"/>
      <c r="E666" s="64"/>
      <c r="F666" s="64"/>
      <c r="G666" s="64"/>
      <c r="H666" s="64"/>
      <c r="I666" s="2"/>
      <c r="J666" s="2"/>
      <c r="K666" s="2"/>
      <c r="L666" s="2"/>
      <c r="M666" s="2"/>
      <c r="N666" s="2"/>
      <c r="O666" s="2"/>
      <c r="P666" s="66"/>
      <c r="Q666" s="66"/>
      <c r="R666" s="2"/>
      <c r="S666" s="2"/>
      <c r="T666" s="2"/>
    </row>
    <row r="667" spans="1:20">
      <c r="A667" s="3"/>
      <c r="B667" s="3"/>
      <c r="C667" s="2"/>
      <c r="D667" s="2"/>
      <c r="E667" s="64"/>
      <c r="F667" s="64"/>
      <c r="G667" s="64"/>
      <c r="H667" s="64"/>
      <c r="I667" s="2"/>
      <c r="J667" s="2"/>
      <c r="K667" s="2"/>
      <c r="L667" s="2"/>
      <c r="M667" s="2"/>
      <c r="N667" s="2"/>
      <c r="O667" s="2"/>
      <c r="P667" s="66"/>
      <c r="Q667" s="66"/>
      <c r="R667" s="2"/>
      <c r="S667" s="2"/>
      <c r="T667" s="2"/>
    </row>
    <row r="668" spans="1:20">
      <c r="A668" s="3"/>
      <c r="B668" s="3"/>
      <c r="C668" s="2"/>
      <c r="D668" s="2"/>
      <c r="E668" s="64"/>
      <c r="F668" s="64"/>
      <c r="G668" s="64"/>
      <c r="H668" s="64"/>
      <c r="I668" s="2"/>
      <c r="J668" s="2"/>
      <c r="K668" s="2"/>
      <c r="L668" s="2"/>
      <c r="M668" s="2"/>
      <c r="N668" s="2"/>
      <c r="O668" s="2"/>
      <c r="P668" s="66"/>
      <c r="Q668" s="66"/>
      <c r="R668" s="2"/>
      <c r="S668" s="2"/>
      <c r="T668" s="2"/>
    </row>
    <row r="669" spans="1:20">
      <c r="A669" s="3"/>
      <c r="B669" s="3"/>
      <c r="C669" s="2"/>
      <c r="D669" s="2"/>
      <c r="E669" s="64"/>
      <c r="F669" s="64"/>
      <c r="G669" s="64"/>
      <c r="H669" s="64"/>
      <c r="I669" s="2"/>
      <c r="J669" s="2"/>
      <c r="K669" s="2"/>
      <c r="L669" s="2"/>
      <c r="M669" s="2"/>
      <c r="N669" s="2"/>
      <c r="O669" s="2"/>
      <c r="P669" s="66"/>
      <c r="Q669" s="66"/>
      <c r="R669" s="2"/>
      <c r="S669" s="2"/>
      <c r="T669" s="2"/>
    </row>
    <row r="670" spans="1:20">
      <c r="A670" s="3"/>
      <c r="B670" s="3"/>
      <c r="C670" s="2"/>
      <c r="D670" s="2"/>
      <c r="E670" s="64"/>
      <c r="F670" s="64"/>
      <c r="G670" s="64"/>
      <c r="H670" s="64"/>
      <c r="I670" s="2"/>
      <c r="J670" s="2"/>
      <c r="K670" s="2"/>
      <c r="L670" s="2"/>
      <c r="M670" s="2"/>
      <c r="N670" s="2"/>
      <c r="O670" s="2"/>
      <c r="P670" s="66"/>
      <c r="Q670" s="66"/>
      <c r="R670" s="2"/>
      <c r="S670" s="2"/>
      <c r="T670" s="2"/>
    </row>
    <row r="671" spans="1:20">
      <c r="A671" s="3"/>
      <c r="B671" s="3"/>
      <c r="C671" s="2"/>
      <c r="D671" s="2"/>
      <c r="E671" s="64"/>
      <c r="F671" s="64"/>
      <c r="G671" s="64"/>
      <c r="H671" s="64"/>
      <c r="I671" s="2"/>
      <c r="J671" s="2"/>
      <c r="K671" s="2"/>
      <c r="L671" s="2"/>
      <c r="M671" s="2"/>
      <c r="N671" s="2"/>
      <c r="O671" s="2"/>
      <c r="P671" s="66"/>
      <c r="Q671" s="66"/>
      <c r="R671" s="2"/>
      <c r="S671" s="2"/>
      <c r="T671" s="2"/>
    </row>
    <row r="672" spans="1:20">
      <c r="A672" s="3"/>
      <c r="B672" s="3"/>
      <c r="C672" s="2"/>
      <c r="D672" s="2"/>
      <c r="E672" s="64"/>
      <c r="F672" s="64"/>
      <c r="G672" s="64"/>
      <c r="H672" s="64"/>
      <c r="I672" s="2"/>
      <c r="J672" s="2"/>
      <c r="K672" s="2"/>
      <c r="L672" s="2"/>
      <c r="M672" s="2"/>
      <c r="N672" s="2"/>
      <c r="O672" s="2"/>
      <c r="P672" s="66"/>
      <c r="Q672" s="66"/>
      <c r="R672" s="2"/>
      <c r="S672" s="2"/>
      <c r="T672" s="2"/>
    </row>
    <row r="673" spans="1:20">
      <c r="A673" s="3"/>
      <c r="B673" s="3"/>
      <c r="C673" s="2"/>
      <c r="D673" s="2"/>
      <c r="E673" s="64"/>
      <c r="F673" s="64"/>
      <c r="G673" s="64"/>
      <c r="H673" s="64"/>
      <c r="I673" s="2"/>
      <c r="J673" s="2"/>
      <c r="K673" s="2"/>
      <c r="L673" s="2"/>
      <c r="M673" s="2"/>
      <c r="N673" s="2"/>
      <c r="O673" s="2"/>
      <c r="P673" s="66"/>
      <c r="Q673" s="66"/>
      <c r="R673" s="2"/>
      <c r="S673" s="2"/>
      <c r="T673" s="2"/>
    </row>
    <row r="674" spans="1:20">
      <c r="A674" s="3"/>
      <c r="B674" s="3"/>
      <c r="C674" s="2"/>
      <c r="D674" s="2"/>
      <c r="E674" s="64"/>
      <c r="F674" s="64"/>
      <c r="G674" s="64"/>
      <c r="H674" s="64"/>
      <c r="I674" s="2"/>
      <c r="J674" s="2"/>
      <c r="K674" s="2"/>
      <c r="L674" s="2"/>
      <c r="M674" s="2"/>
      <c r="N674" s="2"/>
      <c r="O674" s="2"/>
      <c r="P674" s="66"/>
      <c r="Q674" s="66"/>
      <c r="R674" s="2"/>
      <c r="S674" s="2"/>
      <c r="T674" s="2"/>
    </row>
    <row r="675" spans="1:20">
      <c r="A675" s="3"/>
      <c r="B675" s="3"/>
      <c r="C675" s="2"/>
      <c r="D675" s="2"/>
      <c r="E675" s="64"/>
      <c r="F675" s="64"/>
      <c r="G675" s="64"/>
      <c r="H675" s="64"/>
      <c r="I675" s="2"/>
      <c r="J675" s="2"/>
      <c r="K675" s="2"/>
      <c r="L675" s="2"/>
      <c r="M675" s="2"/>
      <c r="N675" s="2"/>
      <c r="O675" s="2"/>
      <c r="P675" s="66"/>
      <c r="Q675" s="66"/>
      <c r="R675" s="2"/>
      <c r="S675" s="2"/>
      <c r="T675" s="2"/>
    </row>
    <row r="676" spans="1:20">
      <c r="A676" s="3"/>
      <c r="B676" s="3"/>
      <c r="C676" s="2"/>
      <c r="D676" s="2"/>
      <c r="E676" s="64"/>
      <c r="F676" s="64"/>
      <c r="G676" s="64"/>
      <c r="H676" s="64"/>
      <c r="I676" s="2"/>
      <c r="J676" s="2"/>
      <c r="K676" s="2"/>
      <c r="L676" s="2"/>
      <c r="M676" s="2"/>
      <c r="N676" s="2"/>
      <c r="O676" s="2"/>
      <c r="P676" s="66"/>
      <c r="Q676" s="66"/>
      <c r="R676" s="2"/>
      <c r="S676" s="2"/>
      <c r="T676" s="2"/>
    </row>
    <row r="677" spans="1:20">
      <c r="A677" s="3"/>
      <c r="B677" s="3"/>
      <c r="C677" s="2"/>
      <c r="D677" s="2"/>
      <c r="E677" s="64"/>
      <c r="F677" s="64"/>
      <c r="G677" s="64"/>
      <c r="H677" s="64"/>
      <c r="I677" s="2"/>
      <c r="J677" s="2"/>
      <c r="K677" s="2"/>
      <c r="L677" s="2"/>
      <c r="M677" s="2"/>
      <c r="N677" s="2"/>
      <c r="O677" s="2"/>
      <c r="P677" s="66"/>
      <c r="Q677" s="66"/>
      <c r="R677" s="2"/>
      <c r="S677" s="2"/>
      <c r="T677" s="2"/>
    </row>
    <row r="678" spans="1:20">
      <c r="A678" s="3"/>
      <c r="B678" s="3"/>
      <c r="C678" s="2"/>
      <c r="D678" s="2"/>
      <c r="E678" s="64"/>
      <c r="F678" s="64"/>
      <c r="G678" s="64"/>
      <c r="H678" s="64"/>
      <c r="I678" s="2"/>
      <c r="J678" s="2"/>
      <c r="K678" s="2"/>
      <c r="L678" s="2"/>
      <c r="M678" s="2"/>
      <c r="N678" s="2"/>
      <c r="O678" s="2"/>
      <c r="P678" s="66"/>
      <c r="Q678" s="66"/>
      <c r="R678" s="2"/>
      <c r="S678" s="2"/>
      <c r="T678" s="2"/>
    </row>
    <row r="679" spans="1:20">
      <c r="A679" s="3"/>
      <c r="B679" s="3"/>
      <c r="C679" s="2"/>
      <c r="D679" s="2"/>
      <c r="E679" s="64"/>
      <c r="F679" s="64"/>
      <c r="G679" s="64"/>
      <c r="H679" s="64"/>
      <c r="I679" s="2"/>
      <c r="J679" s="2"/>
      <c r="K679" s="2"/>
      <c r="L679" s="2"/>
      <c r="M679" s="2"/>
      <c r="N679" s="2"/>
      <c r="O679" s="2"/>
      <c r="P679" s="66"/>
      <c r="Q679" s="66"/>
      <c r="R679" s="2"/>
      <c r="S679" s="2"/>
      <c r="T679" s="2"/>
    </row>
    <row r="680" spans="1:20">
      <c r="A680" s="3"/>
      <c r="B680" s="3"/>
      <c r="C680" s="2"/>
      <c r="D680" s="2"/>
      <c r="E680" s="64"/>
      <c r="F680" s="64"/>
      <c r="G680" s="64"/>
      <c r="H680" s="64"/>
      <c r="I680" s="2"/>
      <c r="J680" s="2"/>
      <c r="K680" s="2"/>
      <c r="L680" s="2"/>
      <c r="M680" s="2"/>
      <c r="N680" s="2"/>
      <c r="O680" s="2"/>
      <c r="P680" s="66"/>
      <c r="Q680" s="66"/>
      <c r="R680" s="2"/>
      <c r="S680" s="2"/>
      <c r="T680" s="2"/>
    </row>
    <row r="681" spans="1:20">
      <c r="A681" s="3"/>
      <c r="B681" s="3"/>
      <c r="C681" s="2"/>
      <c r="D681" s="2"/>
      <c r="E681" s="64"/>
      <c r="F681" s="64"/>
      <c r="G681" s="64"/>
      <c r="H681" s="64"/>
      <c r="I681" s="2"/>
      <c r="J681" s="2"/>
      <c r="K681" s="2"/>
      <c r="L681" s="2"/>
      <c r="M681" s="2"/>
      <c r="N681" s="2"/>
      <c r="O681" s="2"/>
      <c r="P681" s="66"/>
      <c r="Q681" s="66"/>
      <c r="R681" s="2"/>
      <c r="S681" s="2"/>
      <c r="T681" s="2"/>
    </row>
    <row r="682" spans="1:20">
      <c r="A682" s="3"/>
      <c r="B682" s="3"/>
      <c r="C682" s="2"/>
      <c r="D682" s="2"/>
      <c r="E682" s="64"/>
      <c r="F682" s="64"/>
      <c r="G682" s="64"/>
      <c r="H682" s="64"/>
      <c r="I682" s="2"/>
      <c r="J682" s="2"/>
      <c r="K682" s="2"/>
      <c r="L682" s="2"/>
      <c r="M682" s="2"/>
      <c r="N682" s="2"/>
      <c r="O682" s="2"/>
      <c r="P682" s="66"/>
      <c r="Q682" s="66"/>
      <c r="R682" s="2"/>
      <c r="S682" s="2"/>
      <c r="T682" s="2"/>
    </row>
    <row r="683" spans="1:20">
      <c r="A683" s="3"/>
      <c r="B683" s="3"/>
      <c r="C683" s="2"/>
      <c r="D683" s="2"/>
      <c r="E683" s="64"/>
      <c r="F683" s="64"/>
      <c r="G683" s="64"/>
      <c r="H683" s="64"/>
      <c r="I683" s="2"/>
      <c r="J683" s="2"/>
      <c r="K683" s="2"/>
      <c r="L683" s="2"/>
      <c r="M683" s="2"/>
      <c r="N683" s="2"/>
      <c r="O683" s="2"/>
      <c r="P683" s="66"/>
      <c r="Q683" s="66"/>
      <c r="R683" s="2"/>
      <c r="S683" s="2"/>
      <c r="T683" s="2"/>
    </row>
    <row r="684" spans="1:20">
      <c r="A684" s="3"/>
      <c r="B684" s="3"/>
      <c r="C684" s="2"/>
      <c r="D684" s="2"/>
      <c r="E684" s="64"/>
      <c r="F684" s="64"/>
      <c r="G684" s="64"/>
      <c r="H684" s="64"/>
      <c r="I684" s="2"/>
      <c r="J684" s="2"/>
      <c r="K684" s="2"/>
      <c r="L684" s="2"/>
      <c r="M684" s="2"/>
      <c r="N684" s="2"/>
      <c r="O684" s="2"/>
      <c r="P684" s="66"/>
      <c r="Q684" s="66"/>
      <c r="R684" s="2"/>
      <c r="S684" s="2"/>
      <c r="T684" s="2"/>
    </row>
    <row r="685" spans="1:20">
      <c r="A685" s="3"/>
      <c r="B685" s="3"/>
      <c r="C685" s="2"/>
      <c r="D685" s="2"/>
      <c r="E685" s="64"/>
      <c r="F685" s="64"/>
      <c r="G685" s="64"/>
      <c r="H685" s="64"/>
      <c r="I685" s="2"/>
      <c r="J685" s="2"/>
      <c r="K685" s="2"/>
      <c r="L685" s="2"/>
      <c r="M685" s="2"/>
      <c r="N685" s="2"/>
      <c r="O685" s="2"/>
      <c r="P685" s="66"/>
      <c r="Q685" s="66"/>
      <c r="R685" s="2"/>
      <c r="S685" s="2"/>
      <c r="T685" s="2"/>
    </row>
    <row r="686" spans="1:20">
      <c r="A686" s="3"/>
      <c r="B686" s="3"/>
      <c r="C686" s="2"/>
      <c r="D686" s="2"/>
      <c r="E686" s="64"/>
      <c r="F686" s="64"/>
      <c r="G686" s="64"/>
      <c r="H686" s="64"/>
      <c r="I686" s="2"/>
      <c r="J686" s="2"/>
      <c r="K686" s="2"/>
      <c r="L686" s="2"/>
      <c r="M686" s="2"/>
      <c r="N686" s="2"/>
      <c r="O686" s="2"/>
      <c r="P686" s="66"/>
      <c r="Q686" s="66"/>
      <c r="R686" s="2"/>
      <c r="S686" s="2"/>
      <c r="T686" s="2"/>
    </row>
    <row r="687" spans="1:20">
      <c r="A687" s="3"/>
      <c r="B687" s="3"/>
      <c r="C687" s="2"/>
      <c r="D687" s="2"/>
      <c r="E687" s="64"/>
      <c r="F687" s="64"/>
      <c r="G687" s="64"/>
      <c r="H687" s="64"/>
      <c r="I687" s="2"/>
      <c r="J687" s="2"/>
      <c r="K687" s="2"/>
      <c r="L687" s="2"/>
      <c r="M687" s="2"/>
      <c r="N687" s="2"/>
      <c r="O687" s="2"/>
      <c r="P687" s="66"/>
      <c r="Q687" s="66"/>
      <c r="R687" s="2"/>
      <c r="S687" s="2"/>
      <c r="T687" s="2"/>
    </row>
    <row r="688" spans="1:20">
      <c r="A688" s="3"/>
      <c r="B688" s="3"/>
      <c r="C688" s="2"/>
      <c r="D688" s="2"/>
      <c r="E688" s="64"/>
      <c r="F688" s="64"/>
      <c r="G688" s="64"/>
      <c r="H688" s="64"/>
      <c r="I688" s="2"/>
      <c r="J688" s="2"/>
      <c r="K688" s="2"/>
      <c r="L688" s="2"/>
      <c r="M688" s="2"/>
      <c r="N688" s="2"/>
      <c r="O688" s="2"/>
      <c r="P688" s="66"/>
      <c r="Q688" s="66"/>
      <c r="R688" s="2"/>
      <c r="S688" s="2"/>
      <c r="T688" s="2"/>
    </row>
    <row r="689" spans="1:20">
      <c r="A689" s="3"/>
      <c r="B689" s="3"/>
      <c r="C689" s="2"/>
      <c r="D689" s="2"/>
      <c r="E689" s="64"/>
      <c r="F689" s="64"/>
      <c r="G689" s="64"/>
      <c r="H689" s="64"/>
      <c r="I689" s="2"/>
      <c r="J689" s="2"/>
      <c r="K689" s="2"/>
      <c r="L689" s="2"/>
      <c r="M689" s="2"/>
      <c r="N689" s="2"/>
      <c r="O689" s="2"/>
      <c r="P689" s="66"/>
      <c r="Q689" s="66"/>
      <c r="R689" s="2"/>
      <c r="S689" s="2"/>
      <c r="T689" s="2"/>
    </row>
    <row r="690" spans="1:20">
      <c r="A690" s="3"/>
      <c r="B690" s="3"/>
      <c r="C690" s="2"/>
      <c r="D690" s="2"/>
      <c r="E690" s="64"/>
      <c r="F690" s="64"/>
      <c r="G690" s="64"/>
      <c r="H690" s="64"/>
      <c r="I690" s="2"/>
      <c r="J690" s="2"/>
      <c r="K690" s="2"/>
      <c r="L690" s="2"/>
      <c r="M690" s="2"/>
      <c r="N690" s="2"/>
      <c r="O690" s="2"/>
      <c r="P690" s="66"/>
      <c r="Q690" s="66"/>
      <c r="R690" s="2"/>
      <c r="S690" s="2"/>
      <c r="T690" s="2"/>
    </row>
    <row r="691" spans="1:20">
      <c r="A691" s="3"/>
      <c r="B691" s="3"/>
      <c r="C691" s="2"/>
      <c r="D691" s="2"/>
      <c r="E691" s="64"/>
      <c r="F691" s="64"/>
      <c r="G691" s="64"/>
      <c r="H691" s="64"/>
      <c r="I691" s="2"/>
      <c r="J691" s="2"/>
      <c r="K691" s="2"/>
      <c r="L691" s="2"/>
      <c r="M691" s="2"/>
      <c r="N691" s="2"/>
      <c r="O691" s="2"/>
      <c r="P691" s="66"/>
      <c r="Q691" s="66"/>
      <c r="R691" s="2"/>
      <c r="S691" s="2"/>
      <c r="T691" s="2"/>
    </row>
    <row r="692" spans="1:20">
      <c r="A692" s="3"/>
      <c r="B692" s="3"/>
      <c r="C692" s="2"/>
      <c r="D692" s="2"/>
      <c r="E692" s="64"/>
      <c r="F692" s="64"/>
      <c r="G692" s="64"/>
      <c r="H692" s="64"/>
      <c r="I692" s="2"/>
      <c r="J692" s="2"/>
      <c r="K692" s="2"/>
      <c r="L692" s="2"/>
      <c r="M692" s="2"/>
      <c r="N692" s="2"/>
      <c r="O692" s="2"/>
      <c r="P692" s="66"/>
      <c r="Q692" s="66"/>
      <c r="R692" s="2"/>
      <c r="S692" s="2"/>
      <c r="T692" s="2"/>
    </row>
    <row r="693" spans="1:20">
      <c r="A693" s="3"/>
      <c r="B693" s="3"/>
      <c r="C693" s="2"/>
      <c r="D693" s="2"/>
      <c r="E693" s="64"/>
      <c r="F693" s="64"/>
      <c r="G693" s="64"/>
      <c r="H693" s="64"/>
      <c r="I693" s="2"/>
      <c r="J693" s="2"/>
      <c r="K693" s="2"/>
      <c r="L693" s="2"/>
      <c r="M693" s="2"/>
      <c r="N693" s="2"/>
      <c r="O693" s="2"/>
      <c r="P693" s="66"/>
      <c r="Q693" s="66"/>
      <c r="R693" s="2"/>
      <c r="S693" s="2"/>
      <c r="T693" s="2"/>
    </row>
    <row r="694" spans="1:20">
      <c r="A694" s="3"/>
      <c r="B694" s="3"/>
      <c r="C694" s="2"/>
      <c r="D694" s="2"/>
      <c r="E694" s="64"/>
      <c r="F694" s="64"/>
      <c r="G694" s="64"/>
      <c r="H694" s="64"/>
      <c r="I694" s="2"/>
      <c r="J694" s="2"/>
      <c r="K694" s="2"/>
      <c r="L694" s="2"/>
      <c r="M694" s="2"/>
      <c r="N694" s="2"/>
      <c r="O694" s="2"/>
      <c r="P694" s="66"/>
      <c r="Q694" s="66"/>
      <c r="R694" s="2"/>
      <c r="S694" s="2"/>
      <c r="T694" s="2"/>
    </row>
    <row r="695" spans="1:20">
      <c r="A695" s="3"/>
      <c r="B695" s="3"/>
      <c r="C695" s="2"/>
      <c r="D695" s="2"/>
      <c r="E695" s="64"/>
      <c r="F695" s="64"/>
      <c r="G695" s="64"/>
      <c r="H695" s="64"/>
      <c r="I695" s="2"/>
      <c r="J695" s="2"/>
      <c r="K695" s="2"/>
      <c r="L695" s="2"/>
      <c r="M695" s="2"/>
      <c r="N695" s="2"/>
      <c r="O695" s="2"/>
      <c r="P695" s="66"/>
      <c r="Q695" s="66"/>
      <c r="R695" s="2"/>
      <c r="S695" s="2"/>
      <c r="T695" s="2"/>
    </row>
    <row r="696" spans="1:20">
      <c r="A696" s="3"/>
      <c r="B696" s="3"/>
      <c r="C696" s="2"/>
      <c r="D696" s="2"/>
      <c r="E696" s="64"/>
      <c r="F696" s="64"/>
      <c r="G696" s="64"/>
      <c r="H696" s="64"/>
      <c r="I696" s="2"/>
      <c r="J696" s="2"/>
      <c r="K696" s="2"/>
      <c r="L696" s="2"/>
      <c r="M696" s="2"/>
      <c r="N696" s="2"/>
      <c r="O696" s="2"/>
      <c r="P696" s="66"/>
      <c r="Q696" s="66"/>
      <c r="R696" s="2"/>
      <c r="S696" s="2"/>
      <c r="T696" s="2"/>
    </row>
    <row r="697" spans="1:20">
      <c r="A697" s="3"/>
      <c r="B697" s="3"/>
      <c r="C697" s="2"/>
      <c r="D697" s="2"/>
      <c r="E697" s="64"/>
      <c r="F697" s="64"/>
      <c r="G697" s="64"/>
      <c r="H697" s="64"/>
      <c r="I697" s="2"/>
      <c r="J697" s="2"/>
      <c r="K697" s="2"/>
      <c r="L697" s="2"/>
      <c r="M697" s="2"/>
      <c r="N697" s="2"/>
      <c r="O697" s="2"/>
      <c r="P697" s="66"/>
      <c r="Q697" s="66"/>
      <c r="R697" s="2"/>
      <c r="S697" s="2"/>
      <c r="T697" s="2"/>
    </row>
    <row r="698" spans="1:20">
      <c r="A698" s="3"/>
      <c r="B698" s="3"/>
      <c r="C698" s="2"/>
      <c r="D698" s="2"/>
      <c r="E698" s="64"/>
      <c r="F698" s="64"/>
      <c r="G698" s="64"/>
      <c r="H698" s="64"/>
      <c r="I698" s="2"/>
      <c r="J698" s="2"/>
      <c r="K698" s="2"/>
      <c r="L698" s="2"/>
      <c r="M698" s="2"/>
      <c r="N698" s="2"/>
      <c r="O698" s="2"/>
      <c r="P698" s="66"/>
      <c r="Q698" s="66"/>
      <c r="R698" s="2"/>
      <c r="S698" s="2"/>
      <c r="T698" s="2"/>
    </row>
    <row r="699" spans="1:20">
      <c r="A699" s="3"/>
      <c r="B699" s="3"/>
      <c r="C699" s="2"/>
      <c r="D699" s="2"/>
      <c r="E699" s="64"/>
      <c r="F699" s="64"/>
      <c r="G699" s="64"/>
      <c r="H699" s="64"/>
      <c r="I699" s="2"/>
      <c r="J699" s="2"/>
      <c r="K699" s="2"/>
      <c r="L699" s="2"/>
      <c r="M699" s="2"/>
      <c r="N699" s="2"/>
      <c r="O699" s="2"/>
      <c r="P699" s="66"/>
      <c r="Q699" s="66"/>
      <c r="R699" s="2"/>
      <c r="S699" s="2"/>
      <c r="T699" s="2"/>
    </row>
    <row r="700" spans="1:20">
      <c r="A700" s="3"/>
      <c r="B700" s="3"/>
      <c r="C700" s="2"/>
      <c r="D700" s="2"/>
      <c r="E700" s="64"/>
      <c r="F700" s="64"/>
      <c r="G700" s="64"/>
      <c r="H700" s="64"/>
      <c r="I700" s="2"/>
      <c r="J700" s="2"/>
      <c r="K700" s="2"/>
      <c r="L700" s="2"/>
      <c r="M700" s="2"/>
      <c r="N700" s="2"/>
      <c r="O700" s="2"/>
      <c r="P700" s="66"/>
      <c r="Q700" s="66"/>
      <c r="R700" s="2"/>
      <c r="S700" s="2"/>
      <c r="T700" s="2"/>
    </row>
    <row r="701" spans="1:20">
      <c r="A701" s="3"/>
      <c r="B701" s="3"/>
      <c r="C701" s="2"/>
      <c r="D701" s="2"/>
      <c r="E701" s="64"/>
      <c r="F701" s="64"/>
      <c r="G701" s="64"/>
      <c r="H701" s="64"/>
      <c r="I701" s="2"/>
      <c r="J701" s="2"/>
      <c r="K701" s="2"/>
      <c r="L701" s="2"/>
      <c r="M701" s="2"/>
      <c r="N701" s="2"/>
      <c r="O701" s="2"/>
      <c r="P701" s="66"/>
      <c r="Q701" s="66"/>
      <c r="R701" s="2"/>
      <c r="S701" s="2"/>
      <c r="T701" s="2"/>
    </row>
    <row r="702" spans="1:20">
      <c r="A702" s="3"/>
      <c r="B702" s="3"/>
      <c r="C702" s="2"/>
      <c r="D702" s="2"/>
      <c r="E702" s="64"/>
      <c r="F702" s="64"/>
      <c r="G702" s="64"/>
      <c r="H702" s="64"/>
      <c r="I702" s="2"/>
      <c r="J702" s="2"/>
      <c r="K702" s="2"/>
      <c r="L702" s="2"/>
      <c r="M702" s="2"/>
      <c r="N702" s="2"/>
      <c r="O702" s="2"/>
      <c r="P702" s="66"/>
      <c r="Q702" s="66"/>
      <c r="R702" s="2"/>
      <c r="S702" s="2"/>
      <c r="T702" s="2"/>
    </row>
    <row r="703" spans="1:20">
      <c r="A703" s="3"/>
      <c r="B703" s="3"/>
      <c r="C703" s="2"/>
      <c r="D703" s="2"/>
      <c r="E703" s="64"/>
      <c r="F703" s="64"/>
      <c r="G703" s="64"/>
      <c r="H703" s="64"/>
      <c r="I703" s="2"/>
      <c r="J703" s="2"/>
      <c r="K703" s="2"/>
      <c r="L703" s="2"/>
      <c r="M703" s="2"/>
      <c r="N703" s="2"/>
      <c r="O703" s="2"/>
      <c r="P703" s="66"/>
      <c r="Q703" s="66"/>
      <c r="R703" s="2"/>
      <c r="S703" s="2"/>
      <c r="T703" s="2"/>
    </row>
    <row r="704" spans="1:20">
      <c r="A704" s="3"/>
      <c r="B704" s="3"/>
      <c r="C704" s="2"/>
      <c r="D704" s="2"/>
      <c r="E704" s="64"/>
      <c r="F704" s="64"/>
      <c r="G704" s="64"/>
      <c r="H704" s="64"/>
      <c r="I704" s="2"/>
      <c r="J704" s="2"/>
      <c r="K704" s="2"/>
      <c r="L704" s="2"/>
      <c r="M704" s="2"/>
      <c r="N704" s="2"/>
      <c r="O704" s="2"/>
      <c r="P704" s="66"/>
      <c r="Q704" s="66"/>
      <c r="R704" s="2"/>
      <c r="S704" s="2"/>
      <c r="T704" s="2"/>
    </row>
    <row r="705" spans="1:20">
      <c r="A705" s="3"/>
      <c r="B705" s="3"/>
      <c r="C705" s="2"/>
      <c r="D705" s="2"/>
      <c r="E705" s="64"/>
      <c r="F705" s="64"/>
      <c r="G705" s="64"/>
      <c r="H705" s="64"/>
      <c r="I705" s="2"/>
      <c r="J705" s="2"/>
      <c r="K705" s="2"/>
      <c r="L705" s="2"/>
      <c r="M705" s="2"/>
      <c r="N705" s="2"/>
      <c r="O705" s="2"/>
      <c r="P705" s="66"/>
      <c r="Q705" s="66"/>
      <c r="R705" s="2"/>
      <c r="S705" s="2"/>
      <c r="T705" s="2"/>
    </row>
    <row r="706" spans="1:20">
      <c r="A706" s="3"/>
      <c r="B706" s="3"/>
      <c r="C706" s="2"/>
      <c r="D706" s="2"/>
      <c r="E706" s="64"/>
      <c r="F706" s="64"/>
      <c r="G706" s="64"/>
      <c r="H706" s="64"/>
      <c r="I706" s="2"/>
      <c r="J706" s="2"/>
      <c r="K706" s="2"/>
      <c r="L706" s="2"/>
      <c r="M706" s="2"/>
      <c r="N706" s="2"/>
      <c r="O706" s="2"/>
      <c r="P706" s="66"/>
      <c r="Q706" s="66"/>
      <c r="R706" s="2"/>
      <c r="S706" s="2"/>
      <c r="T706" s="2"/>
    </row>
    <row r="707" spans="1:20">
      <c r="A707" s="3"/>
      <c r="B707" s="3"/>
      <c r="C707" s="2"/>
      <c r="D707" s="2"/>
      <c r="E707" s="64"/>
      <c r="F707" s="64"/>
      <c r="G707" s="64"/>
      <c r="H707" s="64"/>
      <c r="I707" s="2"/>
      <c r="J707" s="2"/>
      <c r="K707" s="2"/>
      <c r="L707" s="2"/>
      <c r="M707" s="2"/>
      <c r="N707" s="2"/>
      <c r="O707" s="2"/>
      <c r="P707" s="66"/>
      <c r="Q707" s="66"/>
      <c r="R707" s="2"/>
      <c r="S707" s="2"/>
      <c r="T707" s="2"/>
    </row>
    <row r="708" spans="1:20">
      <c r="A708" s="3"/>
      <c r="B708" s="3"/>
      <c r="C708" s="2"/>
      <c r="D708" s="2"/>
      <c r="E708" s="64"/>
      <c r="F708" s="64"/>
      <c r="G708" s="64"/>
      <c r="H708" s="64"/>
      <c r="I708" s="2"/>
      <c r="J708" s="2"/>
      <c r="K708" s="2"/>
      <c r="L708" s="2"/>
      <c r="M708" s="2"/>
      <c r="N708" s="2"/>
      <c r="O708" s="2"/>
      <c r="P708" s="66"/>
      <c r="Q708" s="66"/>
      <c r="R708" s="2"/>
      <c r="S708" s="2"/>
      <c r="T708" s="2"/>
    </row>
    <row r="709" spans="1:20">
      <c r="A709" s="3"/>
      <c r="B709" s="3"/>
      <c r="C709" s="2"/>
      <c r="D709" s="2"/>
      <c r="E709" s="64"/>
      <c r="F709" s="64"/>
      <c r="G709" s="64"/>
      <c r="H709" s="64"/>
      <c r="I709" s="2"/>
      <c r="J709" s="2"/>
      <c r="K709" s="2"/>
      <c r="L709" s="2"/>
      <c r="M709" s="2"/>
      <c r="N709" s="2"/>
      <c r="O709" s="2"/>
      <c r="P709" s="66"/>
      <c r="Q709" s="66"/>
      <c r="R709" s="2"/>
      <c r="S709" s="2"/>
      <c r="T709" s="2"/>
    </row>
    <row r="710" spans="1:20">
      <c r="A710" s="3"/>
      <c r="B710" s="3"/>
      <c r="C710" s="2"/>
      <c r="D710" s="2"/>
      <c r="E710" s="64"/>
      <c r="F710" s="64"/>
      <c r="G710" s="64"/>
      <c r="H710" s="64"/>
      <c r="I710" s="2"/>
      <c r="J710" s="2"/>
      <c r="K710" s="2"/>
      <c r="L710" s="2"/>
      <c r="M710" s="2"/>
      <c r="N710" s="2"/>
      <c r="O710" s="2"/>
      <c r="P710" s="66"/>
      <c r="Q710" s="66"/>
      <c r="R710" s="2"/>
      <c r="S710" s="2"/>
      <c r="T710" s="2"/>
    </row>
    <row r="711" spans="1:20">
      <c r="A711" s="3"/>
      <c r="B711" s="3"/>
      <c r="C711" s="2"/>
      <c r="D711" s="2"/>
      <c r="E711" s="64"/>
      <c r="F711" s="64"/>
      <c r="G711" s="64"/>
      <c r="H711" s="64"/>
      <c r="I711" s="2"/>
      <c r="J711" s="2"/>
      <c r="K711" s="2"/>
      <c r="L711" s="2"/>
      <c r="M711" s="2"/>
      <c r="N711" s="2"/>
      <c r="O711" s="2"/>
      <c r="P711" s="66"/>
      <c r="Q711" s="66"/>
      <c r="R711" s="2"/>
      <c r="S711" s="2"/>
      <c r="T711" s="2"/>
    </row>
    <row r="712" spans="1:20">
      <c r="A712" s="3"/>
      <c r="B712" s="3"/>
      <c r="C712" s="2"/>
      <c r="D712" s="2"/>
      <c r="E712" s="64"/>
      <c r="F712" s="64"/>
      <c r="G712" s="64"/>
      <c r="H712" s="64"/>
      <c r="I712" s="2"/>
      <c r="J712" s="2"/>
      <c r="K712" s="2"/>
      <c r="L712" s="2"/>
      <c r="M712" s="2"/>
      <c r="N712" s="2"/>
      <c r="O712" s="2"/>
      <c r="P712" s="66"/>
      <c r="Q712" s="66"/>
      <c r="R712" s="2"/>
      <c r="S712" s="2"/>
      <c r="T712" s="2"/>
    </row>
    <row r="713" spans="1:20">
      <c r="A713" s="3"/>
      <c r="B713" s="3"/>
      <c r="C713" s="2"/>
      <c r="D713" s="2"/>
      <c r="E713" s="64"/>
      <c r="F713" s="64"/>
      <c r="G713" s="64"/>
      <c r="H713" s="64"/>
      <c r="I713" s="2"/>
      <c r="J713" s="2"/>
      <c r="K713" s="2"/>
      <c r="L713" s="2"/>
      <c r="M713" s="2"/>
      <c r="N713" s="2"/>
      <c r="O713" s="2"/>
      <c r="P713" s="66"/>
      <c r="Q713" s="66"/>
      <c r="R713" s="2"/>
      <c r="S713" s="2"/>
      <c r="T713" s="2"/>
    </row>
    <row r="714" spans="1:20">
      <c r="A714" s="3"/>
      <c r="B714" s="3"/>
      <c r="C714" s="2"/>
      <c r="D714" s="2"/>
      <c r="E714" s="64"/>
      <c r="F714" s="64"/>
      <c r="G714" s="64"/>
      <c r="H714" s="64"/>
      <c r="I714" s="2"/>
      <c r="J714" s="2"/>
      <c r="K714" s="2"/>
      <c r="L714" s="2"/>
      <c r="M714" s="2"/>
      <c r="N714" s="2"/>
      <c r="O714" s="2"/>
      <c r="P714" s="66"/>
      <c r="Q714" s="66"/>
      <c r="R714" s="2"/>
      <c r="S714" s="2"/>
      <c r="T714" s="2"/>
    </row>
    <row r="715" spans="1:20">
      <c r="A715" s="3"/>
      <c r="B715" s="3"/>
      <c r="C715" s="2"/>
      <c r="D715" s="2"/>
      <c r="E715" s="64"/>
      <c r="F715" s="64"/>
      <c r="G715" s="64"/>
      <c r="H715" s="64"/>
      <c r="I715" s="2"/>
      <c r="J715" s="2"/>
      <c r="K715" s="2"/>
      <c r="L715" s="2"/>
      <c r="M715" s="2"/>
      <c r="N715" s="2"/>
      <c r="O715" s="2"/>
      <c r="P715" s="66"/>
      <c r="Q715" s="66"/>
      <c r="R715" s="2"/>
      <c r="S715" s="2"/>
      <c r="T715" s="2"/>
    </row>
    <row r="716" spans="1:20">
      <c r="A716" s="3"/>
      <c r="B716" s="3"/>
      <c r="C716" s="2"/>
      <c r="D716" s="2"/>
      <c r="E716" s="64"/>
      <c r="F716" s="64"/>
      <c r="G716" s="64"/>
      <c r="H716" s="64"/>
      <c r="I716" s="2"/>
      <c r="J716" s="2"/>
      <c r="K716" s="2"/>
      <c r="L716" s="2"/>
      <c r="M716" s="2"/>
      <c r="N716" s="2"/>
      <c r="O716" s="2"/>
      <c r="P716" s="66"/>
      <c r="Q716" s="66"/>
      <c r="R716" s="2"/>
      <c r="S716" s="2"/>
      <c r="T716" s="2"/>
    </row>
    <row r="717" spans="1:20">
      <c r="A717" s="3"/>
      <c r="B717" s="3"/>
      <c r="C717" s="2"/>
      <c r="D717" s="2"/>
      <c r="E717" s="64"/>
      <c r="F717" s="64"/>
      <c r="G717" s="64"/>
      <c r="H717" s="64"/>
      <c r="I717" s="2"/>
      <c r="J717" s="2"/>
      <c r="K717" s="2"/>
      <c r="L717" s="2"/>
      <c r="M717" s="2"/>
      <c r="N717" s="2"/>
      <c r="O717" s="2"/>
      <c r="P717" s="66"/>
      <c r="Q717" s="66"/>
      <c r="R717" s="2"/>
      <c r="S717" s="2"/>
      <c r="T717" s="2"/>
    </row>
    <row r="718" spans="1:20">
      <c r="A718" s="3"/>
      <c r="B718" s="3"/>
      <c r="C718" s="2"/>
      <c r="D718" s="2"/>
      <c r="E718" s="64"/>
      <c r="F718" s="64"/>
      <c r="G718" s="64"/>
      <c r="H718" s="64"/>
      <c r="I718" s="2"/>
      <c r="J718" s="2"/>
      <c r="K718" s="2"/>
      <c r="L718" s="2"/>
      <c r="M718" s="2"/>
      <c r="N718" s="2"/>
      <c r="O718" s="2"/>
      <c r="P718" s="66"/>
      <c r="Q718" s="66"/>
      <c r="R718" s="2"/>
      <c r="S718" s="2"/>
      <c r="T718" s="2"/>
    </row>
    <row r="719" spans="1:20">
      <c r="A719" s="3"/>
      <c r="B719" s="3"/>
      <c r="C719" s="2"/>
      <c r="D719" s="2"/>
      <c r="E719" s="64"/>
      <c r="F719" s="64"/>
      <c r="G719" s="64"/>
      <c r="H719" s="64"/>
      <c r="I719" s="2"/>
      <c r="J719" s="2"/>
      <c r="K719" s="2"/>
      <c r="L719" s="2"/>
      <c r="M719" s="2"/>
      <c r="N719" s="2"/>
      <c r="O719" s="2"/>
      <c r="P719" s="66"/>
      <c r="Q719" s="66"/>
      <c r="R719" s="2"/>
      <c r="S719" s="2"/>
      <c r="T719" s="2"/>
    </row>
    <row r="720" spans="1:20">
      <c r="A720" s="3"/>
      <c r="B720" s="3"/>
      <c r="C720" s="2"/>
      <c r="D720" s="2"/>
      <c r="E720" s="64"/>
      <c r="F720" s="64"/>
      <c r="G720" s="64"/>
      <c r="H720" s="64"/>
      <c r="I720" s="2"/>
      <c r="J720" s="2"/>
      <c r="K720" s="2"/>
      <c r="L720" s="2"/>
      <c r="M720" s="2"/>
      <c r="N720" s="2"/>
      <c r="O720" s="2"/>
      <c r="P720" s="66"/>
      <c r="Q720" s="66"/>
      <c r="R720" s="2"/>
      <c r="S720" s="2"/>
      <c r="T720" s="2"/>
    </row>
    <row r="721" spans="1:20">
      <c r="A721" s="3"/>
      <c r="B721" s="3"/>
      <c r="C721" s="2"/>
      <c r="D721" s="2"/>
      <c r="E721" s="64"/>
      <c r="F721" s="64"/>
      <c r="G721" s="64"/>
      <c r="H721" s="64"/>
      <c r="I721" s="2"/>
      <c r="J721" s="2"/>
      <c r="K721" s="2"/>
      <c r="L721" s="2"/>
      <c r="M721" s="2"/>
      <c r="N721" s="2"/>
      <c r="O721" s="2"/>
      <c r="P721" s="66"/>
      <c r="Q721" s="66"/>
      <c r="R721" s="2"/>
      <c r="S721" s="2"/>
      <c r="T721" s="2"/>
    </row>
    <row r="722" spans="1:20">
      <c r="A722" s="3"/>
      <c r="B722" s="3"/>
      <c r="C722" s="2"/>
      <c r="D722" s="2"/>
      <c r="E722" s="64"/>
      <c r="F722" s="64"/>
      <c r="G722" s="64"/>
      <c r="H722" s="64"/>
      <c r="I722" s="2"/>
      <c r="J722" s="2"/>
      <c r="K722" s="2"/>
      <c r="L722" s="2"/>
      <c r="M722" s="2"/>
      <c r="N722" s="2"/>
      <c r="O722" s="2"/>
      <c r="P722" s="66"/>
      <c r="Q722" s="66"/>
      <c r="R722" s="2"/>
      <c r="S722" s="2"/>
      <c r="T722" s="2"/>
    </row>
    <row r="723" spans="1:20">
      <c r="A723" s="3"/>
      <c r="B723" s="3"/>
      <c r="C723" s="2"/>
      <c r="D723" s="2"/>
      <c r="E723" s="64"/>
      <c r="F723" s="64"/>
      <c r="G723" s="64"/>
      <c r="H723" s="64"/>
      <c r="I723" s="2"/>
      <c r="J723" s="2"/>
      <c r="K723" s="2"/>
      <c r="L723" s="2"/>
      <c r="M723" s="2"/>
      <c r="N723" s="2"/>
      <c r="O723" s="2"/>
      <c r="P723" s="66"/>
      <c r="Q723" s="66"/>
      <c r="R723" s="2"/>
      <c r="S723" s="2"/>
      <c r="T723" s="2"/>
    </row>
    <row r="724" spans="1:20">
      <c r="A724" s="3"/>
      <c r="B724" s="3"/>
      <c r="C724" s="2"/>
      <c r="D724" s="2"/>
      <c r="E724" s="64"/>
      <c r="F724" s="64"/>
      <c r="G724" s="64"/>
      <c r="H724" s="64"/>
      <c r="I724" s="2"/>
      <c r="J724" s="2"/>
      <c r="K724" s="2"/>
      <c r="L724" s="2"/>
      <c r="M724" s="2"/>
      <c r="N724" s="2"/>
      <c r="O724" s="2"/>
      <c r="P724" s="66"/>
      <c r="Q724" s="66"/>
      <c r="R724" s="2"/>
      <c r="S724" s="2"/>
      <c r="T724" s="2"/>
    </row>
    <row r="725" spans="1:20">
      <c r="A725" s="3"/>
      <c r="B725" s="3"/>
      <c r="C725" s="2"/>
      <c r="D725" s="2"/>
      <c r="E725" s="64"/>
      <c r="F725" s="64"/>
      <c r="G725" s="64"/>
      <c r="H725" s="64"/>
      <c r="I725" s="2"/>
      <c r="J725" s="2"/>
      <c r="K725" s="2"/>
      <c r="L725" s="2"/>
      <c r="M725" s="2"/>
      <c r="N725" s="2"/>
      <c r="O725" s="2"/>
      <c r="P725" s="66"/>
      <c r="Q725" s="66"/>
      <c r="R725" s="2"/>
      <c r="S725" s="2"/>
      <c r="T725" s="2"/>
    </row>
    <row r="726" spans="1:20">
      <c r="A726" s="3"/>
      <c r="B726" s="3"/>
      <c r="C726" s="2"/>
      <c r="D726" s="2"/>
      <c r="E726" s="64"/>
      <c r="F726" s="64"/>
      <c r="G726" s="64"/>
      <c r="H726" s="64"/>
      <c r="I726" s="2"/>
      <c r="J726" s="2"/>
      <c r="K726" s="2"/>
      <c r="L726" s="2"/>
      <c r="M726" s="2"/>
      <c r="N726" s="2"/>
      <c r="O726" s="2"/>
      <c r="P726" s="66"/>
      <c r="Q726" s="66"/>
      <c r="R726" s="2"/>
      <c r="S726" s="2"/>
      <c r="T726" s="2"/>
    </row>
    <row r="727" spans="1:20">
      <c r="A727" s="3"/>
      <c r="B727" s="3"/>
      <c r="C727" s="2"/>
      <c r="D727" s="2"/>
      <c r="E727" s="64"/>
      <c r="F727" s="64"/>
      <c r="G727" s="64"/>
      <c r="H727" s="64"/>
      <c r="I727" s="2"/>
      <c r="J727" s="2"/>
      <c r="K727" s="2"/>
      <c r="L727" s="2"/>
      <c r="M727" s="2"/>
      <c r="N727" s="2"/>
      <c r="O727" s="2"/>
      <c r="P727" s="66"/>
      <c r="Q727" s="66"/>
      <c r="R727" s="2"/>
      <c r="S727" s="2"/>
      <c r="T727" s="2"/>
    </row>
    <row r="728" spans="1:20">
      <c r="A728" s="3"/>
      <c r="B728" s="3"/>
      <c r="C728" s="2"/>
      <c r="D728" s="2"/>
      <c r="E728" s="64"/>
      <c r="F728" s="64"/>
      <c r="G728" s="64"/>
      <c r="H728" s="64"/>
      <c r="I728" s="2"/>
      <c r="J728" s="2"/>
      <c r="K728" s="2"/>
      <c r="L728" s="2"/>
      <c r="M728" s="2"/>
      <c r="N728" s="2"/>
      <c r="O728" s="2"/>
      <c r="P728" s="66"/>
      <c r="Q728" s="66"/>
      <c r="R728" s="2"/>
      <c r="S728" s="2"/>
      <c r="T728" s="2"/>
    </row>
    <row r="729" spans="1:20">
      <c r="A729" s="3"/>
      <c r="B729" s="3"/>
      <c r="C729" s="2"/>
      <c r="D729" s="2"/>
      <c r="E729" s="64"/>
      <c r="F729" s="64"/>
      <c r="G729" s="64"/>
      <c r="H729" s="64"/>
      <c r="I729" s="2"/>
      <c r="J729" s="2"/>
      <c r="K729" s="2"/>
      <c r="L729" s="2"/>
      <c r="M729" s="2"/>
      <c r="N729" s="2"/>
      <c r="O729" s="2"/>
      <c r="P729" s="66"/>
      <c r="Q729" s="66"/>
      <c r="R729" s="2"/>
      <c r="S729" s="2"/>
      <c r="T729" s="2"/>
    </row>
    <row r="730" spans="1:20">
      <c r="A730" s="3"/>
      <c r="B730" s="3"/>
      <c r="C730" s="2"/>
      <c r="D730" s="2"/>
      <c r="E730" s="64"/>
      <c r="F730" s="64"/>
      <c r="G730" s="64"/>
      <c r="H730" s="64"/>
      <c r="I730" s="2"/>
      <c r="J730" s="2"/>
      <c r="K730" s="2"/>
      <c r="L730" s="2"/>
      <c r="M730" s="2"/>
      <c r="N730" s="2"/>
      <c r="O730" s="2"/>
      <c r="P730" s="66"/>
      <c r="Q730" s="66"/>
      <c r="R730" s="2"/>
      <c r="S730" s="2"/>
      <c r="T730" s="2"/>
    </row>
    <row r="731" spans="1:20">
      <c r="A731" s="3"/>
      <c r="B731" s="3"/>
      <c r="C731" s="2"/>
      <c r="D731" s="2"/>
      <c r="E731" s="64"/>
      <c r="F731" s="64"/>
      <c r="G731" s="64"/>
      <c r="H731" s="64"/>
      <c r="I731" s="2"/>
      <c r="J731" s="2"/>
      <c r="K731" s="2"/>
      <c r="L731" s="2"/>
      <c r="M731" s="2"/>
      <c r="N731" s="2"/>
      <c r="O731" s="2"/>
      <c r="P731" s="66"/>
      <c r="Q731" s="66"/>
      <c r="R731" s="2"/>
      <c r="S731" s="2"/>
      <c r="T731" s="2"/>
    </row>
    <row r="732" spans="1:20">
      <c r="A732" s="3"/>
      <c r="B732" s="3"/>
      <c r="C732" s="2"/>
      <c r="D732" s="2"/>
      <c r="E732" s="64"/>
      <c r="F732" s="64"/>
      <c r="G732" s="64"/>
      <c r="H732" s="64"/>
      <c r="I732" s="2"/>
      <c r="J732" s="2"/>
      <c r="K732" s="2"/>
      <c r="L732" s="2"/>
      <c r="M732" s="2"/>
      <c r="N732" s="2"/>
      <c r="O732" s="2"/>
      <c r="P732" s="66"/>
      <c r="Q732" s="66"/>
      <c r="R732" s="2"/>
      <c r="S732" s="2"/>
      <c r="T732" s="2"/>
    </row>
    <row r="733" spans="1:20">
      <c r="A733" s="3"/>
      <c r="B733" s="3"/>
      <c r="C733" s="2"/>
      <c r="D733" s="2"/>
      <c r="E733" s="64"/>
      <c r="F733" s="64"/>
      <c r="G733" s="64"/>
      <c r="H733" s="64"/>
      <c r="I733" s="2"/>
      <c r="J733" s="2"/>
      <c r="K733" s="2"/>
      <c r="L733" s="2"/>
      <c r="M733" s="2"/>
      <c r="N733" s="2"/>
      <c r="O733" s="2"/>
      <c r="P733" s="66"/>
      <c r="Q733" s="66"/>
      <c r="R733" s="2"/>
      <c r="S733" s="2"/>
      <c r="T733" s="2"/>
    </row>
    <row r="734" spans="1:20">
      <c r="A734" s="3"/>
      <c r="B734" s="3"/>
      <c r="C734" s="2"/>
      <c r="D734" s="2"/>
      <c r="E734" s="64"/>
      <c r="F734" s="64"/>
      <c r="G734" s="64"/>
      <c r="H734" s="64"/>
      <c r="I734" s="2"/>
      <c r="J734" s="2"/>
      <c r="K734" s="2"/>
      <c r="L734" s="2"/>
      <c r="M734" s="2"/>
      <c r="N734" s="2"/>
      <c r="O734" s="2"/>
      <c r="P734" s="66"/>
      <c r="Q734" s="66"/>
      <c r="R734" s="2"/>
      <c r="S734" s="2"/>
      <c r="T734" s="2"/>
    </row>
    <row r="735" spans="1:20">
      <c r="A735" s="3"/>
      <c r="B735" s="3"/>
      <c r="C735" s="2"/>
      <c r="D735" s="2"/>
      <c r="E735" s="64"/>
      <c r="F735" s="64"/>
      <c r="G735" s="64"/>
      <c r="H735" s="64"/>
      <c r="I735" s="2"/>
      <c r="J735" s="2"/>
      <c r="K735" s="2"/>
      <c r="L735" s="2"/>
      <c r="M735" s="2"/>
      <c r="N735" s="2"/>
      <c r="O735" s="2"/>
      <c r="P735" s="66"/>
      <c r="Q735" s="66"/>
      <c r="R735" s="2"/>
      <c r="S735" s="2"/>
      <c r="T735" s="2"/>
    </row>
    <row r="736" spans="1:20">
      <c r="A736" s="3"/>
      <c r="B736" s="3"/>
      <c r="C736" s="2"/>
      <c r="D736" s="2"/>
      <c r="E736" s="64"/>
      <c r="F736" s="64"/>
      <c r="G736" s="64"/>
      <c r="H736" s="64"/>
      <c r="I736" s="2"/>
      <c r="J736" s="2"/>
      <c r="K736" s="2"/>
      <c r="L736" s="2"/>
      <c r="M736" s="2"/>
      <c r="N736" s="2"/>
      <c r="O736" s="2"/>
      <c r="P736" s="66"/>
      <c r="Q736" s="66"/>
      <c r="R736" s="2"/>
      <c r="S736" s="2"/>
      <c r="T736" s="2"/>
    </row>
    <row r="737" spans="1:20">
      <c r="A737" s="3"/>
      <c r="B737" s="3"/>
      <c r="C737" s="2"/>
      <c r="D737" s="2"/>
      <c r="E737" s="64"/>
      <c r="F737" s="64"/>
      <c r="G737" s="64"/>
      <c r="H737" s="64"/>
      <c r="I737" s="2"/>
      <c r="J737" s="2"/>
      <c r="K737" s="2"/>
      <c r="L737" s="2"/>
      <c r="M737" s="2"/>
      <c r="N737" s="2"/>
      <c r="O737" s="2"/>
      <c r="P737" s="66"/>
      <c r="Q737" s="66"/>
      <c r="R737" s="2"/>
      <c r="S737" s="2"/>
      <c r="T737" s="2"/>
    </row>
    <row r="738" spans="1:20">
      <c r="A738" s="3"/>
      <c r="B738" s="3"/>
      <c r="C738" s="2"/>
      <c r="D738" s="2"/>
      <c r="E738" s="64"/>
      <c r="F738" s="64"/>
      <c r="G738" s="64"/>
      <c r="H738" s="64"/>
      <c r="I738" s="2"/>
      <c r="J738" s="2"/>
      <c r="K738" s="2"/>
      <c r="L738" s="2"/>
      <c r="M738" s="2"/>
      <c r="N738" s="2"/>
      <c r="O738" s="2"/>
      <c r="P738" s="66"/>
      <c r="Q738" s="66"/>
      <c r="R738" s="2"/>
      <c r="S738" s="2"/>
      <c r="T738" s="2"/>
    </row>
    <row r="739" spans="1:20">
      <c r="A739" s="3"/>
      <c r="B739" s="3"/>
      <c r="C739" s="2"/>
      <c r="D739" s="2"/>
      <c r="E739" s="64"/>
      <c r="F739" s="64"/>
      <c r="G739" s="64"/>
      <c r="H739" s="64"/>
      <c r="I739" s="2"/>
      <c r="J739" s="2"/>
      <c r="K739" s="2"/>
      <c r="L739" s="2"/>
      <c r="M739" s="2"/>
      <c r="N739" s="2"/>
      <c r="O739" s="2"/>
      <c r="P739" s="66"/>
      <c r="Q739" s="66"/>
      <c r="R739" s="2"/>
      <c r="S739" s="2"/>
      <c r="T739" s="2"/>
    </row>
    <row r="740" spans="1:20">
      <c r="A740" s="3"/>
      <c r="B740" s="3"/>
      <c r="C740" s="2"/>
      <c r="D740" s="2"/>
      <c r="E740" s="64"/>
      <c r="F740" s="64"/>
      <c r="G740" s="64"/>
      <c r="H740" s="64"/>
      <c r="I740" s="2"/>
      <c r="J740" s="2"/>
      <c r="K740" s="2"/>
      <c r="L740" s="2"/>
      <c r="M740" s="2"/>
      <c r="N740" s="2"/>
      <c r="O740" s="2"/>
      <c r="P740" s="66"/>
      <c r="Q740" s="66"/>
      <c r="R740" s="2"/>
      <c r="S740" s="2"/>
      <c r="T740" s="2"/>
    </row>
    <row r="741" spans="1:20">
      <c r="A741" s="3"/>
      <c r="B741" s="3"/>
      <c r="C741" s="2"/>
      <c r="D741" s="2"/>
      <c r="E741" s="64"/>
      <c r="F741" s="64"/>
      <c r="G741" s="64"/>
      <c r="H741" s="64"/>
      <c r="I741" s="2"/>
      <c r="J741" s="2"/>
      <c r="K741" s="2"/>
      <c r="L741" s="2"/>
      <c r="M741" s="2"/>
      <c r="N741" s="2"/>
      <c r="O741" s="2"/>
      <c r="P741" s="66"/>
      <c r="Q741" s="66"/>
      <c r="R741" s="2"/>
      <c r="S741" s="2"/>
      <c r="T741" s="2"/>
    </row>
    <row r="742" spans="1:20">
      <c r="A742" s="3"/>
      <c r="B742" s="3"/>
      <c r="C742" s="2"/>
      <c r="D742" s="2"/>
      <c r="E742" s="64"/>
      <c r="F742" s="64"/>
      <c r="G742" s="64"/>
      <c r="H742" s="64"/>
      <c r="I742" s="2"/>
      <c r="J742" s="2"/>
      <c r="K742" s="2"/>
      <c r="L742" s="2"/>
      <c r="M742" s="2"/>
      <c r="N742" s="2"/>
      <c r="O742" s="2"/>
      <c r="P742" s="66"/>
      <c r="Q742" s="66"/>
      <c r="R742" s="2"/>
      <c r="S742" s="2"/>
      <c r="T742" s="2"/>
    </row>
    <row r="743" spans="1:20">
      <c r="A743" s="3"/>
      <c r="B743" s="3"/>
      <c r="C743" s="2"/>
      <c r="D743" s="2"/>
      <c r="E743" s="64"/>
      <c r="F743" s="64"/>
      <c r="G743" s="64"/>
      <c r="H743" s="64"/>
      <c r="I743" s="2"/>
      <c r="J743" s="2"/>
      <c r="K743" s="2"/>
      <c r="L743" s="2"/>
      <c r="M743" s="2"/>
      <c r="N743" s="2"/>
      <c r="O743" s="2"/>
      <c r="P743" s="66"/>
      <c r="Q743" s="66"/>
      <c r="R743" s="2"/>
      <c r="S743" s="2"/>
      <c r="T743" s="2"/>
    </row>
    <row r="744" spans="1:20">
      <c r="A744" s="3"/>
      <c r="B744" s="3"/>
      <c r="C744" s="2"/>
      <c r="D744" s="2"/>
      <c r="E744" s="64"/>
      <c r="F744" s="64"/>
      <c r="G744" s="64"/>
      <c r="H744" s="64"/>
      <c r="I744" s="2"/>
      <c r="J744" s="2"/>
      <c r="K744" s="2"/>
      <c r="L744" s="2"/>
      <c r="M744" s="2"/>
      <c r="N744" s="2"/>
      <c r="O744" s="2"/>
      <c r="P744" s="66"/>
      <c r="Q744" s="66"/>
      <c r="R744" s="2"/>
      <c r="S744" s="2"/>
      <c r="T744" s="2"/>
    </row>
    <row r="745" spans="1:20">
      <c r="A745" s="3"/>
      <c r="B745" s="3"/>
      <c r="C745" s="2"/>
      <c r="D745" s="2"/>
      <c r="E745" s="64"/>
      <c r="F745" s="64"/>
      <c r="G745" s="64"/>
      <c r="H745" s="64"/>
      <c r="I745" s="2"/>
      <c r="J745" s="2"/>
      <c r="K745" s="2"/>
      <c r="L745" s="2"/>
      <c r="M745" s="2"/>
      <c r="N745" s="2"/>
      <c r="O745" s="2"/>
      <c r="P745" s="66"/>
      <c r="Q745" s="66"/>
      <c r="R745" s="2"/>
      <c r="S745" s="2"/>
      <c r="T745" s="2"/>
    </row>
    <row r="746" spans="1:20">
      <c r="A746" s="3"/>
      <c r="B746" s="3"/>
      <c r="C746" s="2"/>
      <c r="D746" s="2"/>
      <c r="E746" s="64"/>
      <c r="F746" s="64"/>
      <c r="G746" s="64"/>
      <c r="H746" s="64"/>
      <c r="I746" s="2"/>
      <c r="J746" s="2"/>
      <c r="K746" s="2"/>
      <c r="L746" s="2"/>
      <c r="M746" s="2"/>
      <c r="N746" s="2"/>
      <c r="O746" s="2"/>
      <c r="P746" s="66"/>
      <c r="Q746" s="66"/>
      <c r="R746" s="2"/>
      <c r="S746" s="2"/>
      <c r="T746" s="2"/>
    </row>
    <row r="747" spans="1:20">
      <c r="A747" s="3"/>
      <c r="B747" s="3"/>
      <c r="C747" s="2"/>
      <c r="D747" s="2"/>
      <c r="E747" s="64"/>
      <c r="F747" s="64"/>
      <c r="G747" s="64"/>
      <c r="H747" s="64"/>
      <c r="I747" s="2"/>
      <c r="J747" s="2"/>
      <c r="K747" s="2"/>
      <c r="L747" s="2"/>
      <c r="M747" s="2"/>
      <c r="N747" s="2"/>
      <c r="O747" s="2"/>
      <c r="P747" s="66"/>
      <c r="Q747" s="66"/>
      <c r="R747" s="2"/>
      <c r="S747" s="2"/>
      <c r="T747" s="2"/>
    </row>
    <row r="748" spans="1:20">
      <c r="A748" s="3"/>
      <c r="B748" s="3"/>
      <c r="C748" s="2"/>
      <c r="D748" s="2"/>
      <c r="E748" s="64"/>
      <c r="F748" s="64"/>
      <c r="G748" s="64"/>
      <c r="H748" s="64"/>
      <c r="I748" s="2"/>
      <c r="J748" s="2"/>
      <c r="K748" s="2"/>
      <c r="L748" s="2"/>
      <c r="M748" s="2"/>
      <c r="N748" s="2"/>
      <c r="O748" s="2"/>
      <c r="P748" s="66"/>
      <c r="Q748" s="66"/>
      <c r="R748" s="2"/>
      <c r="S748" s="2"/>
      <c r="T748" s="2"/>
    </row>
    <row r="749" spans="1:20">
      <c r="A749" s="3"/>
      <c r="B749" s="3"/>
      <c r="C749" s="2"/>
      <c r="D749" s="2"/>
      <c r="E749" s="64"/>
      <c r="F749" s="64"/>
      <c r="G749" s="64"/>
      <c r="H749" s="64"/>
      <c r="I749" s="2"/>
      <c r="J749" s="2"/>
      <c r="K749" s="2"/>
      <c r="L749" s="2"/>
      <c r="M749" s="2"/>
      <c r="N749" s="2"/>
      <c r="O749" s="2"/>
      <c r="P749" s="66"/>
      <c r="Q749" s="66"/>
      <c r="R749" s="2"/>
      <c r="S749" s="2"/>
      <c r="T749" s="2"/>
    </row>
    <row r="750" spans="1:20">
      <c r="A750" s="3"/>
      <c r="B750" s="3"/>
      <c r="C750" s="2"/>
      <c r="D750" s="2"/>
      <c r="E750" s="64"/>
      <c r="F750" s="64"/>
      <c r="G750" s="64"/>
      <c r="H750" s="64"/>
      <c r="I750" s="2"/>
      <c r="J750" s="2"/>
      <c r="K750" s="2"/>
      <c r="L750" s="2"/>
      <c r="M750" s="2"/>
      <c r="N750" s="2"/>
      <c r="O750" s="2"/>
      <c r="P750" s="66"/>
      <c r="Q750" s="66"/>
      <c r="R750" s="2"/>
      <c r="S750" s="2"/>
      <c r="T750" s="2"/>
    </row>
    <row r="751" spans="1:20">
      <c r="A751" s="3"/>
      <c r="B751" s="3"/>
      <c r="C751" s="2"/>
      <c r="D751" s="2"/>
      <c r="E751" s="64"/>
      <c r="F751" s="64"/>
      <c r="G751" s="64"/>
      <c r="H751" s="64"/>
      <c r="I751" s="2"/>
      <c r="J751" s="2"/>
      <c r="K751" s="2"/>
      <c r="L751" s="2"/>
      <c r="M751" s="2"/>
      <c r="N751" s="2"/>
      <c r="O751" s="2"/>
      <c r="P751" s="66"/>
      <c r="Q751" s="66"/>
      <c r="R751" s="2"/>
      <c r="S751" s="2"/>
      <c r="T751" s="2"/>
    </row>
    <row r="752" spans="1:20">
      <c r="A752" s="3"/>
      <c r="B752" s="3"/>
      <c r="C752" s="2"/>
      <c r="D752" s="2"/>
      <c r="E752" s="64"/>
      <c r="F752" s="64"/>
      <c r="G752" s="64"/>
      <c r="H752" s="64"/>
      <c r="I752" s="2"/>
      <c r="J752" s="2"/>
      <c r="K752" s="2"/>
      <c r="L752" s="2"/>
      <c r="M752" s="2"/>
      <c r="N752" s="2"/>
      <c r="O752" s="2"/>
      <c r="P752" s="66"/>
      <c r="Q752" s="66"/>
      <c r="R752" s="2"/>
      <c r="S752" s="2"/>
      <c r="T752" s="2"/>
    </row>
    <row r="753" spans="1:20">
      <c r="A753" s="3"/>
      <c r="B753" s="3"/>
      <c r="C753" s="2"/>
      <c r="D753" s="2"/>
      <c r="E753" s="64"/>
      <c r="F753" s="64"/>
      <c r="G753" s="64"/>
      <c r="H753" s="64"/>
      <c r="I753" s="2"/>
      <c r="J753" s="2"/>
      <c r="K753" s="2"/>
      <c r="L753" s="2"/>
      <c r="M753" s="2"/>
      <c r="N753" s="2"/>
      <c r="O753" s="2"/>
      <c r="P753" s="66"/>
      <c r="Q753" s="66"/>
      <c r="R753" s="2"/>
      <c r="S753" s="2"/>
      <c r="T753" s="2"/>
    </row>
    <row r="754" spans="1:20">
      <c r="A754" s="3"/>
      <c r="B754" s="3"/>
      <c r="C754" s="2"/>
      <c r="D754" s="2"/>
      <c r="E754" s="64"/>
      <c r="F754" s="64"/>
      <c r="G754" s="64"/>
      <c r="H754" s="64"/>
      <c r="I754" s="2"/>
      <c r="J754" s="2"/>
      <c r="K754" s="2"/>
      <c r="L754" s="2"/>
      <c r="M754" s="2"/>
      <c r="N754" s="2"/>
      <c r="O754" s="2"/>
      <c r="P754" s="66"/>
      <c r="Q754" s="66"/>
      <c r="R754" s="2"/>
      <c r="S754" s="2"/>
      <c r="T754" s="2"/>
    </row>
    <row r="755" spans="1:20">
      <c r="A755" s="3"/>
      <c r="B755" s="3"/>
      <c r="C755" s="2"/>
      <c r="D755" s="2"/>
      <c r="E755" s="64"/>
      <c r="F755" s="64"/>
      <c r="G755" s="64"/>
      <c r="H755" s="64"/>
      <c r="I755" s="2"/>
      <c r="J755" s="2"/>
      <c r="K755" s="2"/>
      <c r="L755" s="2"/>
      <c r="M755" s="2"/>
      <c r="N755" s="2"/>
      <c r="O755" s="2"/>
      <c r="P755" s="66"/>
      <c r="Q755" s="66"/>
      <c r="R755" s="2"/>
      <c r="S755" s="2"/>
      <c r="T755" s="2"/>
    </row>
    <row r="756" spans="1:20">
      <c r="A756" s="3"/>
      <c r="B756" s="3"/>
      <c r="C756" s="2"/>
      <c r="D756" s="2"/>
      <c r="E756" s="64"/>
      <c r="F756" s="64"/>
      <c r="G756" s="64"/>
      <c r="H756" s="64"/>
      <c r="I756" s="2"/>
      <c r="J756" s="2"/>
      <c r="K756" s="2"/>
      <c r="L756" s="2"/>
      <c r="M756" s="2"/>
      <c r="N756" s="2"/>
      <c r="O756" s="2"/>
      <c r="P756" s="66"/>
      <c r="Q756" s="66"/>
      <c r="R756" s="2"/>
      <c r="S756" s="2"/>
      <c r="T756" s="2"/>
    </row>
    <row r="757" spans="1:20">
      <c r="A757" s="3"/>
      <c r="B757" s="3"/>
      <c r="C757" s="2"/>
      <c r="D757" s="2"/>
      <c r="E757" s="64"/>
      <c r="F757" s="64"/>
      <c r="G757" s="64"/>
      <c r="H757" s="64"/>
      <c r="I757" s="2"/>
      <c r="J757" s="2"/>
      <c r="K757" s="2"/>
      <c r="L757" s="2"/>
      <c r="M757" s="2"/>
      <c r="N757" s="2"/>
      <c r="O757" s="2"/>
      <c r="P757" s="66"/>
      <c r="Q757" s="66"/>
      <c r="R757" s="2"/>
      <c r="S757" s="2"/>
      <c r="T757" s="2"/>
    </row>
    <row r="758" spans="1:20">
      <c r="A758" s="3"/>
      <c r="B758" s="3"/>
      <c r="C758" s="2"/>
      <c r="D758" s="2"/>
      <c r="E758" s="64"/>
      <c r="F758" s="64"/>
      <c r="G758" s="64"/>
      <c r="H758" s="64"/>
      <c r="I758" s="2"/>
      <c r="J758" s="2"/>
      <c r="K758" s="2"/>
      <c r="L758" s="2"/>
      <c r="M758" s="2"/>
      <c r="N758" s="2"/>
      <c r="O758" s="2"/>
      <c r="P758" s="66"/>
      <c r="Q758" s="66"/>
      <c r="R758" s="2"/>
      <c r="S758" s="2"/>
      <c r="T758" s="2"/>
    </row>
    <row r="759" spans="1:20">
      <c r="A759" s="3"/>
      <c r="B759" s="3"/>
      <c r="C759" s="2"/>
      <c r="D759" s="2"/>
      <c r="E759" s="64"/>
      <c r="F759" s="64"/>
      <c r="G759" s="64"/>
      <c r="H759" s="64"/>
      <c r="I759" s="2"/>
      <c r="J759" s="2"/>
      <c r="K759" s="2"/>
      <c r="L759" s="2"/>
      <c r="M759" s="2"/>
      <c r="N759" s="2"/>
      <c r="O759" s="2"/>
      <c r="P759" s="66"/>
      <c r="Q759" s="66"/>
      <c r="R759" s="2"/>
      <c r="S759" s="2"/>
      <c r="T759" s="2"/>
    </row>
    <row r="760" spans="1:20">
      <c r="A760" s="3"/>
      <c r="B760" s="3"/>
      <c r="C760" s="2"/>
      <c r="D760" s="2"/>
      <c r="E760" s="64"/>
      <c r="F760" s="64"/>
      <c r="G760" s="64"/>
      <c r="H760" s="64"/>
      <c r="I760" s="2"/>
      <c r="J760" s="2"/>
      <c r="K760" s="2"/>
      <c r="L760" s="2"/>
      <c r="M760" s="2"/>
      <c r="N760" s="2"/>
      <c r="O760" s="2"/>
      <c r="P760" s="66"/>
      <c r="Q760" s="66"/>
      <c r="R760" s="2"/>
      <c r="S760" s="2"/>
      <c r="T760" s="2"/>
    </row>
    <row r="761" spans="1:20">
      <c r="A761" s="3"/>
      <c r="B761" s="3"/>
      <c r="C761" s="2"/>
      <c r="D761" s="2"/>
      <c r="E761" s="64"/>
      <c r="F761" s="64"/>
      <c r="G761" s="64"/>
      <c r="H761" s="64"/>
      <c r="I761" s="2"/>
      <c r="J761" s="2"/>
      <c r="K761" s="2"/>
      <c r="L761" s="2"/>
      <c r="M761" s="2"/>
      <c r="N761" s="2"/>
      <c r="O761" s="2"/>
      <c r="P761" s="66"/>
      <c r="Q761" s="66"/>
      <c r="R761" s="2"/>
      <c r="S761" s="2"/>
      <c r="T761" s="2"/>
    </row>
    <row r="762" spans="1:20">
      <c r="A762" s="3"/>
      <c r="B762" s="3"/>
      <c r="C762" s="2"/>
      <c r="D762" s="2"/>
      <c r="E762" s="64"/>
      <c r="F762" s="64"/>
      <c r="G762" s="64"/>
      <c r="H762" s="64"/>
      <c r="I762" s="2"/>
      <c r="J762" s="2"/>
      <c r="K762" s="2"/>
      <c r="L762" s="2"/>
      <c r="M762" s="2"/>
      <c r="N762" s="2"/>
      <c r="O762" s="2"/>
      <c r="P762" s="66"/>
      <c r="Q762" s="66"/>
      <c r="R762" s="2"/>
      <c r="S762" s="2"/>
      <c r="T762" s="2"/>
    </row>
    <row r="763" spans="1:20">
      <c r="A763" s="3"/>
      <c r="B763" s="3"/>
      <c r="C763" s="2"/>
      <c r="D763" s="2"/>
      <c r="E763" s="64"/>
      <c r="F763" s="64"/>
      <c r="G763" s="64"/>
      <c r="H763" s="64"/>
      <c r="I763" s="2"/>
      <c r="J763" s="2"/>
      <c r="K763" s="2"/>
      <c r="L763" s="2"/>
      <c r="M763" s="2"/>
      <c r="N763" s="2"/>
      <c r="O763" s="2"/>
      <c r="P763" s="66"/>
      <c r="Q763" s="66"/>
      <c r="R763" s="2"/>
      <c r="S763" s="2"/>
      <c r="T763" s="2"/>
    </row>
    <row r="764" spans="1:20">
      <c r="A764" s="3"/>
      <c r="B764" s="3"/>
      <c r="C764" s="2"/>
      <c r="D764" s="2"/>
      <c r="E764" s="64"/>
      <c r="F764" s="64"/>
      <c r="G764" s="64"/>
      <c r="H764" s="64"/>
      <c r="I764" s="2"/>
      <c r="J764" s="2"/>
      <c r="K764" s="2"/>
      <c r="L764" s="2"/>
      <c r="M764" s="2"/>
      <c r="N764" s="2"/>
      <c r="O764" s="2"/>
      <c r="P764" s="66"/>
      <c r="Q764" s="66"/>
      <c r="R764" s="2"/>
      <c r="S764" s="2"/>
      <c r="T764" s="2"/>
    </row>
    <row r="765" spans="1:20">
      <c r="A765" s="3"/>
      <c r="B765" s="3"/>
      <c r="C765" s="2"/>
      <c r="D765" s="2"/>
      <c r="E765" s="64"/>
      <c r="F765" s="64"/>
      <c r="G765" s="64"/>
      <c r="H765" s="64"/>
      <c r="I765" s="2"/>
      <c r="J765" s="2"/>
      <c r="K765" s="2"/>
      <c r="L765" s="2"/>
      <c r="M765" s="2"/>
      <c r="N765" s="2"/>
      <c r="O765" s="2"/>
      <c r="P765" s="66"/>
      <c r="Q765" s="66"/>
      <c r="R765" s="2"/>
      <c r="S765" s="2"/>
      <c r="T765" s="2"/>
    </row>
    <row r="766" spans="1:20">
      <c r="A766" s="3"/>
      <c r="B766" s="3"/>
      <c r="C766" s="2"/>
      <c r="D766" s="2"/>
      <c r="E766" s="64"/>
      <c r="F766" s="64"/>
      <c r="G766" s="64"/>
      <c r="H766" s="64"/>
      <c r="I766" s="2"/>
      <c r="J766" s="2"/>
      <c r="K766" s="2"/>
      <c r="L766" s="2"/>
      <c r="M766" s="2"/>
      <c r="N766" s="2"/>
      <c r="O766" s="2"/>
      <c r="P766" s="66"/>
      <c r="Q766" s="66"/>
      <c r="R766" s="2"/>
      <c r="S766" s="2"/>
      <c r="T766" s="2"/>
    </row>
    <row r="767" spans="1:20">
      <c r="A767" s="3"/>
      <c r="B767" s="3"/>
      <c r="C767" s="2"/>
      <c r="D767" s="2"/>
      <c r="E767" s="64"/>
      <c r="F767" s="64"/>
      <c r="G767" s="64"/>
      <c r="H767" s="64"/>
      <c r="I767" s="2"/>
      <c r="J767" s="2"/>
      <c r="K767" s="2"/>
      <c r="L767" s="2"/>
      <c r="M767" s="2"/>
      <c r="N767" s="2"/>
      <c r="O767" s="2"/>
      <c r="P767" s="66"/>
      <c r="Q767" s="66"/>
      <c r="R767" s="2"/>
      <c r="S767" s="2"/>
      <c r="T767" s="2"/>
    </row>
    <row r="768" spans="1:20">
      <c r="A768" s="3"/>
      <c r="B768" s="3"/>
      <c r="C768" s="2"/>
      <c r="D768" s="2"/>
      <c r="E768" s="64"/>
      <c r="F768" s="64"/>
      <c r="G768" s="64"/>
      <c r="H768" s="64"/>
      <c r="I768" s="2"/>
      <c r="J768" s="2"/>
      <c r="K768" s="2"/>
      <c r="L768" s="2"/>
      <c r="M768" s="2"/>
      <c r="N768" s="2"/>
      <c r="O768" s="2"/>
      <c r="P768" s="66"/>
      <c r="Q768" s="66"/>
      <c r="R768" s="2"/>
      <c r="S768" s="2"/>
      <c r="T768" s="2"/>
    </row>
    <row r="769" spans="1:20">
      <c r="A769" s="3"/>
      <c r="B769" s="3"/>
      <c r="C769" s="2"/>
      <c r="D769" s="2"/>
      <c r="E769" s="64"/>
      <c r="F769" s="64"/>
      <c r="G769" s="64"/>
      <c r="H769" s="64"/>
      <c r="I769" s="2"/>
      <c r="J769" s="2"/>
      <c r="K769" s="2"/>
      <c r="L769" s="2"/>
      <c r="M769" s="2"/>
      <c r="N769" s="2"/>
      <c r="O769" s="2"/>
      <c r="P769" s="66"/>
      <c r="Q769" s="66"/>
      <c r="R769" s="2"/>
      <c r="S769" s="2"/>
      <c r="T769" s="2"/>
    </row>
    <row r="770" spans="1:20">
      <c r="A770" s="3"/>
      <c r="B770" s="3"/>
      <c r="C770" s="2"/>
      <c r="D770" s="2"/>
      <c r="E770" s="64"/>
      <c r="F770" s="64"/>
      <c r="G770" s="64"/>
      <c r="H770" s="64"/>
      <c r="I770" s="2"/>
      <c r="J770" s="2"/>
      <c r="K770" s="2"/>
      <c r="L770" s="2"/>
      <c r="M770" s="2"/>
      <c r="N770" s="2"/>
      <c r="O770" s="2"/>
      <c r="P770" s="66"/>
      <c r="Q770" s="66"/>
      <c r="R770" s="2"/>
      <c r="S770" s="2"/>
      <c r="T770" s="2"/>
    </row>
    <row r="771" spans="1:20">
      <c r="A771" s="3"/>
      <c r="B771" s="3"/>
      <c r="C771" s="2"/>
      <c r="D771" s="2"/>
      <c r="E771" s="64"/>
      <c r="F771" s="64"/>
      <c r="G771" s="64"/>
      <c r="H771" s="64"/>
      <c r="I771" s="2"/>
      <c r="J771" s="2"/>
      <c r="K771" s="2"/>
      <c r="L771" s="2"/>
      <c r="M771" s="2"/>
      <c r="N771" s="2"/>
      <c r="O771" s="2"/>
      <c r="P771" s="66"/>
      <c r="Q771" s="66"/>
      <c r="R771" s="2"/>
      <c r="S771" s="2"/>
      <c r="T771" s="2"/>
    </row>
    <row r="772" spans="1:20">
      <c r="A772" s="3"/>
      <c r="B772" s="3"/>
      <c r="C772" s="2"/>
      <c r="D772" s="2"/>
      <c r="E772" s="64"/>
      <c r="F772" s="64"/>
      <c r="G772" s="64"/>
      <c r="H772" s="64"/>
      <c r="I772" s="2"/>
      <c r="J772" s="2"/>
      <c r="K772" s="2"/>
      <c r="L772" s="2"/>
      <c r="M772" s="2"/>
      <c r="N772" s="2"/>
      <c r="O772" s="2"/>
      <c r="P772" s="66"/>
      <c r="Q772" s="66"/>
      <c r="R772" s="2"/>
      <c r="S772" s="2"/>
      <c r="T772" s="2"/>
    </row>
    <row r="773" spans="1:20">
      <c r="A773" s="3"/>
      <c r="B773" s="3"/>
      <c r="C773" s="2"/>
      <c r="D773" s="2"/>
      <c r="E773" s="64"/>
      <c r="F773" s="64"/>
      <c r="G773" s="64"/>
      <c r="H773" s="64"/>
      <c r="I773" s="2"/>
      <c r="J773" s="2"/>
      <c r="K773" s="2"/>
      <c r="L773" s="2"/>
      <c r="M773" s="2"/>
      <c r="N773" s="2"/>
      <c r="O773" s="2"/>
      <c r="P773" s="66"/>
      <c r="Q773" s="66"/>
      <c r="R773" s="2"/>
      <c r="S773" s="2"/>
      <c r="T773" s="2"/>
    </row>
    <row r="774" spans="1:20">
      <c r="A774" s="3"/>
      <c r="B774" s="3"/>
      <c r="C774" s="2"/>
      <c r="D774" s="2"/>
      <c r="E774" s="64"/>
      <c r="F774" s="64"/>
      <c r="G774" s="64"/>
      <c r="H774" s="64"/>
      <c r="I774" s="2"/>
      <c r="J774" s="2"/>
      <c r="K774" s="2"/>
      <c r="L774" s="2"/>
      <c r="M774" s="2"/>
      <c r="N774" s="2"/>
      <c r="O774" s="2"/>
      <c r="P774" s="66"/>
      <c r="Q774" s="66"/>
      <c r="R774" s="2"/>
      <c r="S774" s="2"/>
      <c r="T774" s="2"/>
    </row>
    <row r="775" spans="1:20">
      <c r="A775" s="3"/>
      <c r="B775" s="3"/>
      <c r="C775" s="2"/>
      <c r="D775" s="2"/>
      <c r="E775" s="64"/>
      <c r="F775" s="64"/>
      <c r="G775" s="64"/>
      <c r="H775" s="64"/>
      <c r="I775" s="2"/>
      <c r="J775" s="2"/>
      <c r="K775" s="2"/>
      <c r="L775" s="2"/>
      <c r="M775" s="2"/>
      <c r="N775" s="2"/>
      <c r="O775" s="2"/>
      <c r="P775" s="66"/>
      <c r="Q775" s="66"/>
      <c r="R775" s="2"/>
      <c r="S775" s="2"/>
      <c r="T775" s="2"/>
    </row>
    <row r="776" spans="1:20">
      <c r="A776" s="3"/>
      <c r="B776" s="3"/>
      <c r="C776" s="2"/>
      <c r="D776" s="2"/>
      <c r="E776" s="64"/>
      <c r="F776" s="64"/>
      <c r="G776" s="64"/>
      <c r="H776" s="64"/>
      <c r="I776" s="2"/>
      <c r="J776" s="2"/>
      <c r="K776" s="2"/>
      <c r="L776" s="2"/>
      <c r="M776" s="2"/>
      <c r="N776" s="2"/>
      <c r="O776" s="2"/>
      <c r="P776" s="66"/>
      <c r="Q776" s="66"/>
      <c r="R776" s="2"/>
      <c r="S776" s="2"/>
      <c r="T776" s="2"/>
    </row>
    <row r="777" spans="1:20">
      <c r="A777" s="3"/>
      <c r="B777" s="3"/>
      <c r="C777" s="2"/>
      <c r="D777" s="2"/>
      <c r="E777" s="64"/>
      <c r="F777" s="64"/>
      <c r="G777" s="64"/>
      <c r="H777" s="64"/>
      <c r="I777" s="2"/>
      <c r="J777" s="2"/>
      <c r="K777" s="2"/>
      <c r="L777" s="2"/>
      <c r="M777" s="2"/>
      <c r="N777" s="2"/>
      <c r="O777" s="2"/>
      <c r="P777" s="66"/>
      <c r="Q777" s="66"/>
      <c r="R777" s="2"/>
      <c r="S777" s="2"/>
      <c r="T777" s="2"/>
    </row>
    <row r="778" spans="1:20">
      <c r="A778" s="3"/>
      <c r="B778" s="3"/>
      <c r="C778" s="2"/>
      <c r="D778" s="2"/>
      <c r="E778" s="64"/>
      <c r="F778" s="64"/>
      <c r="G778" s="64"/>
      <c r="H778" s="64"/>
      <c r="I778" s="2"/>
      <c r="J778" s="2"/>
      <c r="K778" s="2"/>
      <c r="L778" s="2"/>
      <c r="M778" s="2"/>
      <c r="N778" s="2"/>
      <c r="O778" s="2"/>
      <c r="P778" s="66"/>
      <c r="Q778" s="66"/>
      <c r="R778" s="2"/>
      <c r="S778" s="2"/>
      <c r="T778" s="2"/>
    </row>
    <row r="779" spans="1:20">
      <c r="A779" s="3"/>
      <c r="B779" s="3"/>
      <c r="C779" s="2"/>
      <c r="D779" s="2"/>
      <c r="E779" s="64"/>
      <c r="F779" s="64"/>
      <c r="G779" s="64"/>
      <c r="H779" s="64"/>
      <c r="I779" s="2"/>
      <c r="J779" s="2"/>
      <c r="K779" s="2"/>
      <c r="L779" s="2"/>
      <c r="M779" s="2"/>
      <c r="N779" s="2"/>
      <c r="O779" s="2"/>
      <c r="P779" s="66"/>
      <c r="Q779" s="66"/>
      <c r="R779" s="2"/>
      <c r="S779" s="2"/>
      <c r="T779" s="2"/>
    </row>
    <row r="780" spans="1:20">
      <c r="A780" s="3"/>
      <c r="B780" s="3"/>
      <c r="C780" s="2"/>
      <c r="D780" s="2"/>
      <c r="E780" s="64"/>
      <c r="F780" s="64"/>
      <c r="G780" s="64"/>
      <c r="H780" s="64"/>
      <c r="I780" s="2"/>
      <c r="J780" s="2"/>
      <c r="K780" s="2"/>
      <c r="L780" s="2"/>
      <c r="M780" s="2"/>
      <c r="N780" s="2"/>
      <c r="O780" s="2"/>
      <c r="P780" s="66"/>
      <c r="Q780" s="66"/>
      <c r="R780" s="2"/>
      <c r="S780" s="2"/>
      <c r="T780" s="2"/>
    </row>
    <row r="781" spans="1:20">
      <c r="A781" s="3"/>
      <c r="B781" s="3"/>
      <c r="C781" s="2"/>
      <c r="D781" s="2"/>
      <c r="E781" s="64"/>
      <c r="F781" s="64"/>
      <c r="G781" s="64"/>
      <c r="H781" s="64"/>
      <c r="I781" s="2"/>
      <c r="J781" s="2"/>
      <c r="K781" s="2"/>
      <c r="L781" s="2"/>
      <c r="M781" s="2"/>
      <c r="N781" s="2"/>
      <c r="O781" s="2"/>
      <c r="P781" s="66"/>
      <c r="Q781" s="66"/>
      <c r="R781" s="2"/>
      <c r="S781" s="2"/>
      <c r="T781" s="2"/>
    </row>
    <row r="782" spans="1:20">
      <c r="A782" s="3"/>
      <c r="B782" s="3"/>
      <c r="C782" s="2"/>
      <c r="D782" s="2"/>
      <c r="E782" s="64"/>
      <c r="F782" s="64"/>
      <c r="G782" s="64"/>
      <c r="H782" s="64"/>
      <c r="I782" s="2"/>
      <c r="J782" s="2"/>
      <c r="K782" s="2"/>
      <c r="L782" s="2"/>
      <c r="M782" s="2"/>
      <c r="N782" s="2"/>
      <c r="O782" s="2"/>
      <c r="P782" s="66"/>
      <c r="Q782" s="66"/>
      <c r="R782" s="2"/>
      <c r="S782" s="2"/>
      <c r="T782" s="2"/>
    </row>
    <row r="783" spans="1:20">
      <c r="A783" s="3"/>
      <c r="B783" s="3"/>
      <c r="C783" s="2"/>
      <c r="D783" s="2"/>
      <c r="E783" s="64"/>
      <c r="F783" s="64"/>
      <c r="G783" s="64"/>
      <c r="H783" s="64"/>
      <c r="I783" s="2"/>
      <c r="J783" s="2"/>
      <c r="K783" s="2"/>
      <c r="L783" s="2"/>
      <c r="M783" s="2"/>
      <c r="N783" s="2"/>
      <c r="O783" s="2"/>
      <c r="P783" s="66"/>
      <c r="Q783" s="66"/>
      <c r="R783" s="2"/>
      <c r="S783" s="2"/>
      <c r="T783" s="2"/>
    </row>
    <row r="784" spans="1:20">
      <c r="A784" s="3"/>
      <c r="B784" s="3"/>
      <c r="C784" s="2"/>
      <c r="D784" s="2"/>
      <c r="E784" s="64"/>
      <c r="F784" s="64"/>
      <c r="G784" s="64"/>
      <c r="H784" s="64"/>
      <c r="I784" s="2"/>
      <c r="J784" s="2"/>
      <c r="K784" s="2"/>
      <c r="L784" s="2"/>
      <c r="M784" s="2"/>
      <c r="N784" s="2"/>
      <c r="O784" s="2"/>
      <c r="P784" s="66"/>
      <c r="Q784" s="66"/>
      <c r="R784" s="2"/>
      <c r="S784" s="2"/>
      <c r="T784" s="2"/>
    </row>
    <row r="785" spans="1:20">
      <c r="A785" s="3"/>
      <c r="B785" s="3"/>
      <c r="C785" s="2"/>
      <c r="D785" s="2"/>
      <c r="E785" s="64"/>
      <c r="F785" s="64"/>
      <c r="G785" s="64"/>
      <c r="H785" s="64"/>
      <c r="I785" s="2"/>
      <c r="J785" s="2"/>
      <c r="K785" s="2"/>
      <c r="L785" s="2"/>
      <c r="M785" s="2"/>
      <c r="N785" s="2"/>
      <c r="O785" s="2"/>
      <c r="P785" s="66"/>
      <c r="Q785" s="66"/>
      <c r="R785" s="2"/>
      <c r="S785" s="2"/>
      <c r="T785" s="2"/>
    </row>
    <row r="786" spans="1:20">
      <c r="A786" s="3"/>
      <c r="B786" s="3"/>
      <c r="C786" s="2"/>
      <c r="D786" s="2"/>
      <c r="E786" s="64"/>
      <c r="F786" s="64"/>
      <c r="G786" s="64"/>
      <c r="H786" s="64"/>
      <c r="I786" s="2"/>
      <c r="J786" s="2"/>
      <c r="K786" s="2"/>
      <c r="L786" s="2"/>
      <c r="M786" s="2"/>
      <c r="N786" s="2"/>
      <c r="O786" s="2"/>
      <c r="P786" s="66"/>
      <c r="Q786" s="66"/>
      <c r="R786" s="2"/>
      <c r="S786" s="2"/>
      <c r="T786" s="2"/>
    </row>
    <row r="787" spans="1:20">
      <c r="A787" s="3"/>
      <c r="B787" s="3"/>
      <c r="C787" s="2"/>
      <c r="D787" s="2"/>
      <c r="E787" s="64"/>
      <c r="F787" s="64"/>
      <c r="G787" s="64"/>
      <c r="H787" s="64"/>
      <c r="I787" s="2"/>
      <c r="J787" s="2"/>
      <c r="K787" s="2"/>
      <c r="L787" s="2"/>
      <c r="M787" s="2"/>
      <c r="N787" s="2"/>
      <c r="O787" s="2"/>
      <c r="P787" s="66"/>
      <c r="Q787" s="66"/>
      <c r="R787" s="2"/>
      <c r="S787" s="2"/>
      <c r="T787" s="2"/>
    </row>
    <row r="788" spans="1:20">
      <c r="A788" s="3"/>
      <c r="B788" s="3"/>
      <c r="C788" s="2"/>
      <c r="D788" s="2"/>
      <c r="E788" s="64"/>
      <c r="F788" s="64"/>
      <c r="G788" s="64"/>
      <c r="H788" s="64"/>
      <c r="I788" s="2"/>
      <c r="J788" s="2"/>
      <c r="K788" s="2"/>
      <c r="L788" s="2"/>
      <c r="M788" s="2"/>
      <c r="N788" s="2"/>
      <c r="O788" s="2"/>
      <c r="P788" s="66"/>
      <c r="Q788" s="66"/>
      <c r="R788" s="2"/>
      <c r="S788" s="2"/>
      <c r="T788" s="2"/>
    </row>
    <row r="789" spans="1:20">
      <c r="A789" s="3"/>
      <c r="B789" s="3"/>
      <c r="C789" s="2"/>
      <c r="D789" s="2"/>
      <c r="E789" s="64"/>
      <c r="F789" s="64"/>
      <c r="G789" s="64"/>
      <c r="H789" s="64"/>
      <c r="I789" s="2"/>
      <c r="J789" s="2"/>
      <c r="K789" s="2"/>
      <c r="L789" s="2"/>
      <c r="M789" s="2"/>
      <c r="N789" s="2"/>
      <c r="O789" s="2"/>
      <c r="P789" s="66"/>
      <c r="Q789" s="66"/>
      <c r="R789" s="2"/>
      <c r="S789" s="2"/>
      <c r="T789" s="2"/>
    </row>
    <row r="790" spans="1:20">
      <c r="A790" s="3"/>
      <c r="B790" s="3"/>
      <c r="C790" s="2"/>
      <c r="D790" s="2"/>
      <c r="E790" s="64"/>
      <c r="F790" s="64"/>
      <c r="G790" s="64"/>
      <c r="H790" s="64"/>
      <c r="I790" s="2"/>
      <c r="J790" s="2"/>
      <c r="K790" s="2"/>
      <c r="L790" s="2"/>
      <c r="M790" s="2"/>
      <c r="N790" s="2"/>
      <c r="O790" s="2"/>
      <c r="P790" s="66"/>
      <c r="Q790" s="66"/>
      <c r="R790" s="2"/>
      <c r="S790" s="2"/>
      <c r="T790" s="2"/>
    </row>
    <row r="791" spans="1:20">
      <c r="A791" s="3"/>
      <c r="B791" s="3"/>
      <c r="C791" s="2"/>
      <c r="D791" s="2"/>
      <c r="E791" s="64"/>
      <c r="F791" s="64"/>
      <c r="G791" s="64"/>
      <c r="H791" s="64"/>
      <c r="I791" s="2"/>
      <c r="J791" s="2"/>
      <c r="K791" s="2"/>
      <c r="L791" s="2"/>
      <c r="M791" s="2"/>
      <c r="N791" s="2"/>
      <c r="O791" s="2"/>
      <c r="P791" s="66"/>
      <c r="Q791" s="66"/>
      <c r="R791" s="2"/>
      <c r="S791" s="2"/>
      <c r="T791" s="2"/>
    </row>
    <row r="792" spans="1:20">
      <c r="A792" s="3"/>
      <c r="B792" s="3"/>
      <c r="C792" s="2"/>
      <c r="D792" s="2"/>
      <c r="E792" s="64"/>
      <c r="F792" s="64"/>
      <c r="G792" s="64"/>
      <c r="H792" s="64"/>
      <c r="I792" s="2"/>
      <c r="J792" s="2"/>
      <c r="K792" s="2"/>
      <c r="L792" s="2"/>
      <c r="M792" s="2"/>
      <c r="N792" s="2"/>
      <c r="O792" s="2"/>
      <c r="P792" s="66"/>
      <c r="Q792" s="66"/>
      <c r="R792" s="2"/>
      <c r="S792" s="2"/>
      <c r="T792" s="2"/>
    </row>
    <row r="793" spans="1:20">
      <c r="A793" s="3"/>
      <c r="B793" s="3"/>
      <c r="C793" s="2"/>
      <c r="D793" s="2"/>
      <c r="E793" s="64"/>
      <c r="F793" s="64"/>
      <c r="G793" s="64"/>
      <c r="H793" s="64"/>
      <c r="I793" s="2"/>
      <c r="J793" s="2"/>
      <c r="K793" s="2"/>
      <c r="L793" s="2"/>
      <c r="M793" s="2"/>
      <c r="N793" s="2"/>
      <c r="O793" s="2"/>
      <c r="P793" s="66"/>
      <c r="Q793" s="66"/>
      <c r="R793" s="2"/>
      <c r="S793" s="2"/>
      <c r="T793" s="2"/>
    </row>
    <row r="794" spans="1:20">
      <c r="A794" s="3"/>
      <c r="B794" s="3"/>
      <c r="C794" s="2"/>
      <c r="D794" s="2"/>
      <c r="E794" s="64"/>
      <c r="F794" s="64"/>
      <c r="G794" s="64"/>
      <c r="H794" s="64"/>
      <c r="I794" s="2"/>
      <c r="J794" s="2"/>
      <c r="K794" s="2"/>
      <c r="L794" s="2"/>
      <c r="M794" s="2"/>
      <c r="N794" s="2"/>
      <c r="O794" s="2"/>
      <c r="P794" s="66"/>
      <c r="Q794" s="66"/>
      <c r="R794" s="2"/>
      <c r="S794" s="2"/>
      <c r="T794" s="2"/>
    </row>
    <row r="795" spans="1:20">
      <c r="A795" s="3"/>
      <c r="B795" s="3"/>
      <c r="C795" s="2"/>
      <c r="D795" s="2"/>
      <c r="E795" s="64"/>
      <c r="F795" s="64"/>
      <c r="G795" s="64"/>
      <c r="H795" s="64"/>
      <c r="I795" s="2"/>
      <c r="J795" s="2"/>
      <c r="K795" s="2"/>
      <c r="L795" s="2"/>
      <c r="M795" s="2"/>
      <c r="N795" s="2"/>
      <c r="O795" s="2"/>
      <c r="P795" s="66"/>
      <c r="Q795" s="66"/>
      <c r="R795" s="2"/>
      <c r="S795" s="2"/>
      <c r="T795" s="2"/>
    </row>
    <row r="796" spans="1:20">
      <c r="A796" s="3"/>
      <c r="B796" s="3"/>
      <c r="C796" s="2"/>
      <c r="D796" s="2"/>
      <c r="E796" s="64"/>
      <c r="F796" s="64"/>
      <c r="G796" s="64"/>
      <c r="H796" s="64"/>
      <c r="I796" s="2"/>
      <c r="J796" s="2"/>
      <c r="K796" s="2"/>
      <c r="L796" s="2"/>
      <c r="M796" s="2"/>
      <c r="N796" s="2"/>
      <c r="O796" s="2"/>
      <c r="P796" s="66"/>
      <c r="Q796" s="66"/>
      <c r="R796" s="2"/>
      <c r="S796" s="2"/>
      <c r="T796" s="2"/>
    </row>
    <row r="797" spans="1:20">
      <c r="A797" s="3"/>
      <c r="B797" s="3"/>
      <c r="C797" s="2"/>
      <c r="D797" s="2"/>
      <c r="E797" s="64"/>
      <c r="F797" s="64"/>
      <c r="G797" s="64"/>
      <c r="H797" s="64"/>
      <c r="I797" s="2"/>
      <c r="J797" s="2"/>
      <c r="K797" s="2"/>
      <c r="L797" s="2"/>
      <c r="M797" s="2"/>
      <c r="N797" s="2"/>
      <c r="O797" s="2"/>
      <c r="P797" s="66"/>
      <c r="Q797" s="66"/>
      <c r="R797" s="2"/>
      <c r="S797" s="2"/>
      <c r="T797" s="2"/>
    </row>
    <row r="798" spans="1:20">
      <c r="A798" s="3"/>
      <c r="B798" s="3"/>
      <c r="C798" s="2"/>
      <c r="D798" s="2"/>
      <c r="E798" s="64"/>
      <c r="F798" s="64"/>
      <c r="G798" s="64"/>
      <c r="H798" s="64"/>
      <c r="I798" s="2"/>
      <c r="J798" s="2"/>
      <c r="K798" s="2"/>
      <c r="L798" s="2"/>
      <c r="M798" s="2"/>
      <c r="N798" s="2"/>
      <c r="O798" s="2"/>
      <c r="P798" s="66"/>
      <c r="Q798" s="66"/>
      <c r="R798" s="2"/>
      <c r="S798" s="2"/>
      <c r="T798" s="2"/>
    </row>
    <row r="799" spans="1:20">
      <c r="A799" s="3"/>
      <c r="B799" s="3"/>
      <c r="C799" s="2"/>
      <c r="D799" s="2"/>
      <c r="E799" s="64"/>
      <c r="F799" s="64"/>
      <c r="G799" s="64"/>
      <c r="H799" s="64"/>
      <c r="I799" s="2"/>
      <c r="J799" s="2"/>
      <c r="K799" s="2"/>
      <c r="L799" s="2"/>
      <c r="M799" s="2"/>
      <c r="N799" s="2"/>
      <c r="O799" s="2"/>
      <c r="P799" s="66"/>
      <c r="Q799" s="66"/>
      <c r="R799" s="2"/>
      <c r="S799" s="2"/>
      <c r="T799" s="2"/>
    </row>
    <row r="800" spans="1:20">
      <c r="A800" s="3"/>
      <c r="B800" s="3"/>
      <c r="C800" s="2"/>
      <c r="D800" s="2"/>
      <c r="E800" s="64"/>
      <c r="F800" s="64"/>
      <c r="G800" s="64"/>
      <c r="H800" s="64"/>
      <c r="I800" s="2"/>
      <c r="J800" s="2"/>
      <c r="K800" s="2"/>
      <c r="L800" s="2"/>
      <c r="M800" s="2"/>
      <c r="N800" s="2"/>
      <c r="O800" s="2"/>
      <c r="P800" s="66"/>
      <c r="Q800" s="66"/>
      <c r="R800" s="2"/>
      <c r="S800" s="2"/>
      <c r="T800" s="2"/>
    </row>
    <row r="801" spans="1:20">
      <c r="A801" s="3"/>
      <c r="B801" s="3"/>
      <c r="C801" s="2"/>
      <c r="D801" s="2"/>
      <c r="E801" s="64"/>
      <c r="F801" s="64"/>
      <c r="G801" s="64"/>
      <c r="H801" s="64"/>
      <c r="I801" s="2"/>
      <c r="J801" s="2"/>
      <c r="K801" s="2"/>
      <c r="L801" s="2"/>
      <c r="M801" s="2"/>
      <c r="N801" s="2"/>
      <c r="O801" s="2"/>
      <c r="P801" s="66"/>
      <c r="Q801" s="66"/>
      <c r="R801" s="2"/>
      <c r="S801" s="2"/>
      <c r="T801" s="2"/>
    </row>
    <row r="802" spans="1:20">
      <c r="A802" s="3"/>
      <c r="B802" s="3"/>
      <c r="C802" s="2"/>
      <c r="D802" s="2"/>
      <c r="E802" s="64"/>
      <c r="F802" s="64"/>
      <c r="G802" s="64"/>
      <c r="H802" s="64"/>
      <c r="I802" s="2"/>
      <c r="J802" s="2"/>
      <c r="K802" s="2"/>
      <c r="L802" s="2"/>
      <c r="M802" s="2"/>
      <c r="N802" s="2"/>
      <c r="O802" s="2"/>
      <c r="P802" s="66"/>
      <c r="Q802" s="66"/>
      <c r="R802" s="2"/>
      <c r="S802" s="2"/>
      <c r="T802" s="2"/>
    </row>
    <row r="803" spans="1:20">
      <c r="A803" s="3"/>
      <c r="B803" s="3"/>
      <c r="C803" s="2"/>
      <c r="D803" s="2"/>
      <c r="E803" s="64"/>
      <c r="F803" s="64"/>
      <c r="G803" s="64"/>
      <c r="H803" s="64"/>
      <c r="I803" s="2"/>
      <c r="J803" s="2"/>
      <c r="K803" s="2"/>
      <c r="L803" s="2"/>
      <c r="M803" s="2"/>
      <c r="N803" s="2"/>
      <c r="O803" s="2"/>
      <c r="P803" s="66"/>
      <c r="Q803" s="66"/>
      <c r="R803" s="2"/>
      <c r="S803" s="2"/>
      <c r="T803" s="2"/>
    </row>
    <row r="804" spans="1:20">
      <c r="A804" s="3"/>
      <c r="B804" s="3"/>
      <c r="C804" s="2"/>
      <c r="D804" s="2"/>
      <c r="E804" s="64"/>
      <c r="F804" s="64"/>
      <c r="G804" s="64"/>
      <c r="H804" s="64"/>
      <c r="I804" s="2"/>
      <c r="J804" s="2"/>
      <c r="K804" s="2"/>
      <c r="L804" s="2"/>
      <c r="M804" s="2"/>
      <c r="N804" s="2"/>
      <c r="O804" s="2"/>
      <c r="P804" s="66"/>
      <c r="Q804" s="66"/>
      <c r="R804" s="2"/>
      <c r="S804" s="2"/>
      <c r="T804" s="2"/>
    </row>
    <row r="805" spans="1:20">
      <c r="A805" s="3"/>
      <c r="B805" s="3"/>
      <c r="C805" s="2"/>
      <c r="D805" s="2"/>
      <c r="E805" s="64"/>
      <c r="F805" s="64"/>
      <c r="G805" s="64"/>
      <c r="H805" s="64"/>
      <c r="I805" s="2"/>
      <c r="J805" s="2"/>
      <c r="K805" s="2"/>
      <c r="L805" s="2"/>
      <c r="M805" s="2"/>
      <c r="N805" s="2"/>
      <c r="O805" s="2"/>
      <c r="P805" s="66"/>
      <c r="Q805" s="66"/>
      <c r="R805" s="2"/>
      <c r="S805" s="2"/>
      <c r="T805" s="2"/>
    </row>
    <row r="806" spans="1:20">
      <c r="A806" s="3"/>
      <c r="B806" s="3"/>
      <c r="C806" s="2"/>
      <c r="D806" s="2"/>
      <c r="E806" s="64"/>
      <c r="F806" s="64"/>
      <c r="G806" s="64"/>
      <c r="H806" s="64"/>
      <c r="I806" s="2"/>
      <c r="J806" s="2"/>
      <c r="K806" s="2"/>
      <c r="L806" s="2"/>
      <c r="M806" s="2"/>
      <c r="N806" s="2"/>
      <c r="O806" s="2"/>
      <c r="P806" s="66"/>
      <c r="Q806" s="66"/>
      <c r="R806" s="2"/>
      <c r="S806" s="2"/>
      <c r="T806" s="2"/>
    </row>
    <row r="807" spans="1:20">
      <c r="A807" s="3"/>
      <c r="B807" s="3"/>
      <c r="C807" s="2"/>
      <c r="D807" s="2"/>
      <c r="E807" s="64"/>
      <c r="F807" s="64"/>
      <c r="G807" s="64"/>
      <c r="H807" s="64"/>
      <c r="I807" s="2"/>
      <c r="J807" s="2"/>
      <c r="K807" s="2"/>
      <c r="L807" s="2"/>
      <c r="M807" s="2"/>
      <c r="N807" s="2"/>
      <c r="O807" s="2"/>
      <c r="P807" s="66"/>
      <c r="Q807" s="66"/>
      <c r="R807" s="2"/>
      <c r="S807" s="2"/>
      <c r="T807" s="2"/>
    </row>
    <row r="808" spans="1:20">
      <c r="A808" s="3"/>
      <c r="B808" s="3"/>
      <c r="C808" s="2"/>
      <c r="D808" s="2"/>
      <c r="E808" s="64"/>
      <c r="F808" s="64"/>
      <c r="G808" s="64"/>
      <c r="H808" s="64"/>
      <c r="I808" s="2"/>
      <c r="J808" s="2"/>
      <c r="K808" s="2"/>
      <c r="L808" s="2"/>
      <c r="M808" s="2"/>
      <c r="N808" s="2"/>
      <c r="O808" s="2"/>
      <c r="P808" s="66"/>
      <c r="Q808" s="66"/>
      <c r="R808" s="2"/>
      <c r="S808" s="2"/>
      <c r="T808" s="2"/>
    </row>
    <row r="809" spans="1:20">
      <c r="A809" s="3"/>
      <c r="B809" s="3"/>
      <c r="C809" s="2"/>
      <c r="D809" s="2"/>
      <c r="E809" s="64"/>
      <c r="F809" s="64"/>
      <c r="G809" s="64"/>
      <c r="H809" s="64"/>
      <c r="I809" s="2"/>
      <c r="J809" s="2"/>
      <c r="K809" s="2"/>
      <c r="L809" s="2"/>
      <c r="M809" s="2"/>
      <c r="N809" s="2"/>
      <c r="O809" s="2"/>
      <c r="P809" s="66"/>
      <c r="Q809" s="66"/>
      <c r="R809" s="2"/>
      <c r="S809" s="2"/>
      <c r="T809" s="2"/>
    </row>
    <row r="810" spans="1:20">
      <c r="A810" s="3"/>
      <c r="B810" s="3"/>
      <c r="C810" s="2"/>
      <c r="D810" s="2"/>
      <c r="E810" s="64"/>
      <c r="F810" s="64"/>
      <c r="G810" s="64"/>
      <c r="H810" s="64"/>
      <c r="I810" s="2"/>
      <c r="J810" s="2"/>
      <c r="K810" s="2"/>
      <c r="L810" s="2"/>
      <c r="M810" s="2"/>
      <c r="N810" s="2"/>
      <c r="O810" s="2"/>
      <c r="P810" s="66"/>
      <c r="Q810" s="66"/>
      <c r="R810" s="2"/>
      <c r="S810" s="2"/>
      <c r="T810" s="2"/>
    </row>
    <row r="811" spans="1:20">
      <c r="A811" s="3"/>
      <c r="B811" s="3"/>
      <c r="C811" s="2"/>
      <c r="D811" s="2"/>
      <c r="E811" s="64"/>
      <c r="F811" s="64"/>
      <c r="G811" s="64"/>
      <c r="H811" s="64"/>
      <c r="I811" s="2"/>
      <c r="J811" s="2"/>
      <c r="K811" s="2"/>
      <c r="L811" s="2"/>
      <c r="M811" s="2"/>
      <c r="N811" s="2"/>
      <c r="O811" s="2"/>
      <c r="P811" s="66"/>
      <c r="Q811" s="66"/>
      <c r="R811" s="2"/>
      <c r="S811" s="2"/>
      <c r="T811" s="2"/>
    </row>
    <row r="812" spans="1:20">
      <c r="A812" s="3"/>
      <c r="B812" s="3"/>
      <c r="C812" s="2"/>
      <c r="D812" s="2"/>
      <c r="E812" s="64"/>
      <c r="F812" s="64"/>
      <c r="G812" s="64"/>
      <c r="H812" s="64"/>
      <c r="I812" s="2"/>
      <c r="J812" s="2"/>
      <c r="K812" s="2"/>
      <c r="L812" s="2"/>
      <c r="M812" s="2"/>
      <c r="N812" s="2"/>
      <c r="O812" s="2"/>
      <c r="P812" s="66"/>
      <c r="Q812" s="66"/>
      <c r="R812" s="2"/>
      <c r="S812" s="2"/>
      <c r="T812" s="2"/>
    </row>
    <row r="813" spans="1:20">
      <c r="A813" s="3"/>
      <c r="B813" s="3"/>
      <c r="C813" s="2"/>
      <c r="D813" s="2"/>
      <c r="E813" s="64"/>
      <c r="F813" s="64"/>
      <c r="G813" s="64"/>
      <c r="H813" s="64"/>
      <c r="I813" s="2"/>
      <c r="J813" s="2"/>
      <c r="K813" s="2"/>
      <c r="L813" s="2"/>
      <c r="M813" s="2"/>
      <c r="N813" s="2"/>
      <c r="O813" s="2"/>
      <c r="P813" s="66"/>
      <c r="Q813" s="66"/>
      <c r="R813" s="2"/>
      <c r="S813" s="2"/>
      <c r="T813" s="2"/>
    </row>
    <row r="814" spans="1:20">
      <c r="A814" s="3"/>
      <c r="B814" s="3"/>
      <c r="C814" s="2"/>
      <c r="D814" s="2"/>
      <c r="E814" s="64"/>
      <c r="F814" s="64"/>
      <c r="G814" s="64"/>
      <c r="H814" s="64"/>
      <c r="I814" s="2"/>
      <c r="J814" s="2"/>
      <c r="K814" s="2"/>
      <c r="L814" s="2"/>
      <c r="M814" s="2"/>
      <c r="N814" s="2"/>
      <c r="O814" s="2"/>
      <c r="P814" s="66"/>
      <c r="Q814" s="66"/>
      <c r="R814" s="2"/>
      <c r="S814" s="2"/>
      <c r="T814" s="2"/>
    </row>
    <row r="815" spans="1:20">
      <c r="A815" s="3"/>
      <c r="B815" s="3"/>
      <c r="C815" s="2"/>
      <c r="D815" s="2"/>
      <c r="E815" s="64"/>
      <c r="F815" s="64"/>
      <c r="G815" s="64"/>
      <c r="H815" s="64"/>
      <c r="I815" s="2"/>
      <c r="J815" s="2"/>
      <c r="K815" s="2"/>
      <c r="L815" s="2"/>
      <c r="M815" s="2"/>
      <c r="N815" s="2"/>
      <c r="O815" s="2"/>
      <c r="P815" s="66"/>
      <c r="Q815" s="66"/>
      <c r="R815" s="2"/>
      <c r="S815" s="2"/>
      <c r="T815" s="2"/>
    </row>
    <row r="816" spans="1:20">
      <c r="A816" s="3"/>
      <c r="B816" s="3"/>
      <c r="C816" s="2"/>
      <c r="D816" s="2"/>
      <c r="E816" s="64"/>
      <c r="F816" s="64"/>
      <c r="G816" s="64"/>
      <c r="H816" s="64"/>
      <c r="I816" s="2"/>
      <c r="J816" s="2"/>
      <c r="K816" s="2"/>
      <c r="L816" s="2"/>
      <c r="M816" s="2"/>
      <c r="N816" s="2"/>
      <c r="O816" s="2"/>
      <c r="P816" s="66"/>
      <c r="Q816" s="66"/>
      <c r="R816" s="2"/>
      <c r="S816" s="2"/>
      <c r="T816" s="2"/>
    </row>
    <row r="817" spans="1:20">
      <c r="A817" s="3"/>
      <c r="B817" s="3"/>
      <c r="C817" s="2"/>
      <c r="D817" s="2"/>
      <c r="E817" s="64"/>
      <c r="F817" s="64"/>
      <c r="G817" s="64"/>
      <c r="H817" s="64"/>
      <c r="I817" s="2"/>
      <c r="J817" s="2"/>
      <c r="K817" s="2"/>
      <c r="L817" s="2"/>
      <c r="M817" s="2"/>
      <c r="N817" s="2"/>
      <c r="O817" s="2"/>
      <c r="P817" s="66"/>
      <c r="Q817" s="66"/>
      <c r="R817" s="2"/>
      <c r="S817" s="2"/>
      <c r="T817" s="2"/>
    </row>
    <row r="818" spans="1:20">
      <c r="A818" s="3"/>
      <c r="B818" s="3"/>
      <c r="C818" s="2"/>
      <c r="D818" s="2"/>
      <c r="E818" s="64"/>
      <c r="F818" s="64"/>
      <c r="G818" s="64"/>
      <c r="H818" s="64"/>
      <c r="I818" s="2"/>
      <c r="J818" s="2"/>
      <c r="K818" s="2"/>
      <c r="L818" s="2"/>
      <c r="M818" s="2"/>
      <c r="N818" s="2"/>
      <c r="O818" s="2"/>
      <c r="P818" s="66"/>
      <c r="Q818" s="66"/>
      <c r="R818" s="2"/>
      <c r="S818" s="2"/>
      <c r="T818" s="2"/>
    </row>
    <row r="819" spans="1:20">
      <c r="A819" s="3"/>
      <c r="B819" s="3"/>
      <c r="C819" s="2"/>
      <c r="D819" s="2"/>
      <c r="E819" s="64"/>
      <c r="F819" s="64"/>
      <c r="G819" s="64"/>
      <c r="H819" s="64"/>
      <c r="I819" s="2"/>
      <c r="J819" s="2"/>
      <c r="K819" s="2"/>
      <c r="L819" s="2"/>
      <c r="M819" s="2"/>
      <c r="N819" s="2"/>
      <c r="O819" s="2"/>
      <c r="P819" s="66"/>
      <c r="Q819" s="66"/>
      <c r="R819" s="2"/>
      <c r="S819" s="2"/>
      <c r="T819" s="2"/>
    </row>
    <row r="820" spans="1:20">
      <c r="A820" s="3"/>
      <c r="B820" s="3"/>
      <c r="C820" s="2"/>
      <c r="D820" s="2"/>
      <c r="E820" s="64"/>
      <c r="F820" s="64"/>
      <c r="G820" s="64"/>
      <c r="H820" s="64"/>
      <c r="I820" s="2"/>
      <c r="J820" s="2"/>
      <c r="K820" s="2"/>
      <c r="L820" s="2"/>
      <c r="M820" s="2"/>
      <c r="N820" s="2"/>
      <c r="O820" s="2"/>
      <c r="P820" s="66"/>
      <c r="Q820" s="66"/>
      <c r="R820" s="2"/>
      <c r="S820" s="2"/>
      <c r="T820" s="2"/>
    </row>
    <row r="821" spans="1:20">
      <c r="A821" s="3"/>
      <c r="B821" s="3"/>
      <c r="C821" s="2"/>
      <c r="D821" s="2"/>
      <c r="E821" s="64"/>
      <c r="F821" s="64"/>
      <c r="G821" s="64"/>
      <c r="H821" s="64"/>
      <c r="I821" s="2"/>
      <c r="J821" s="2"/>
      <c r="K821" s="2"/>
      <c r="L821" s="2"/>
      <c r="M821" s="2"/>
      <c r="N821" s="2"/>
      <c r="O821" s="2"/>
      <c r="P821" s="66"/>
      <c r="Q821" s="66"/>
      <c r="R821" s="2"/>
      <c r="S821" s="2"/>
      <c r="T821" s="2"/>
    </row>
    <row r="822" spans="1:20">
      <c r="A822" s="3"/>
      <c r="B822" s="3"/>
      <c r="C822" s="2"/>
      <c r="D822" s="2"/>
      <c r="E822" s="64"/>
      <c r="F822" s="64"/>
      <c r="G822" s="64"/>
      <c r="H822" s="64"/>
      <c r="I822" s="2"/>
      <c r="J822" s="2"/>
      <c r="K822" s="2"/>
      <c r="L822" s="2"/>
      <c r="M822" s="2"/>
      <c r="N822" s="2"/>
      <c r="O822" s="2"/>
      <c r="P822" s="66"/>
      <c r="Q822" s="66"/>
      <c r="R822" s="2"/>
      <c r="S822" s="2"/>
      <c r="T822" s="2"/>
    </row>
    <row r="823" spans="1:20">
      <c r="A823" s="3"/>
      <c r="B823" s="3"/>
      <c r="C823" s="2"/>
      <c r="D823" s="2"/>
      <c r="E823" s="64"/>
      <c r="F823" s="64"/>
      <c r="G823" s="64"/>
      <c r="H823" s="64"/>
      <c r="I823" s="2"/>
      <c r="J823" s="2"/>
      <c r="K823" s="2"/>
      <c r="L823" s="2"/>
      <c r="M823" s="2"/>
      <c r="N823" s="2"/>
      <c r="O823" s="2"/>
      <c r="P823" s="66"/>
      <c r="Q823" s="66"/>
      <c r="R823" s="2"/>
      <c r="S823" s="2"/>
      <c r="T823" s="2"/>
    </row>
    <row r="824" spans="1:20">
      <c r="A824" s="3"/>
      <c r="B824" s="3"/>
      <c r="C824" s="2"/>
      <c r="D824" s="2"/>
      <c r="E824" s="64"/>
      <c r="F824" s="64"/>
      <c r="G824" s="64"/>
      <c r="H824" s="64"/>
      <c r="I824" s="2"/>
      <c r="J824" s="2"/>
      <c r="K824" s="2"/>
      <c r="L824" s="2"/>
      <c r="M824" s="2"/>
      <c r="N824" s="2"/>
      <c r="O824" s="2"/>
      <c r="P824" s="66"/>
      <c r="Q824" s="66"/>
      <c r="R824" s="2"/>
      <c r="S824" s="2"/>
      <c r="T824" s="2"/>
    </row>
    <row r="825" spans="1:20">
      <c r="A825" s="3"/>
      <c r="B825" s="3"/>
      <c r="C825" s="2"/>
      <c r="D825" s="2"/>
      <c r="E825" s="64"/>
      <c r="F825" s="64"/>
      <c r="G825" s="64"/>
      <c r="H825" s="64"/>
      <c r="I825" s="2"/>
      <c r="J825" s="2"/>
      <c r="K825" s="2"/>
      <c r="L825" s="2"/>
      <c r="M825" s="2"/>
      <c r="N825" s="2"/>
      <c r="O825" s="2"/>
      <c r="P825" s="66"/>
      <c r="Q825" s="66"/>
      <c r="R825" s="2"/>
      <c r="S825" s="2"/>
      <c r="T825" s="2"/>
    </row>
    <row r="826" spans="1:20">
      <c r="A826" s="3"/>
      <c r="B826" s="3"/>
      <c r="C826" s="2"/>
      <c r="D826" s="2"/>
      <c r="E826" s="64"/>
      <c r="F826" s="64"/>
      <c r="G826" s="64"/>
      <c r="H826" s="64"/>
      <c r="I826" s="2"/>
      <c r="J826" s="2"/>
      <c r="K826" s="2"/>
      <c r="L826" s="2"/>
      <c r="M826" s="2"/>
      <c r="N826" s="2"/>
      <c r="O826" s="2"/>
      <c r="P826" s="66"/>
      <c r="Q826" s="66"/>
      <c r="R826" s="2"/>
      <c r="S826" s="2"/>
      <c r="T826" s="2"/>
    </row>
    <row r="827" spans="1:20">
      <c r="A827" s="3"/>
      <c r="B827" s="3"/>
      <c r="C827" s="2"/>
      <c r="D827" s="2"/>
      <c r="E827" s="64"/>
      <c r="F827" s="64"/>
      <c r="G827" s="64"/>
      <c r="H827" s="64"/>
      <c r="I827" s="2"/>
      <c r="J827" s="2"/>
      <c r="K827" s="2"/>
      <c r="L827" s="2"/>
      <c r="M827" s="2"/>
      <c r="N827" s="2"/>
      <c r="O827" s="2"/>
      <c r="P827" s="66"/>
      <c r="Q827" s="66"/>
      <c r="R827" s="2"/>
      <c r="S827" s="2"/>
      <c r="T827" s="2"/>
    </row>
    <row r="828" spans="1:20">
      <c r="A828" s="3"/>
      <c r="B828" s="3"/>
      <c r="C828" s="2"/>
      <c r="D828" s="2"/>
      <c r="E828" s="64"/>
      <c r="F828" s="64"/>
      <c r="G828" s="64"/>
      <c r="H828" s="64"/>
      <c r="I828" s="2"/>
      <c r="J828" s="2"/>
      <c r="K828" s="2"/>
      <c r="L828" s="2"/>
      <c r="M828" s="2"/>
      <c r="N828" s="2"/>
      <c r="O828" s="2"/>
      <c r="P828" s="66"/>
      <c r="Q828" s="66"/>
      <c r="R828" s="2"/>
      <c r="S828" s="2"/>
      <c r="T828" s="2"/>
    </row>
    <row r="829" spans="1:20">
      <c r="A829" s="3"/>
      <c r="B829" s="3"/>
      <c r="C829" s="2"/>
      <c r="D829" s="2"/>
      <c r="E829" s="64"/>
      <c r="F829" s="64"/>
      <c r="G829" s="64"/>
      <c r="H829" s="64"/>
      <c r="I829" s="2"/>
      <c r="J829" s="2"/>
      <c r="K829" s="2"/>
      <c r="L829" s="2"/>
      <c r="M829" s="2"/>
      <c r="N829" s="2"/>
      <c r="O829" s="2"/>
      <c r="P829" s="66"/>
      <c r="Q829" s="66"/>
      <c r="R829" s="2"/>
      <c r="S829" s="2"/>
      <c r="T829" s="2"/>
    </row>
    <row r="830" spans="1:20">
      <c r="A830" s="3"/>
      <c r="B830" s="3"/>
      <c r="C830" s="2"/>
      <c r="D830" s="2"/>
      <c r="E830" s="64"/>
      <c r="F830" s="64"/>
      <c r="G830" s="64"/>
      <c r="H830" s="64"/>
      <c r="I830" s="2"/>
      <c r="J830" s="2"/>
      <c r="K830" s="2"/>
      <c r="L830" s="2"/>
      <c r="M830" s="2"/>
      <c r="N830" s="2"/>
      <c r="O830" s="2"/>
      <c r="P830" s="66"/>
      <c r="Q830" s="66"/>
      <c r="R830" s="2"/>
      <c r="S830" s="2"/>
      <c r="T830" s="2"/>
    </row>
    <row r="831" spans="1:20">
      <c r="A831" s="3"/>
      <c r="B831" s="3"/>
      <c r="C831" s="2"/>
      <c r="D831" s="2"/>
      <c r="E831" s="64"/>
      <c r="F831" s="64"/>
      <c r="G831" s="64"/>
      <c r="H831" s="64"/>
      <c r="I831" s="2"/>
      <c r="J831" s="2"/>
      <c r="K831" s="2"/>
      <c r="L831" s="2"/>
      <c r="M831" s="2"/>
      <c r="N831" s="2"/>
      <c r="O831" s="2"/>
      <c r="P831" s="66"/>
      <c r="Q831" s="66"/>
      <c r="R831" s="2"/>
      <c r="S831" s="2"/>
      <c r="T831" s="2"/>
    </row>
    <row r="832" spans="1:20">
      <c r="A832" s="3"/>
      <c r="B832" s="3"/>
      <c r="C832" s="2"/>
      <c r="D832" s="2"/>
      <c r="E832" s="64"/>
      <c r="F832" s="64"/>
      <c r="G832" s="64"/>
      <c r="H832" s="64"/>
      <c r="I832" s="2"/>
      <c r="J832" s="2"/>
      <c r="K832" s="2"/>
      <c r="L832" s="2"/>
      <c r="M832" s="2"/>
      <c r="N832" s="2"/>
      <c r="O832" s="2"/>
      <c r="P832" s="66"/>
      <c r="Q832" s="66"/>
      <c r="R832" s="2"/>
      <c r="S832" s="2"/>
      <c r="T832" s="2"/>
    </row>
    <row r="833" spans="1:20">
      <c r="A833" s="3"/>
      <c r="B833" s="3"/>
      <c r="C833" s="2"/>
      <c r="D833" s="2"/>
      <c r="E833" s="64"/>
      <c r="F833" s="64"/>
      <c r="G833" s="64"/>
      <c r="H833" s="64"/>
      <c r="I833" s="2"/>
      <c r="J833" s="2"/>
      <c r="K833" s="2"/>
      <c r="L833" s="2"/>
      <c r="M833" s="2"/>
      <c r="N833" s="2"/>
      <c r="O833" s="2"/>
      <c r="P833" s="66"/>
      <c r="Q833" s="66"/>
      <c r="R833" s="2"/>
      <c r="S833" s="2"/>
      <c r="T833" s="2"/>
    </row>
    <row r="834" spans="1:20">
      <c r="A834" s="3"/>
      <c r="B834" s="3"/>
      <c r="C834" s="2"/>
      <c r="D834" s="2"/>
      <c r="E834" s="64"/>
      <c r="F834" s="64"/>
      <c r="G834" s="64"/>
      <c r="H834" s="64"/>
      <c r="I834" s="2"/>
      <c r="J834" s="2"/>
      <c r="K834" s="2"/>
      <c r="L834" s="2"/>
      <c r="M834" s="2"/>
      <c r="N834" s="2"/>
      <c r="O834" s="2"/>
      <c r="P834" s="66"/>
      <c r="Q834" s="66"/>
      <c r="R834" s="2"/>
      <c r="S834" s="2"/>
      <c r="T834" s="2"/>
    </row>
    <row r="835" spans="1:20">
      <c r="A835" s="3"/>
      <c r="B835" s="3"/>
      <c r="C835" s="2"/>
      <c r="D835" s="2"/>
      <c r="E835" s="64"/>
      <c r="F835" s="64"/>
      <c r="G835" s="64"/>
      <c r="H835" s="64"/>
      <c r="I835" s="2"/>
      <c r="J835" s="2"/>
      <c r="K835" s="2"/>
      <c r="L835" s="2"/>
      <c r="M835" s="2"/>
      <c r="N835" s="2"/>
      <c r="O835" s="2"/>
      <c r="P835" s="66"/>
      <c r="Q835" s="66"/>
      <c r="R835" s="2"/>
      <c r="S835" s="2"/>
      <c r="T835" s="2"/>
    </row>
    <row r="836" spans="1:20">
      <c r="A836" s="3"/>
      <c r="B836" s="3"/>
      <c r="C836" s="2"/>
      <c r="D836" s="2"/>
      <c r="E836" s="64"/>
      <c r="F836" s="64"/>
      <c r="G836" s="64"/>
      <c r="H836" s="64"/>
      <c r="I836" s="2"/>
      <c r="J836" s="2"/>
      <c r="K836" s="2"/>
      <c r="L836" s="2"/>
      <c r="M836" s="2"/>
      <c r="N836" s="2"/>
      <c r="O836" s="2"/>
      <c r="P836" s="66"/>
      <c r="Q836" s="66"/>
      <c r="R836" s="2"/>
      <c r="S836" s="2"/>
      <c r="T836" s="2"/>
    </row>
    <row r="837" spans="1:20">
      <c r="A837" s="3"/>
      <c r="B837" s="3"/>
      <c r="C837" s="2"/>
      <c r="D837" s="2"/>
      <c r="E837" s="64"/>
      <c r="F837" s="64"/>
      <c r="G837" s="64"/>
      <c r="H837" s="64"/>
      <c r="I837" s="2"/>
      <c r="J837" s="2"/>
      <c r="K837" s="2"/>
      <c r="L837" s="2"/>
      <c r="M837" s="2"/>
      <c r="N837" s="2"/>
      <c r="O837" s="2"/>
      <c r="P837" s="66"/>
      <c r="Q837" s="66"/>
      <c r="R837" s="2"/>
      <c r="S837" s="2"/>
      <c r="T837" s="2"/>
    </row>
    <row r="838" spans="1:20">
      <c r="A838" s="3"/>
      <c r="B838" s="3"/>
      <c r="C838" s="2"/>
      <c r="D838" s="2"/>
      <c r="E838" s="64"/>
      <c r="F838" s="64"/>
      <c r="G838" s="64"/>
      <c r="H838" s="64"/>
      <c r="I838" s="2"/>
      <c r="J838" s="2"/>
      <c r="K838" s="2"/>
      <c r="L838" s="2"/>
      <c r="M838" s="2"/>
      <c r="N838" s="2"/>
      <c r="O838" s="2"/>
      <c r="P838" s="66"/>
      <c r="Q838" s="66"/>
      <c r="R838" s="2"/>
      <c r="S838" s="2"/>
      <c r="T838" s="2"/>
    </row>
    <row r="839" spans="1:20">
      <c r="A839" s="3"/>
      <c r="B839" s="3"/>
      <c r="C839" s="2"/>
      <c r="D839" s="2"/>
      <c r="E839" s="64"/>
      <c r="F839" s="64"/>
      <c r="G839" s="64"/>
      <c r="H839" s="64"/>
      <c r="I839" s="2"/>
      <c r="J839" s="2"/>
      <c r="K839" s="2"/>
      <c r="L839" s="2"/>
      <c r="M839" s="2"/>
      <c r="N839" s="2"/>
      <c r="O839" s="2"/>
      <c r="P839" s="66"/>
      <c r="Q839" s="66"/>
      <c r="R839" s="2"/>
      <c r="S839" s="2"/>
      <c r="T839" s="2"/>
    </row>
    <row r="840" spans="1:20">
      <c r="A840" s="3"/>
      <c r="B840" s="3"/>
      <c r="C840" s="2"/>
      <c r="D840" s="2"/>
      <c r="E840" s="64"/>
      <c r="F840" s="64"/>
      <c r="G840" s="64"/>
      <c r="H840" s="64"/>
      <c r="I840" s="2"/>
      <c r="J840" s="2"/>
      <c r="K840" s="2"/>
      <c r="L840" s="2"/>
      <c r="M840" s="2"/>
      <c r="N840" s="2"/>
      <c r="O840" s="2"/>
      <c r="P840" s="66"/>
      <c r="Q840" s="66"/>
      <c r="R840" s="2"/>
      <c r="S840" s="2"/>
      <c r="T840" s="2"/>
    </row>
    <row r="841" spans="1:20">
      <c r="A841" s="3"/>
      <c r="B841" s="3"/>
      <c r="C841" s="2"/>
      <c r="D841" s="2"/>
      <c r="E841" s="64"/>
      <c r="F841" s="64"/>
      <c r="G841" s="64"/>
      <c r="H841" s="64"/>
      <c r="I841" s="2"/>
      <c r="J841" s="2"/>
      <c r="K841" s="2"/>
      <c r="L841" s="2"/>
      <c r="M841" s="2"/>
      <c r="N841" s="2"/>
      <c r="O841" s="2"/>
      <c r="P841" s="66"/>
      <c r="Q841" s="66"/>
      <c r="R841" s="2"/>
      <c r="S841" s="2"/>
      <c r="T841" s="2"/>
    </row>
    <row r="842" spans="1:20">
      <c r="A842" s="3"/>
      <c r="B842" s="3"/>
      <c r="C842" s="2"/>
      <c r="D842" s="2"/>
      <c r="E842" s="64"/>
      <c r="F842" s="64"/>
      <c r="G842" s="64"/>
      <c r="H842" s="64"/>
      <c r="I842" s="2"/>
      <c r="J842" s="2"/>
      <c r="K842" s="2"/>
      <c r="L842" s="2"/>
      <c r="M842" s="2"/>
      <c r="N842" s="2"/>
      <c r="O842" s="2"/>
      <c r="P842" s="66"/>
      <c r="Q842" s="66"/>
      <c r="R842" s="2"/>
      <c r="S842" s="2"/>
      <c r="T842" s="2"/>
    </row>
    <row r="843" spans="1:20">
      <c r="A843" s="3"/>
      <c r="B843" s="3"/>
      <c r="C843" s="2"/>
      <c r="D843" s="2"/>
      <c r="E843" s="64"/>
      <c r="F843" s="64"/>
      <c r="G843" s="64"/>
      <c r="H843" s="64"/>
      <c r="I843" s="2"/>
      <c r="J843" s="2"/>
      <c r="K843" s="2"/>
      <c r="L843" s="2"/>
      <c r="M843" s="2"/>
      <c r="N843" s="2"/>
      <c r="O843" s="2"/>
      <c r="P843" s="66"/>
      <c r="Q843" s="66"/>
      <c r="R843" s="2"/>
      <c r="S843" s="2"/>
      <c r="T843" s="2"/>
    </row>
    <row r="844" spans="1:20">
      <c r="A844" s="3"/>
      <c r="B844" s="3"/>
      <c r="C844" s="2"/>
      <c r="D844" s="2"/>
      <c r="E844" s="64"/>
      <c r="F844" s="64"/>
      <c r="G844" s="64"/>
      <c r="H844" s="64"/>
      <c r="I844" s="2"/>
      <c r="J844" s="2"/>
      <c r="K844" s="2"/>
      <c r="L844" s="2"/>
      <c r="M844" s="2"/>
      <c r="N844" s="2"/>
      <c r="O844" s="2"/>
      <c r="P844" s="66"/>
      <c r="Q844" s="66"/>
      <c r="R844" s="2"/>
      <c r="S844" s="2"/>
      <c r="T844" s="2"/>
    </row>
    <row r="845" spans="1:20">
      <c r="A845" s="3"/>
      <c r="B845" s="3"/>
      <c r="C845" s="2"/>
      <c r="D845" s="2"/>
      <c r="E845" s="64"/>
      <c r="F845" s="64"/>
      <c r="G845" s="64"/>
      <c r="H845" s="64"/>
      <c r="I845" s="2"/>
      <c r="J845" s="2"/>
      <c r="K845" s="2"/>
      <c r="L845" s="2"/>
      <c r="M845" s="2"/>
      <c r="N845" s="2"/>
      <c r="O845" s="2"/>
      <c r="P845" s="66"/>
      <c r="Q845" s="66"/>
      <c r="R845" s="2"/>
      <c r="S845" s="2"/>
      <c r="T845" s="2"/>
    </row>
    <row r="846" spans="1:20">
      <c r="A846" s="3"/>
      <c r="B846" s="3"/>
      <c r="C846" s="2"/>
      <c r="D846" s="2"/>
      <c r="E846" s="64"/>
      <c r="F846" s="64"/>
      <c r="G846" s="64"/>
      <c r="H846" s="64"/>
      <c r="I846" s="2"/>
      <c r="J846" s="2"/>
      <c r="K846" s="2"/>
      <c r="L846" s="2"/>
      <c r="M846" s="2"/>
      <c r="N846" s="2"/>
      <c r="O846" s="2"/>
      <c r="P846" s="66"/>
      <c r="Q846" s="66"/>
      <c r="R846" s="2"/>
      <c r="S846" s="2"/>
      <c r="T846" s="2"/>
    </row>
    <row r="847" spans="1:20">
      <c r="A847" s="3"/>
      <c r="B847" s="3"/>
      <c r="C847" s="2"/>
      <c r="D847" s="2"/>
      <c r="E847" s="64"/>
      <c r="F847" s="64"/>
      <c r="G847" s="64"/>
      <c r="H847" s="64"/>
      <c r="I847" s="2"/>
      <c r="J847" s="2"/>
      <c r="K847" s="2"/>
      <c r="L847" s="2"/>
      <c r="M847" s="2"/>
      <c r="N847" s="2"/>
      <c r="O847" s="2"/>
      <c r="P847" s="66"/>
      <c r="Q847" s="66"/>
      <c r="R847" s="2"/>
      <c r="S847" s="2"/>
      <c r="T847" s="2"/>
    </row>
    <row r="848" spans="1:20">
      <c r="A848" s="3"/>
      <c r="B848" s="3"/>
      <c r="C848" s="2"/>
      <c r="D848" s="2"/>
      <c r="E848" s="64"/>
      <c r="F848" s="64"/>
      <c r="G848" s="64"/>
      <c r="H848" s="64"/>
      <c r="I848" s="2"/>
      <c r="J848" s="2"/>
      <c r="K848" s="2"/>
      <c r="L848" s="2"/>
      <c r="M848" s="2"/>
      <c r="N848" s="2"/>
      <c r="O848" s="2"/>
      <c r="P848" s="66"/>
      <c r="Q848" s="66"/>
      <c r="R848" s="2"/>
      <c r="S848" s="2"/>
      <c r="T848" s="2"/>
    </row>
    <row r="849" spans="1:20">
      <c r="A849" s="3"/>
      <c r="B849" s="3"/>
      <c r="C849" s="2"/>
      <c r="D849" s="2"/>
      <c r="E849" s="64"/>
      <c r="F849" s="64"/>
      <c r="G849" s="64"/>
      <c r="H849" s="64"/>
      <c r="I849" s="2"/>
      <c r="J849" s="2"/>
      <c r="K849" s="2"/>
      <c r="L849" s="2"/>
      <c r="M849" s="2"/>
      <c r="N849" s="2"/>
      <c r="O849" s="2"/>
      <c r="P849" s="66"/>
      <c r="Q849" s="66"/>
      <c r="R849" s="2"/>
      <c r="S849" s="2"/>
      <c r="T849" s="2"/>
    </row>
    <row r="850" spans="1:20">
      <c r="A850" s="3"/>
      <c r="B850" s="3"/>
      <c r="C850" s="2"/>
      <c r="D850" s="2"/>
      <c r="E850" s="64"/>
      <c r="F850" s="64"/>
      <c r="G850" s="64"/>
      <c r="H850" s="64"/>
      <c r="I850" s="2"/>
      <c r="J850" s="2"/>
      <c r="K850" s="2"/>
      <c r="L850" s="2"/>
      <c r="M850" s="2"/>
      <c r="N850" s="2"/>
      <c r="O850" s="2"/>
      <c r="P850" s="66"/>
      <c r="Q850" s="66"/>
      <c r="R850" s="2"/>
      <c r="S850" s="2"/>
      <c r="T850" s="2"/>
    </row>
    <row r="851" spans="1:20">
      <c r="A851" s="3"/>
      <c r="B851" s="3"/>
      <c r="C851" s="2"/>
      <c r="D851" s="2"/>
      <c r="E851" s="64"/>
      <c r="F851" s="64"/>
      <c r="G851" s="64"/>
      <c r="H851" s="64"/>
      <c r="I851" s="2"/>
      <c r="J851" s="2"/>
      <c r="K851" s="2"/>
      <c r="L851" s="2"/>
      <c r="M851" s="2"/>
      <c r="N851" s="2"/>
      <c r="O851" s="2"/>
      <c r="P851" s="66"/>
      <c r="Q851" s="66"/>
      <c r="R851" s="2"/>
      <c r="S851" s="2"/>
      <c r="T851" s="2"/>
    </row>
    <row r="852" spans="1:20">
      <c r="A852" s="3"/>
      <c r="B852" s="3"/>
      <c r="C852" s="2"/>
      <c r="D852" s="2"/>
      <c r="E852" s="64"/>
      <c r="F852" s="64"/>
      <c r="G852" s="64"/>
      <c r="H852" s="64"/>
      <c r="I852" s="2"/>
      <c r="J852" s="2"/>
      <c r="K852" s="2"/>
      <c r="L852" s="2"/>
      <c r="M852" s="2"/>
      <c r="N852" s="2"/>
      <c r="O852" s="2"/>
      <c r="P852" s="66"/>
      <c r="Q852" s="66"/>
      <c r="R852" s="2"/>
      <c r="S852" s="2"/>
      <c r="T852" s="2"/>
    </row>
    <row r="853" spans="1:20">
      <c r="A853" s="3"/>
      <c r="B853" s="3"/>
      <c r="C853" s="2"/>
      <c r="D853" s="2"/>
      <c r="E853" s="64"/>
      <c r="F853" s="64"/>
      <c r="G853" s="64"/>
      <c r="H853" s="64"/>
      <c r="I853" s="2"/>
      <c r="J853" s="2"/>
      <c r="K853" s="2"/>
      <c r="L853" s="2"/>
      <c r="M853" s="2"/>
      <c r="N853" s="2"/>
      <c r="O853" s="2"/>
      <c r="P853" s="66"/>
      <c r="Q853" s="66"/>
      <c r="R853" s="2"/>
      <c r="S853" s="2"/>
      <c r="T853" s="2"/>
    </row>
    <row r="854" spans="1:20">
      <c r="A854" s="3"/>
      <c r="B854" s="3"/>
      <c r="C854" s="2"/>
      <c r="D854" s="2"/>
      <c r="E854" s="64"/>
      <c r="F854" s="64"/>
      <c r="G854" s="64"/>
      <c r="H854" s="64"/>
      <c r="I854" s="2"/>
      <c r="J854" s="2"/>
      <c r="K854" s="2"/>
      <c r="L854" s="2"/>
      <c r="M854" s="2"/>
      <c r="N854" s="2"/>
      <c r="O854" s="2"/>
      <c r="P854" s="66"/>
      <c r="Q854" s="66"/>
      <c r="R854" s="2"/>
      <c r="S854" s="2"/>
      <c r="T854" s="2"/>
    </row>
    <row r="855" spans="1:20">
      <c r="A855" s="3"/>
      <c r="B855" s="3"/>
      <c r="C855" s="2"/>
      <c r="D855" s="2"/>
      <c r="E855" s="64"/>
      <c r="F855" s="64"/>
      <c r="G855" s="64"/>
      <c r="H855" s="64"/>
      <c r="I855" s="2"/>
      <c r="J855" s="2"/>
      <c r="K855" s="2"/>
      <c r="L855" s="2"/>
      <c r="M855" s="2"/>
      <c r="N855" s="2"/>
      <c r="O855" s="2"/>
      <c r="P855" s="66"/>
      <c r="Q855" s="66"/>
      <c r="R855" s="2"/>
      <c r="S855" s="2"/>
      <c r="T855" s="2"/>
    </row>
    <row r="856" spans="1:20">
      <c r="A856" s="3"/>
      <c r="B856" s="3"/>
      <c r="C856" s="2"/>
      <c r="D856" s="2"/>
      <c r="E856" s="64"/>
      <c r="F856" s="64"/>
      <c r="G856" s="64"/>
      <c r="H856" s="64"/>
      <c r="I856" s="2"/>
      <c r="J856" s="2"/>
      <c r="K856" s="2"/>
      <c r="L856" s="2"/>
      <c r="M856" s="2"/>
      <c r="N856" s="2"/>
      <c r="O856" s="2"/>
      <c r="P856" s="66"/>
      <c r="Q856" s="66"/>
      <c r="R856" s="2"/>
      <c r="S856" s="2"/>
      <c r="T856" s="2"/>
    </row>
    <row r="857" spans="1:20">
      <c r="A857" s="3"/>
      <c r="B857" s="3"/>
      <c r="C857" s="2"/>
      <c r="D857" s="2"/>
      <c r="E857" s="64"/>
      <c r="F857" s="64"/>
      <c r="G857" s="64"/>
      <c r="H857" s="64"/>
      <c r="I857" s="2"/>
      <c r="J857" s="2"/>
      <c r="K857" s="2"/>
      <c r="L857" s="2"/>
      <c r="M857" s="2"/>
      <c r="N857" s="2"/>
      <c r="O857" s="2"/>
      <c r="P857" s="66"/>
      <c r="Q857" s="66"/>
      <c r="R857" s="2"/>
      <c r="S857" s="2"/>
      <c r="T857" s="2"/>
    </row>
    <row r="858" spans="1:20">
      <c r="A858" s="3"/>
      <c r="B858" s="3"/>
      <c r="C858" s="2"/>
      <c r="D858" s="2"/>
      <c r="E858" s="64"/>
      <c r="F858" s="64"/>
      <c r="G858" s="64"/>
      <c r="H858" s="64"/>
      <c r="I858" s="2"/>
      <c r="J858" s="2"/>
      <c r="K858" s="2"/>
      <c r="L858" s="2"/>
      <c r="M858" s="2"/>
      <c r="N858" s="2"/>
      <c r="O858" s="2"/>
      <c r="P858" s="66"/>
      <c r="Q858" s="66"/>
      <c r="R858" s="2"/>
      <c r="S858" s="2"/>
      <c r="T858" s="2"/>
    </row>
    <row r="859" spans="1:20">
      <c r="A859" s="3"/>
      <c r="B859" s="3"/>
      <c r="C859" s="2"/>
      <c r="D859" s="2"/>
      <c r="E859" s="64"/>
      <c r="F859" s="64"/>
      <c r="G859" s="64"/>
      <c r="H859" s="64"/>
      <c r="I859" s="2"/>
      <c r="J859" s="2"/>
      <c r="K859" s="2"/>
      <c r="L859" s="2"/>
      <c r="M859" s="2"/>
      <c r="N859" s="2"/>
      <c r="O859" s="2"/>
      <c r="P859" s="66"/>
      <c r="Q859" s="66"/>
      <c r="R859" s="2"/>
      <c r="S859" s="2"/>
      <c r="T859" s="2"/>
    </row>
    <row r="860" spans="1:20">
      <c r="A860" s="3"/>
      <c r="B860" s="3"/>
      <c r="C860" s="2"/>
      <c r="D860" s="2"/>
      <c r="E860" s="64"/>
      <c r="F860" s="64"/>
      <c r="G860" s="64"/>
      <c r="H860" s="64"/>
      <c r="I860" s="2"/>
      <c r="J860" s="2"/>
      <c r="K860" s="2"/>
      <c r="L860" s="2"/>
      <c r="M860" s="2"/>
      <c r="N860" s="2"/>
      <c r="O860" s="2"/>
      <c r="P860" s="66"/>
      <c r="Q860" s="66"/>
      <c r="R860" s="2"/>
      <c r="S860" s="2"/>
      <c r="T860" s="2"/>
    </row>
    <row r="861" spans="1:20">
      <c r="A861" s="3"/>
      <c r="B861" s="3"/>
      <c r="C861" s="2"/>
      <c r="D861" s="2"/>
      <c r="E861" s="64"/>
      <c r="F861" s="64"/>
      <c r="G861" s="64"/>
      <c r="H861" s="64"/>
      <c r="I861" s="2"/>
      <c r="J861" s="2"/>
      <c r="K861" s="2"/>
      <c r="L861" s="2"/>
      <c r="M861" s="2"/>
      <c r="N861" s="2"/>
      <c r="O861" s="2"/>
      <c r="P861" s="66"/>
      <c r="Q861" s="66"/>
      <c r="R861" s="2"/>
      <c r="S861" s="2"/>
      <c r="T861" s="2"/>
    </row>
    <row r="862" spans="1:20">
      <c r="A862" s="3"/>
      <c r="B862" s="3"/>
      <c r="C862" s="2"/>
      <c r="D862" s="2"/>
      <c r="E862" s="64"/>
      <c r="F862" s="64"/>
      <c r="G862" s="64"/>
      <c r="H862" s="64"/>
      <c r="I862" s="2"/>
      <c r="J862" s="2"/>
      <c r="K862" s="2"/>
      <c r="L862" s="2"/>
      <c r="M862" s="2"/>
      <c r="N862" s="2"/>
      <c r="O862" s="2"/>
      <c r="P862" s="66"/>
      <c r="Q862" s="66"/>
      <c r="R862" s="2"/>
      <c r="S862" s="2"/>
      <c r="T862" s="2"/>
    </row>
    <row r="863" spans="1:20">
      <c r="A863" s="3"/>
      <c r="B863" s="3"/>
      <c r="C863" s="2"/>
      <c r="D863" s="2"/>
      <c r="E863" s="64"/>
      <c r="F863" s="64"/>
      <c r="G863" s="64"/>
      <c r="H863" s="64"/>
      <c r="I863" s="2"/>
      <c r="J863" s="2"/>
      <c r="K863" s="2"/>
      <c r="L863" s="2"/>
      <c r="M863" s="2"/>
      <c r="N863" s="2"/>
      <c r="O863" s="2"/>
      <c r="P863" s="66"/>
      <c r="Q863" s="66"/>
      <c r="R863" s="2"/>
      <c r="S863" s="2"/>
      <c r="T863" s="2"/>
    </row>
    <row r="864" spans="1:20">
      <c r="A864" s="3"/>
      <c r="B864" s="3"/>
      <c r="C864" s="2"/>
      <c r="D864" s="2"/>
      <c r="E864" s="64"/>
      <c r="F864" s="64"/>
      <c r="G864" s="64"/>
      <c r="H864" s="64"/>
      <c r="I864" s="2"/>
      <c r="J864" s="2"/>
      <c r="K864" s="2"/>
      <c r="L864" s="2"/>
      <c r="M864" s="2"/>
      <c r="N864" s="2"/>
      <c r="O864" s="2"/>
      <c r="P864" s="66"/>
      <c r="Q864" s="66"/>
      <c r="R864" s="2"/>
      <c r="S864" s="2"/>
      <c r="T864" s="2"/>
    </row>
    <row r="865" spans="1:20">
      <c r="A865" s="3"/>
      <c r="B865" s="3"/>
      <c r="C865" s="2"/>
      <c r="D865" s="2"/>
      <c r="E865" s="64"/>
      <c r="F865" s="64"/>
      <c r="G865" s="64"/>
      <c r="H865" s="64"/>
      <c r="I865" s="2"/>
      <c r="J865" s="2"/>
      <c r="K865" s="2"/>
      <c r="L865" s="2"/>
      <c r="M865" s="2"/>
      <c r="N865" s="2"/>
      <c r="O865" s="2"/>
      <c r="P865" s="66"/>
      <c r="Q865" s="66"/>
      <c r="R865" s="2"/>
      <c r="S865" s="2"/>
      <c r="T865" s="2"/>
    </row>
    <row r="866" spans="1:20">
      <c r="A866" s="3"/>
      <c r="B866" s="3"/>
      <c r="C866" s="2"/>
      <c r="D866" s="2"/>
      <c r="E866" s="64"/>
      <c r="F866" s="64"/>
      <c r="G866" s="64"/>
      <c r="H866" s="64"/>
      <c r="I866" s="2"/>
      <c r="J866" s="2"/>
      <c r="K866" s="2"/>
      <c r="L866" s="2"/>
      <c r="M866" s="2"/>
      <c r="N866" s="2"/>
      <c r="O866" s="2"/>
      <c r="P866" s="66"/>
      <c r="Q866" s="66"/>
      <c r="R866" s="2"/>
      <c r="S866" s="2"/>
      <c r="T866" s="2"/>
    </row>
    <row r="867" spans="1:20">
      <c r="A867" s="3"/>
      <c r="B867" s="3"/>
      <c r="C867" s="2"/>
      <c r="D867" s="2"/>
      <c r="E867" s="64"/>
      <c r="F867" s="64"/>
      <c r="G867" s="64"/>
      <c r="H867" s="64"/>
      <c r="I867" s="2"/>
      <c r="J867" s="2"/>
      <c r="K867" s="2"/>
      <c r="L867" s="2"/>
      <c r="M867" s="2"/>
      <c r="N867" s="2"/>
      <c r="O867" s="2"/>
      <c r="P867" s="66"/>
      <c r="Q867" s="66"/>
      <c r="R867" s="2"/>
      <c r="S867" s="2"/>
      <c r="T867" s="2"/>
    </row>
    <row r="868" spans="1:20">
      <c r="A868" s="3"/>
      <c r="B868" s="3"/>
      <c r="C868" s="2"/>
      <c r="D868" s="2"/>
      <c r="E868" s="64"/>
      <c r="F868" s="64"/>
      <c r="G868" s="64"/>
      <c r="H868" s="64"/>
      <c r="I868" s="2"/>
      <c r="J868" s="2"/>
      <c r="K868" s="2"/>
      <c r="L868" s="2"/>
      <c r="M868" s="2"/>
      <c r="N868" s="2"/>
      <c r="O868" s="2"/>
      <c r="P868" s="66"/>
      <c r="Q868" s="66"/>
      <c r="R868" s="2"/>
      <c r="S868" s="2"/>
      <c r="T868" s="2"/>
    </row>
    <row r="869" spans="1:20">
      <c r="A869" s="3"/>
      <c r="B869" s="3"/>
      <c r="C869" s="2"/>
      <c r="D869" s="2"/>
      <c r="E869" s="64"/>
      <c r="F869" s="64"/>
      <c r="G869" s="64"/>
      <c r="H869" s="64"/>
      <c r="I869" s="2"/>
      <c r="J869" s="2"/>
      <c r="K869" s="2"/>
      <c r="L869" s="2"/>
      <c r="M869" s="2"/>
      <c r="N869" s="2"/>
      <c r="O869" s="2"/>
      <c r="P869" s="66"/>
      <c r="Q869" s="66"/>
      <c r="R869" s="2"/>
      <c r="S869" s="2"/>
      <c r="T869" s="2"/>
    </row>
    <row r="870" spans="1:20">
      <c r="A870" s="3"/>
      <c r="B870" s="3"/>
      <c r="C870" s="2"/>
      <c r="D870" s="2"/>
      <c r="E870" s="64"/>
      <c r="F870" s="64"/>
      <c r="G870" s="64"/>
      <c r="H870" s="64"/>
      <c r="I870" s="2"/>
      <c r="J870" s="2"/>
      <c r="K870" s="2"/>
      <c r="L870" s="2"/>
      <c r="M870" s="2"/>
      <c r="N870" s="2"/>
      <c r="O870" s="2"/>
      <c r="P870" s="66"/>
      <c r="Q870" s="66"/>
      <c r="R870" s="2"/>
      <c r="S870" s="2"/>
      <c r="T870" s="2"/>
    </row>
    <row r="871" spans="1:20">
      <c r="A871" s="3"/>
      <c r="B871" s="3"/>
      <c r="C871" s="2"/>
      <c r="D871" s="2"/>
      <c r="E871" s="64"/>
      <c r="F871" s="64"/>
      <c r="G871" s="64"/>
      <c r="H871" s="64"/>
      <c r="I871" s="2"/>
      <c r="J871" s="2"/>
      <c r="K871" s="2"/>
      <c r="L871" s="2"/>
      <c r="M871" s="2"/>
      <c r="N871" s="2"/>
      <c r="O871" s="2"/>
      <c r="P871" s="66"/>
      <c r="Q871" s="66"/>
      <c r="R871" s="2"/>
      <c r="S871" s="2"/>
      <c r="T871" s="2"/>
    </row>
    <row r="872" spans="1:20">
      <c r="A872" s="3"/>
      <c r="B872" s="3"/>
      <c r="C872" s="2"/>
      <c r="D872" s="2"/>
      <c r="E872" s="64"/>
      <c r="F872" s="64"/>
      <c r="G872" s="64"/>
      <c r="H872" s="64"/>
      <c r="I872" s="2"/>
      <c r="J872" s="2"/>
      <c r="K872" s="2"/>
      <c r="L872" s="2"/>
      <c r="M872" s="2"/>
      <c r="N872" s="2"/>
      <c r="O872" s="2"/>
      <c r="P872" s="66"/>
      <c r="Q872" s="66"/>
      <c r="R872" s="2"/>
      <c r="S872" s="2"/>
      <c r="T872" s="2"/>
    </row>
    <row r="873" spans="1:20">
      <c r="A873" s="3"/>
      <c r="B873" s="3"/>
      <c r="C873" s="2"/>
      <c r="D873" s="2"/>
      <c r="E873" s="64"/>
      <c r="F873" s="64"/>
      <c r="G873" s="64"/>
      <c r="H873" s="64"/>
      <c r="I873" s="2"/>
      <c r="J873" s="2"/>
      <c r="K873" s="2"/>
      <c r="L873" s="2"/>
      <c r="M873" s="2"/>
      <c r="N873" s="2"/>
      <c r="O873" s="2"/>
      <c r="P873" s="66"/>
      <c r="Q873" s="66"/>
      <c r="R873" s="2"/>
      <c r="S873" s="2"/>
      <c r="T873" s="2"/>
    </row>
    <row r="874" spans="1:20">
      <c r="A874" s="3"/>
      <c r="B874" s="3"/>
      <c r="C874" s="2"/>
      <c r="D874" s="2"/>
      <c r="E874" s="64"/>
      <c r="F874" s="64"/>
      <c r="G874" s="64"/>
      <c r="H874" s="64"/>
      <c r="I874" s="2"/>
      <c r="J874" s="2"/>
      <c r="K874" s="2"/>
      <c r="L874" s="2"/>
      <c r="M874" s="2"/>
      <c r="N874" s="2"/>
      <c r="O874" s="2"/>
      <c r="P874" s="66"/>
      <c r="Q874" s="66"/>
      <c r="R874" s="2"/>
      <c r="S874" s="2"/>
      <c r="T874" s="2"/>
    </row>
    <row r="875" spans="1:20">
      <c r="A875" s="3"/>
      <c r="B875" s="3"/>
      <c r="C875" s="2"/>
      <c r="D875" s="2"/>
      <c r="E875" s="64"/>
      <c r="F875" s="64"/>
      <c r="G875" s="64"/>
      <c r="H875" s="64"/>
      <c r="I875" s="2"/>
      <c r="J875" s="2"/>
      <c r="K875" s="2"/>
      <c r="L875" s="2"/>
      <c r="M875" s="2"/>
      <c r="N875" s="2"/>
      <c r="O875" s="2"/>
      <c r="P875" s="66"/>
      <c r="Q875" s="66"/>
      <c r="R875" s="2"/>
      <c r="S875" s="2"/>
      <c r="T875" s="2"/>
    </row>
    <row r="876" spans="1:20">
      <c r="A876" s="3"/>
      <c r="B876" s="3"/>
      <c r="C876" s="2"/>
      <c r="D876" s="2"/>
      <c r="E876" s="64"/>
      <c r="F876" s="64"/>
      <c r="G876" s="64"/>
      <c r="H876" s="64"/>
      <c r="I876" s="2"/>
      <c r="J876" s="2"/>
      <c r="K876" s="2"/>
      <c r="L876" s="2"/>
      <c r="M876" s="2"/>
      <c r="N876" s="2"/>
      <c r="O876" s="2"/>
      <c r="P876" s="66"/>
      <c r="Q876" s="66"/>
      <c r="R876" s="2"/>
      <c r="S876" s="2"/>
      <c r="T876" s="2"/>
    </row>
    <row r="877" spans="1:20">
      <c r="A877" s="3"/>
      <c r="B877" s="3"/>
      <c r="C877" s="2"/>
      <c r="D877" s="2"/>
      <c r="E877" s="64"/>
      <c r="F877" s="64"/>
      <c r="G877" s="64"/>
      <c r="H877" s="64"/>
      <c r="I877" s="2"/>
      <c r="J877" s="2"/>
      <c r="K877" s="2"/>
      <c r="L877" s="2"/>
      <c r="M877" s="2"/>
      <c r="N877" s="2"/>
      <c r="O877" s="2"/>
      <c r="P877" s="66"/>
      <c r="Q877" s="66"/>
      <c r="R877" s="2"/>
      <c r="S877" s="2"/>
      <c r="T877" s="2"/>
    </row>
    <row r="878" spans="1:20">
      <c r="A878" s="3"/>
      <c r="B878" s="3"/>
      <c r="C878" s="2"/>
      <c r="D878" s="2"/>
      <c r="E878" s="64"/>
      <c r="F878" s="64"/>
      <c r="G878" s="64"/>
      <c r="H878" s="64"/>
      <c r="I878" s="2"/>
      <c r="J878" s="2"/>
      <c r="K878" s="2"/>
      <c r="L878" s="2"/>
      <c r="M878" s="2"/>
      <c r="N878" s="2"/>
      <c r="O878" s="2"/>
      <c r="P878" s="66"/>
      <c r="Q878" s="66"/>
      <c r="R878" s="2"/>
      <c r="S878" s="2"/>
      <c r="T878" s="2"/>
    </row>
    <row r="879" spans="1:20">
      <c r="A879" s="3"/>
      <c r="B879" s="3"/>
      <c r="C879" s="2"/>
      <c r="D879" s="2"/>
      <c r="E879" s="64"/>
      <c r="F879" s="64"/>
      <c r="G879" s="64"/>
      <c r="H879" s="64"/>
      <c r="I879" s="2"/>
      <c r="J879" s="2"/>
      <c r="K879" s="2"/>
      <c r="L879" s="2"/>
      <c r="M879" s="2"/>
      <c r="N879" s="2"/>
      <c r="O879" s="2"/>
      <c r="P879" s="66"/>
      <c r="Q879" s="66"/>
      <c r="R879" s="2"/>
      <c r="S879" s="2"/>
      <c r="T879" s="2"/>
    </row>
    <row r="880" spans="1:20">
      <c r="A880" s="3"/>
      <c r="B880" s="3"/>
      <c r="C880" s="2"/>
      <c r="D880" s="2"/>
      <c r="E880" s="64"/>
      <c r="F880" s="64"/>
      <c r="G880" s="64"/>
      <c r="H880" s="64"/>
      <c r="I880" s="2"/>
      <c r="J880" s="2"/>
      <c r="K880" s="2"/>
      <c r="L880" s="2"/>
      <c r="M880" s="2"/>
      <c r="N880" s="2"/>
      <c r="O880" s="2"/>
      <c r="P880" s="66"/>
      <c r="Q880" s="66"/>
      <c r="R880" s="2"/>
      <c r="S880" s="2"/>
      <c r="T880" s="2"/>
    </row>
    <row r="881" spans="1:20">
      <c r="A881" s="3"/>
      <c r="B881" s="3"/>
      <c r="C881" s="2"/>
      <c r="D881" s="2"/>
      <c r="E881" s="64"/>
      <c r="F881" s="64"/>
      <c r="G881" s="64"/>
      <c r="H881" s="64"/>
      <c r="I881" s="2"/>
      <c r="J881" s="2"/>
      <c r="K881" s="2"/>
      <c r="L881" s="2"/>
      <c r="M881" s="2"/>
      <c r="N881" s="2"/>
      <c r="O881" s="2"/>
      <c r="P881" s="66"/>
      <c r="Q881" s="66"/>
      <c r="R881" s="2"/>
      <c r="S881" s="2"/>
      <c r="T881" s="2"/>
    </row>
    <row r="882" spans="1:20">
      <c r="A882" s="3"/>
      <c r="B882" s="3"/>
      <c r="C882" s="2"/>
      <c r="D882" s="2"/>
      <c r="E882" s="64"/>
      <c r="F882" s="64"/>
      <c r="G882" s="64"/>
      <c r="H882" s="64"/>
      <c r="I882" s="2"/>
      <c r="J882" s="2"/>
      <c r="K882" s="2"/>
      <c r="L882" s="2"/>
      <c r="M882" s="2"/>
      <c r="N882" s="2"/>
      <c r="O882" s="2"/>
      <c r="P882" s="66"/>
      <c r="Q882" s="66"/>
      <c r="R882" s="2"/>
      <c r="S882" s="2"/>
      <c r="T882" s="2"/>
    </row>
    <row r="883" spans="1:20">
      <c r="A883" s="3"/>
      <c r="B883" s="3"/>
      <c r="C883" s="2"/>
      <c r="D883" s="2"/>
      <c r="E883" s="64"/>
      <c r="F883" s="64"/>
      <c r="G883" s="64"/>
      <c r="H883" s="64"/>
      <c r="I883" s="2"/>
      <c r="J883" s="2"/>
      <c r="K883" s="2"/>
      <c r="L883" s="2"/>
      <c r="M883" s="2"/>
      <c r="N883" s="2"/>
      <c r="O883" s="2"/>
      <c r="P883" s="66"/>
      <c r="Q883" s="66"/>
      <c r="R883" s="2"/>
      <c r="S883" s="2"/>
      <c r="T883" s="2"/>
    </row>
    <row r="884" spans="1:20">
      <c r="A884" s="3"/>
      <c r="B884" s="3"/>
      <c r="C884" s="2"/>
      <c r="D884" s="2"/>
      <c r="E884" s="64"/>
      <c r="F884" s="64"/>
      <c r="G884" s="64"/>
      <c r="H884" s="64"/>
      <c r="I884" s="2"/>
      <c r="J884" s="2"/>
      <c r="K884" s="2"/>
      <c r="L884" s="2"/>
      <c r="M884" s="2"/>
      <c r="N884" s="2"/>
      <c r="O884" s="2"/>
      <c r="P884" s="66"/>
      <c r="Q884" s="66"/>
      <c r="R884" s="2"/>
      <c r="S884" s="2"/>
      <c r="T884" s="2"/>
    </row>
    <row r="885" spans="1:20">
      <c r="A885" s="3"/>
      <c r="B885" s="3"/>
      <c r="C885" s="2"/>
      <c r="D885" s="2"/>
      <c r="E885" s="64"/>
      <c r="F885" s="64"/>
      <c r="G885" s="64"/>
      <c r="H885" s="64"/>
      <c r="I885" s="2"/>
      <c r="J885" s="2"/>
      <c r="K885" s="2"/>
      <c r="L885" s="2"/>
      <c r="M885" s="2"/>
      <c r="N885" s="2"/>
      <c r="O885" s="2"/>
      <c r="P885" s="66"/>
      <c r="Q885" s="66"/>
      <c r="R885" s="2"/>
      <c r="S885" s="2"/>
      <c r="T885" s="2"/>
    </row>
    <row r="886" spans="1:20">
      <c r="A886" s="3"/>
      <c r="B886" s="3"/>
      <c r="C886" s="2"/>
      <c r="D886" s="2"/>
      <c r="E886" s="64"/>
      <c r="F886" s="64"/>
      <c r="G886" s="64"/>
      <c r="H886" s="64"/>
      <c r="I886" s="2"/>
      <c r="J886" s="2"/>
      <c r="K886" s="2"/>
      <c r="L886" s="2"/>
      <c r="M886" s="2"/>
      <c r="N886" s="2"/>
      <c r="O886" s="2"/>
      <c r="P886" s="66"/>
      <c r="Q886" s="66"/>
      <c r="R886" s="2"/>
      <c r="S886" s="2"/>
      <c r="T886" s="2"/>
    </row>
    <row r="887" spans="1:20">
      <c r="A887" s="3"/>
      <c r="B887" s="3"/>
      <c r="C887" s="2"/>
      <c r="D887" s="2"/>
      <c r="E887" s="64"/>
      <c r="F887" s="64"/>
      <c r="G887" s="64"/>
      <c r="H887" s="64"/>
      <c r="I887" s="2"/>
      <c r="J887" s="2"/>
      <c r="K887" s="2"/>
      <c r="L887" s="2"/>
      <c r="M887" s="2"/>
      <c r="N887" s="2"/>
      <c r="O887" s="2"/>
      <c r="P887" s="66"/>
      <c r="Q887" s="66"/>
      <c r="R887" s="2"/>
      <c r="S887" s="2"/>
      <c r="T887" s="2"/>
    </row>
    <row r="888" spans="1:20">
      <c r="A888" s="3"/>
      <c r="B888" s="3"/>
      <c r="C888" s="2"/>
      <c r="D888" s="2"/>
      <c r="E888" s="64"/>
      <c r="F888" s="64"/>
      <c r="G888" s="64"/>
      <c r="H888" s="64"/>
      <c r="I888" s="2"/>
      <c r="J888" s="2"/>
      <c r="K888" s="2"/>
      <c r="L888" s="2"/>
      <c r="M888" s="2"/>
      <c r="N888" s="2"/>
      <c r="O888" s="2"/>
      <c r="P888" s="66"/>
      <c r="Q888" s="66"/>
      <c r="R888" s="2"/>
      <c r="S888" s="2"/>
      <c r="T888" s="2"/>
    </row>
    <row r="889" spans="1:20">
      <c r="A889" s="3"/>
      <c r="B889" s="3"/>
      <c r="C889" s="2"/>
      <c r="D889" s="2"/>
      <c r="E889" s="64"/>
      <c r="F889" s="64"/>
      <c r="G889" s="64"/>
      <c r="H889" s="64"/>
      <c r="I889" s="2"/>
      <c r="J889" s="2"/>
      <c r="K889" s="2"/>
      <c r="L889" s="2"/>
      <c r="M889" s="2"/>
      <c r="N889" s="2"/>
      <c r="O889" s="2"/>
      <c r="P889" s="66"/>
      <c r="Q889" s="66"/>
      <c r="R889" s="2"/>
      <c r="S889" s="2"/>
      <c r="T889" s="2"/>
    </row>
    <row r="890" spans="1:20">
      <c r="A890" s="3"/>
      <c r="B890" s="3"/>
      <c r="C890" s="2"/>
      <c r="D890" s="2"/>
      <c r="E890" s="64"/>
      <c r="F890" s="64"/>
      <c r="G890" s="64"/>
      <c r="H890" s="64"/>
      <c r="I890" s="2"/>
      <c r="J890" s="2"/>
      <c r="K890" s="2"/>
      <c r="L890" s="2"/>
      <c r="M890" s="2"/>
      <c r="N890" s="2"/>
      <c r="O890" s="2"/>
      <c r="P890" s="66"/>
      <c r="Q890" s="66"/>
      <c r="R890" s="2"/>
      <c r="S890" s="2"/>
      <c r="T890" s="2"/>
    </row>
    <row r="891" spans="1:20">
      <c r="A891" s="3"/>
      <c r="B891" s="3"/>
      <c r="C891" s="2"/>
      <c r="D891" s="2"/>
      <c r="E891" s="64"/>
      <c r="F891" s="64"/>
      <c r="G891" s="64"/>
      <c r="H891" s="64"/>
      <c r="I891" s="2"/>
      <c r="J891" s="2"/>
      <c r="K891" s="2"/>
      <c r="L891" s="2"/>
      <c r="M891" s="2"/>
      <c r="N891" s="2"/>
      <c r="O891" s="2"/>
      <c r="P891" s="66"/>
      <c r="Q891" s="66"/>
      <c r="R891" s="2"/>
      <c r="S891" s="2"/>
      <c r="T891" s="2"/>
    </row>
    <row r="892" spans="1:20">
      <c r="A892" s="3"/>
      <c r="B892" s="3"/>
      <c r="C892" s="2"/>
      <c r="D892" s="2"/>
      <c r="E892" s="64"/>
      <c r="F892" s="64"/>
      <c r="G892" s="64"/>
      <c r="H892" s="64"/>
      <c r="I892" s="2"/>
      <c r="J892" s="2"/>
      <c r="K892" s="2"/>
      <c r="L892" s="2"/>
      <c r="M892" s="2"/>
      <c r="N892" s="2"/>
      <c r="O892" s="2"/>
      <c r="P892" s="66"/>
      <c r="Q892" s="66"/>
      <c r="R892" s="2"/>
      <c r="S892" s="2"/>
      <c r="T892" s="2"/>
    </row>
    <row r="893" spans="1:20">
      <c r="A893" s="3"/>
      <c r="B893" s="3"/>
      <c r="C893" s="2"/>
      <c r="D893" s="2"/>
      <c r="E893" s="64"/>
      <c r="F893" s="64"/>
      <c r="G893" s="64"/>
      <c r="H893" s="64"/>
      <c r="I893" s="2"/>
      <c r="J893" s="2"/>
      <c r="K893" s="2"/>
      <c r="L893" s="2"/>
      <c r="M893" s="2"/>
      <c r="N893" s="2"/>
      <c r="O893" s="2"/>
      <c r="P893" s="66"/>
      <c r="Q893" s="66"/>
      <c r="R893" s="2"/>
      <c r="S893" s="2"/>
      <c r="T893" s="2"/>
    </row>
    <row r="894" spans="1:20">
      <c r="A894" s="3"/>
      <c r="B894" s="3"/>
      <c r="C894" s="2"/>
      <c r="D894" s="2"/>
      <c r="E894" s="64"/>
      <c r="F894" s="64"/>
      <c r="G894" s="64"/>
      <c r="H894" s="64"/>
      <c r="I894" s="2"/>
      <c r="J894" s="2"/>
      <c r="K894" s="2"/>
      <c r="L894" s="2"/>
      <c r="M894" s="2"/>
      <c r="N894" s="2"/>
      <c r="O894" s="2"/>
      <c r="P894" s="66"/>
      <c r="Q894" s="66"/>
      <c r="R894" s="2"/>
      <c r="S894" s="2"/>
      <c r="T894" s="2"/>
    </row>
    <row r="895" spans="1:20">
      <c r="A895" s="3"/>
      <c r="B895" s="3"/>
      <c r="C895" s="2"/>
      <c r="D895" s="2"/>
      <c r="E895" s="64"/>
      <c r="F895" s="64"/>
      <c r="G895" s="64"/>
      <c r="H895" s="64"/>
      <c r="I895" s="2"/>
      <c r="J895" s="2"/>
      <c r="K895" s="2"/>
      <c r="L895" s="2"/>
      <c r="M895" s="2"/>
      <c r="N895" s="2"/>
      <c r="O895" s="2"/>
      <c r="P895" s="66"/>
      <c r="Q895" s="66"/>
      <c r="R895" s="2"/>
      <c r="S895" s="2"/>
      <c r="T895" s="2"/>
    </row>
    <row r="896" spans="1:20">
      <c r="A896" s="3"/>
      <c r="B896" s="3"/>
      <c r="C896" s="2"/>
      <c r="D896" s="2"/>
      <c r="E896" s="64"/>
      <c r="F896" s="64"/>
      <c r="G896" s="64"/>
      <c r="H896" s="64"/>
      <c r="I896" s="2"/>
      <c r="J896" s="2"/>
      <c r="K896" s="2"/>
      <c r="L896" s="2"/>
      <c r="M896" s="2"/>
      <c r="N896" s="2"/>
      <c r="O896" s="2"/>
      <c r="P896" s="66"/>
      <c r="Q896" s="66"/>
      <c r="R896" s="2"/>
      <c r="S896" s="2"/>
      <c r="T896" s="2"/>
    </row>
    <row r="897" spans="1:20">
      <c r="A897" s="3"/>
      <c r="B897" s="3"/>
      <c r="C897" s="2"/>
      <c r="D897" s="2"/>
      <c r="E897" s="64"/>
      <c r="F897" s="64"/>
      <c r="G897" s="64"/>
      <c r="H897" s="64"/>
      <c r="I897" s="2"/>
      <c r="J897" s="2"/>
      <c r="K897" s="2"/>
      <c r="L897" s="2"/>
      <c r="M897" s="2"/>
      <c r="N897" s="2"/>
      <c r="O897" s="2"/>
      <c r="P897" s="66"/>
      <c r="Q897" s="66"/>
      <c r="R897" s="2"/>
      <c r="S897" s="2"/>
      <c r="T897" s="2"/>
    </row>
    <row r="898" spans="1:20">
      <c r="A898" s="3"/>
      <c r="B898" s="3"/>
      <c r="C898" s="2"/>
      <c r="D898" s="2"/>
      <c r="E898" s="64"/>
      <c r="F898" s="64"/>
      <c r="G898" s="64"/>
      <c r="H898" s="64"/>
      <c r="I898" s="2"/>
      <c r="J898" s="2"/>
      <c r="K898" s="2"/>
      <c r="L898" s="2"/>
      <c r="M898" s="2"/>
      <c r="N898" s="2"/>
      <c r="O898" s="2"/>
      <c r="P898" s="66"/>
      <c r="Q898" s="66"/>
      <c r="R898" s="2"/>
      <c r="S898" s="2"/>
      <c r="T898" s="2"/>
    </row>
    <row r="899" spans="1:20">
      <c r="A899" s="3"/>
      <c r="B899" s="3"/>
      <c r="C899" s="2"/>
      <c r="D899" s="2"/>
      <c r="E899" s="64"/>
      <c r="F899" s="64"/>
      <c r="G899" s="64"/>
      <c r="H899" s="64"/>
      <c r="I899" s="2"/>
      <c r="J899" s="2"/>
      <c r="K899" s="2"/>
      <c r="L899" s="2"/>
      <c r="M899" s="2"/>
      <c r="N899" s="2"/>
      <c r="O899" s="2"/>
      <c r="P899" s="66"/>
      <c r="Q899" s="66"/>
      <c r="R899" s="2"/>
      <c r="S899" s="2"/>
      <c r="T899" s="2"/>
    </row>
    <row r="900" spans="1:20">
      <c r="A900" s="3"/>
      <c r="B900" s="3"/>
      <c r="C900" s="2"/>
      <c r="D900" s="2"/>
      <c r="E900" s="64"/>
      <c r="F900" s="64"/>
      <c r="G900" s="64"/>
      <c r="H900" s="64"/>
      <c r="I900" s="2"/>
      <c r="J900" s="2"/>
      <c r="K900" s="2"/>
      <c r="L900" s="2"/>
      <c r="M900" s="2"/>
      <c r="N900" s="2"/>
      <c r="O900" s="2"/>
      <c r="P900" s="66"/>
      <c r="Q900" s="66"/>
      <c r="R900" s="2"/>
      <c r="S900" s="2"/>
      <c r="T900" s="2"/>
    </row>
    <row r="901" spans="1:20">
      <c r="A901" s="3"/>
      <c r="B901" s="3"/>
      <c r="C901" s="2"/>
      <c r="D901" s="2"/>
      <c r="E901" s="64"/>
      <c r="F901" s="64"/>
      <c r="G901" s="64"/>
      <c r="H901" s="64"/>
      <c r="I901" s="2"/>
      <c r="J901" s="2"/>
      <c r="K901" s="2"/>
      <c r="L901" s="2"/>
      <c r="M901" s="2"/>
      <c r="N901" s="2"/>
      <c r="O901" s="2"/>
      <c r="P901" s="66"/>
      <c r="Q901" s="66"/>
      <c r="R901" s="2"/>
      <c r="S901" s="2"/>
      <c r="T901" s="2"/>
    </row>
    <row r="902" spans="1:20">
      <c r="A902" s="3"/>
      <c r="B902" s="3"/>
      <c r="C902" s="2"/>
      <c r="D902" s="2"/>
      <c r="E902" s="64"/>
      <c r="F902" s="64"/>
      <c r="G902" s="64"/>
      <c r="H902" s="64"/>
      <c r="I902" s="2"/>
      <c r="J902" s="2"/>
      <c r="K902" s="2"/>
      <c r="L902" s="2"/>
      <c r="M902" s="2"/>
      <c r="N902" s="2"/>
      <c r="O902" s="2"/>
      <c r="P902" s="66"/>
      <c r="Q902" s="66"/>
      <c r="R902" s="2"/>
      <c r="S902" s="2"/>
      <c r="T902" s="2"/>
    </row>
    <row r="903" spans="1:20">
      <c r="A903" s="3"/>
      <c r="B903" s="3"/>
      <c r="C903" s="2"/>
      <c r="D903" s="2"/>
      <c r="E903" s="64"/>
      <c r="F903" s="64"/>
      <c r="G903" s="64"/>
      <c r="H903" s="64"/>
      <c r="I903" s="2"/>
      <c r="J903" s="2"/>
      <c r="K903" s="2"/>
      <c r="L903" s="2"/>
      <c r="M903" s="2"/>
      <c r="N903" s="2"/>
      <c r="O903" s="2"/>
      <c r="P903" s="66"/>
      <c r="Q903" s="66"/>
      <c r="R903" s="2"/>
      <c r="S903" s="2"/>
      <c r="T903" s="2"/>
    </row>
    <row r="904" spans="1:20">
      <c r="A904" s="3"/>
      <c r="B904" s="3"/>
      <c r="C904" s="2"/>
      <c r="D904" s="2"/>
      <c r="E904" s="64"/>
      <c r="F904" s="64"/>
      <c r="G904" s="64"/>
      <c r="H904" s="64"/>
      <c r="I904" s="2"/>
      <c r="J904" s="2"/>
      <c r="K904" s="2"/>
      <c r="L904" s="2"/>
      <c r="M904" s="2"/>
      <c r="N904" s="2"/>
      <c r="O904" s="2"/>
      <c r="P904" s="66"/>
      <c r="Q904" s="66"/>
      <c r="R904" s="2"/>
      <c r="S904" s="2"/>
      <c r="T904" s="2"/>
    </row>
    <row r="905" spans="1:20">
      <c r="A905" s="3"/>
      <c r="B905" s="3"/>
      <c r="C905" s="2"/>
      <c r="D905" s="2"/>
      <c r="E905" s="64"/>
      <c r="F905" s="64"/>
      <c r="G905" s="64"/>
      <c r="H905" s="64"/>
      <c r="I905" s="2"/>
      <c r="J905" s="2"/>
      <c r="K905" s="2"/>
      <c r="L905" s="2"/>
      <c r="M905" s="2"/>
      <c r="N905" s="2"/>
      <c r="O905" s="2"/>
      <c r="P905" s="66"/>
      <c r="Q905" s="66"/>
      <c r="R905" s="2"/>
      <c r="S905" s="2"/>
      <c r="T905" s="2"/>
    </row>
    <row r="906" spans="1:20">
      <c r="A906" s="3"/>
      <c r="B906" s="3"/>
      <c r="C906" s="2"/>
      <c r="D906" s="2"/>
      <c r="E906" s="64"/>
      <c r="F906" s="64"/>
      <c r="G906" s="64"/>
      <c r="H906" s="64"/>
      <c r="I906" s="2"/>
      <c r="J906" s="2"/>
      <c r="K906" s="2"/>
      <c r="L906" s="2"/>
      <c r="M906" s="2"/>
      <c r="N906" s="2"/>
      <c r="O906" s="2"/>
      <c r="P906" s="66"/>
      <c r="Q906" s="66"/>
      <c r="R906" s="2"/>
      <c r="S906" s="2"/>
      <c r="T906" s="2"/>
    </row>
    <row r="907" spans="1:20">
      <c r="A907" s="3"/>
      <c r="B907" s="3"/>
      <c r="C907" s="2"/>
      <c r="D907" s="2"/>
      <c r="E907" s="64"/>
      <c r="F907" s="64"/>
      <c r="G907" s="64"/>
      <c r="H907" s="64"/>
      <c r="I907" s="2"/>
      <c r="J907" s="2"/>
      <c r="K907" s="2"/>
      <c r="L907" s="2"/>
      <c r="M907" s="2"/>
      <c r="N907" s="2"/>
      <c r="O907" s="2"/>
      <c r="P907" s="66"/>
      <c r="Q907" s="66"/>
      <c r="R907" s="2"/>
      <c r="S907" s="2"/>
      <c r="T907" s="2"/>
    </row>
    <row r="908" spans="1:20">
      <c r="A908" s="3"/>
      <c r="B908" s="3"/>
      <c r="C908" s="2"/>
      <c r="D908" s="2"/>
      <c r="E908" s="64"/>
      <c r="F908" s="64"/>
      <c r="G908" s="64"/>
      <c r="H908" s="64"/>
      <c r="I908" s="2"/>
      <c r="J908" s="2"/>
      <c r="K908" s="2"/>
      <c r="L908" s="2"/>
      <c r="M908" s="2"/>
      <c r="N908" s="2"/>
      <c r="O908" s="2"/>
      <c r="P908" s="66"/>
      <c r="Q908" s="66"/>
      <c r="R908" s="2"/>
      <c r="S908" s="2"/>
      <c r="T908" s="2"/>
    </row>
    <row r="909" spans="1:20">
      <c r="A909" s="3"/>
      <c r="B909" s="3"/>
      <c r="C909" s="2"/>
      <c r="D909" s="2"/>
      <c r="E909" s="64"/>
      <c r="F909" s="64"/>
      <c r="G909" s="64"/>
      <c r="H909" s="64"/>
      <c r="I909" s="2"/>
      <c r="J909" s="2"/>
      <c r="K909" s="2"/>
      <c r="L909" s="2"/>
      <c r="M909" s="2"/>
      <c r="N909" s="2"/>
      <c r="O909" s="2"/>
      <c r="P909" s="66"/>
      <c r="Q909" s="66"/>
      <c r="R909" s="2"/>
      <c r="S909" s="2"/>
      <c r="T909" s="2"/>
    </row>
    <row r="910" spans="1:20">
      <c r="A910" s="3"/>
      <c r="B910" s="3"/>
      <c r="C910" s="2"/>
      <c r="D910" s="2"/>
      <c r="E910" s="64"/>
      <c r="F910" s="64"/>
      <c r="G910" s="64"/>
      <c r="H910" s="64"/>
      <c r="I910" s="2"/>
      <c r="J910" s="2"/>
      <c r="K910" s="2"/>
      <c r="L910" s="2"/>
      <c r="M910" s="2"/>
      <c r="N910" s="2"/>
      <c r="O910" s="2"/>
      <c r="P910" s="66"/>
      <c r="Q910" s="66"/>
      <c r="R910" s="2"/>
      <c r="S910" s="2"/>
      <c r="T910" s="2"/>
    </row>
    <row r="911" spans="1:20">
      <c r="A911" s="3"/>
      <c r="B911" s="3"/>
      <c r="C911" s="2"/>
      <c r="D911" s="2"/>
      <c r="E911" s="64"/>
      <c r="F911" s="64"/>
      <c r="G911" s="64"/>
      <c r="H911" s="64"/>
      <c r="I911" s="2"/>
      <c r="J911" s="2"/>
      <c r="K911" s="2"/>
      <c r="L911" s="2"/>
      <c r="M911" s="2"/>
      <c r="N911" s="2"/>
      <c r="O911" s="2"/>
      <c r="P911" s="66"/>
      <c r="Q911" s="66"/>
      <c r="R911" s="2"/>
      <c r="S911" s="2"/>
      <c r="T911" s="2"/>
    </row>
    <row r="912" spans="1:20">
      <c r="A912" s="3"/>
      <c r="B912" s="3"/>
      <c r="C912" s="2"/>
      <c r="D912" s="2"/>
      <c r="E912" s="64"/>
      <c r="F912" s="64"/>
      <c r="G912" s="64"/>
      <c r="H912" s="64"/>
      <c r="I912" s="2"/>
      <c r="J912" s="2"/>
      <c r="K912" s="2"/>
      <c r="L912" s="2"/>
      <c r="M912" s="2"/>
      <c r="N912" s="2"/>
      <c r="O912" s="2"/>
      <c r="P912" s="66"/>
      <c r="Q912" s="66"/>
      <c r="R912" s="2"/>
      <c r="S912" s="2"/>
      <c r="T912" s="2"/>
    </row>
    <row r="913" spans="1:20">
      <c r="A913" s="3"/>
      <c r="B913" s="3"/>
      <c r="C913" s="2"/>
      <c r="D913" s="2"/>
      <c r="E913" s="64"/>
      <c r="F913" s="64"/>
      <c r="G913" s="64"/>
      <c r="H913" s="64"/>
      <c r="I913" s="2"/>
      <c r="J913" s="2"/>
      <c r="K913" s="2"/>
      <c r="L913" s="2"/>
      <c r="M913" s="2"/>
      <c r="N913" s="2"/>
      <c r="O913" s="2"/>
      <c r="P913" s="66"/>
      <c r="Q913" s="66"/>
      <c r="R913" s="2"/>
      <c r="S913" s="2"/>
      <c r="T913" s="2"/>
    </row>
    <row r="914" spans="1:20">
      <c r="A914" s="3"/>
      <c r="B914" s="3"/>
      <c r="C914" s="2"/>
      <c r="D914" s="2"/>
      <c r="E914" s="64"/>
      <c r="F914" s="64"/>
      <c r="G914" s="64"/>
      <c r="H914" s="64"/>
      <c r="I914" s="2"/>
      <c r="J914" s="2"/>
      <c r="K914" s="2"/>
      <c r="L914" s="2"/>
      <c r="M914" s="2"/>
      <c r="N914" s="2"/>
      <c r="O914" s="2"/>
      <c r="P914" s="66"/>
      <c r="Q914" s="66"/>
      <c r="R914" s="2"/>
      <c r="S914" s="2"/>
      <c r="T914" s="2"/>
    </row>
    <row r="915" spans="1:20">
      <c r="A915" s="3"/>
      <c r="B915" s="3"/>
      <c r="C915" s="2"/>
      <c r="D915" s="2"/>
      <c r="E915" s="64"/>
      <c r="F915" s="64"/>
      <c r="G915" s="64"/>
      <c r="H915" s="64"/>
      <c r="I915" s="2"/>
      <c r="J915" s="2"/>
      <c r="K915" s="2"/>
      <c r="L915" s="2"/>
      <c r="M915" s="2"/>
      <c r="N915" s="2"/>
      <c r="O915" s="2"/>
      <c r="P915" s="66"/>
      <c r="Q915" s="66"/>
      <c r="R915" s="2"/>
      <c r="S915" s="2"/>
      <c r="T915" s="2"/>
    </row>
    <row r="916" spans="1:20">
      <c r="A916" s="3"/>
      <c r="B916" s="3"/>
      <c r="C916" s="2"/>
      <c r="D916" s="2"/>
      <c r="E916" s="64"/>
      <c r="F916" s="64"/>
      <c r="G916" s="64"/>
      <c r="H916" s="64"/>
      <c r="I916" s="2"/>
      <c r="J916" s="2"/>
      <c r="K916" s="2"/>
      <c r="L916" s="2"/>
      <c r="M916" s="2"/>
      <c r="N916" s="2"/>
      <c r="O916" s="2"/>
      <c r="P916" s="66"/>
      <c r="Q916" s="66"/>
      <c r="R916" s="2"/>
      <c r="S916" s="2"/>
      <c r="T916" s="2"/>
    </row>
    <row r="917" spans="1:20">
      <c r="A917" s="3"/>
      <c r="B917" s="3"/>
      <c r="C917" s="2"/>
      <c r="D917" s="2"/>
      <c r="E917" s="64"/>
      <c r="F917" s="64"/>
      <c r="G917" s="64"/>
      <c r="H917" s="64"/>
      <c r="I917" s="2"/>
      <c r="J917" s="2"/>
      <c r="K917" s="2"/>
      <c r="L917" s="2"/>
      <c r="M917" s="2"/>
      <c r="N917" s="2"/>
      <c r="O917" s="2"/>
      <c r="P917" s="66"/>
      <c r="Q917" s="66"/>
      <c r="R917" s="2"/>
      <c r="S917" s="2"/>
      <c r="T917" s="2"/>
    </row>
    <row r="918" spans="1:20">
      <c r="A918" s="3"/>
      <c r="B918" s="3"/>
      <c r="C918" s="2"/>
      <c r="D918" s="2"/>
      <c r="E918" s="64"/>
      <c r="F918" s="64"/>
      <c r="G918" s="64"/>
      <c r="H918" s="64"/>
      <c r="I918" s="2"/>
      <c r="J918" s="2"/>
      <c r="K918" s="2"/>
      <c r="L918" s="2"/>
      <c r="M918" s="2"/>
      <c r="N918" s="2"/>
      <c r="O918" s="2"/>
      <c r="P918" s="66"/>
      <c r="Q918" s="66"/>
      <c r="R918" s="2"/>
      <c r="S918" s="2"/>
      <c r="T918" s="2"/>
    </row>
    <row r="919" spans="1:20">
      <c r="A919" s="3"/>
      <c r="B919" s="3"/>
      <c r="C919" s="2"/>
      <c r="D919" s="2"/>
      <c r="E919" s="64"/>
      <c r="F919" s="64"/>
      <c r="G919" s="64"/>
      <c r="H919" s="64"/>
      <c r="I919" s="2"/>
      <c r="J919" s="2"/>
      <c r="K919" s="2"/>
      <c r="L919" s="2"/>
      <c r="M919" s="2"/>
      <c r="N919" s="2"/>
      <c r="O919" s="2"/>
      <c r="P919" s="66"/>
      <c r="Q919" s="66"/>
      <c r="R919" s="2"/>
      <c r="S919" s="2"/>
      <c r="T919" s="2"/>
    </row>
    <row r="920" spans="1:20">
      <c r="A920" s="3"/>
      <c r="B920" s="3"/>
      <c r="C920" s="2"/>
      <c r="D920" s="2"/>
      <c r="E920" s="64"/>
      <c r="F920" s="64"/>
      <c r="G920" s="64"/>
      <c r="H920" s="64"/>
      <c r="I920" s="2"/>
      <c r="J920" s="2"/>
      <c r="K920" s="2"/>
      <c r="L920" s="2"/>
      <c r="M920" s="2"/>
      <c r="N920" s="2"/>
      <c r="O920" s="2"/>
      <c r="P920" s="66"/>
      <c r="Q920" s="66"/>
      <c r="R920" s="2"/>
      <c r="S920" s="2"/>
      <c r="T920" s="2"/>
    </row>
    <row r="921" spans="1:20">
      <c r="A921" s="3"/>
      <c r="B921" s="3"/>
      <c r="C921" s="2"/>
      <c r="D921" s="2"/>
      <c r="E921" s="64"/>
      <c r="F921" s="64"/>
      <c r="G921" s="64"/>
      <c r="H921" s="64"/>
      <c r="I921" s="2"/>
      <c r="J921" s="2"/>
      <c r="K921" s="2"/>
      <c r="L921" s="2"/>
      <c r="M921" s="2"/>
      <c r="N921" s="2"/>
      <c r="O921" s="2"/>
      <c r="P921" s="66"/>
      <c r="Q921" s="66"/>
      <c r="R921" s="2"/>
      <c r="S921" s="2"/>
      <c r="T921" s="2"/>
    </row>
    <row r="922" spans="1:20">
      <c r="A922" s="3"/>
      <c r="B922" s="3"/>
      <c r="C922" s="2"/>
      <c r="D922" s="2"/>
      <c r="E922" s="64"/>
      <c r="F922" s="64"/>
      <c r="G922" s="64"/>
      <c r="H922" s="64"/>
      <c r="I922" s="2"/>
      <c r="J922" s="2"/>
      <c r="K922" s="2"/>
      <c r="L922" s="2"/>
      <c r="M922" s="2"/>
      <c r="N922" s="2"/>
      <c r="O922" s="2"/>
      <c r="P922" s="66"/>
      <c r="Q922" s="66"/>
      <c r="R922" s="2"/>
      <c r="S922" s="2"/>
      <c r="T922" s="2"/>
    </row>
    <row r="923" spans="1:20">
      <c r="A923" s="3"/>
      <c r="B923" s="3"/>
      <c r="C923" s="2"/>
      <c r="D923" s="2"/>
      <c r="E923" s="64"/>
      <c r="F923" s="64"/>
      <c r="G923" s="64"/>
      <c r="H923" s="64"/>
      <c r="I923" s="2"/>
      <c r="J923" s="2"/>
      <c r="K923" s="2"/>
      <c r="L923" s="2"/>
      <c r="M923" s="2"/>
      <c r="N923" s="2"/>
      <c r="O923" s="2"/>
      <c r="P923" s="66"/>
      <c r="Q923" s="66"/>
      <c r="R923" s="2"/>
      <c r="S923" s="2"/>
      <c r="T923" s="2"/>
    </row>
    <row r="924" spans="1:20">
      <c r="A924" s="3"/>
      <c r="B924" s="3"/>
      <c r="C924" s="2"/>
      <c r="D924" s="2"/>
      <c r="E924" s="64"/>
      <c r="F924" s="64"/>
      <c r="G924" s="64"/>
      <c r="H924" s="64"/>
      <c r="I924" s="2"/>
      <c r="J924" s="2"/>
      <c r="K924" s="2"/>
      <c r="L924" s="2"/>
      <c r="M924" s="2"/>
      <c r="N924" s="2"/>
      <c r="O924" s="2"/>
      <c r="P924" s="66"/>
      <c r="Q924" s="66"/>
      <c r="R924" s="2"/>
      <c r="S924" s="2"/>
      <c r="T924" s="2"/>
    </row>
    <row r="925" spans="1:20">
      <c r="A925" s="3"/>
      <c r="B925" s="3"/>
      <c r="C925" s="2"/>
      <c r="D925" s="2"/>
      <c r="E925" s="64"/>
      <c r="F925" s="64"/>
      <c r="G925" s="64"/>
      <c r="H925" s="64"/>
      <c r="I925" s="2"/>
      <c r="J925" s="2"/>
      <c r="K925" s="2"/>
      <c r="L925" s="2"/>
      <c r="M925" s="2"/>
      <c r="N925" s="2"/>
      <c r="O925" s="2"/>
      <c r="P925" s="66"/>
      <c r="Q925" s="66"/>
      <c r="R925" s="2"/>
      <c r="S925" s="2"/>
      <c r="T925" s="2"/>
    </row>
    <row r="926" spans="1:20">
      <c r="A926" s="3"/>
      <c r="B926" s="3"/>
      <c r="C926" s="2"/>
      <c r="D926" s="2"/>
      <c r="E926" s="64"/>
      <c r="F926" s="64"/>
      <c r="G926" s="64"/>
      <c r="H926" s="64"/>
      <c r="I926" s="2"/>
      <c r="J926" s="2"/>
      <c r="K926" s="2"/>
      <c r="L926" s="2"/>
      <c r="M926" s="2"/>
      <c r="N926" s="2"/>
      <c r="O926" s="2"/>
      <c r="P926" s="66"/>
      <c r="Q926" s="66"/>
      <c r="R926" s="2"/>
      <c r="S926" s="2"/>
      <c r="T926" s="2"/>
    </row>
    <row r="927" spans="1:20">
      <c r="A927" s="3"/>
      <c r="B927" s="3"/>
      <c r="C927" s="2"/>
      <c r="D927" s="2"/>
      <c r="E927" s="64"/>
      <c r="F927" s="64"/>
      <c r="G927" s="64"/>
      <c r="H927" s="64"/>
      <c r="I927" s="2"/>
      <c r="J927" s="2"/>
      <c r="K927" s="2"/>
      <c r="L927" s="2"/>
      <c r="M927" s="2"/>
      <c r="N927" s="2"/>
      <c r="O927" s="2"/>
      <c r="P927" s="66"/>
      <c r="Q927" s="66"/>
      <c r="R927" s="2"/>
      <c r="S927" s="2"/>
      <c r="T927" s="2"/>
    </row>
    <row r="928" spans="1:20">
      <c r="A928" s="3"/>
      <c r="B928" s="3"/>
      <c r="C928" s="2"/>
      <c r="D928" s="2"/>
      <c r="E928" s="64"/>
      <c r="F928" s="64"/>
      <c r="G928" s="64"/>
      <c r="H928" s="64"/>
      <c r="I928" s="2"/>
      <c r="J928" s="2"/>
      <c r="K928" s="2"/>
      <c r="L928" s="2"/>
      <c r="M928" s="2"/>
      <c r="N928" s="2"/>
      <c r="O928" s="2"/>
      <c r="P928" s="66"/>
      <c r="Q928" s="66"/>
      <c r="R928" s="2"/>
      <c r="S928" s="2"/>
      <c r="T928" s="2"/>
    </row>
    <row r="929" spans="1:20">
      <c r="A929" s="3"/>
      <c r="B929" s="3"/>
      <c r="C929" s="2"/>
      <c r="D929" s="2"/>
      <c r="E929" s="64"/>
      <c r="F929" s="64"/>
      <c r="G929" s="64"/>
      <c r="H929" s="64"/>
      <c r="I929" s="2"/>
      <c r="J929" s="2"/>
      <c r="K929" s="2"/>
      <c r="L929" s="2"/>
      <c r="M929" s="2"/>
      <c r="N929" s="2"/>
      <c r="O929" s="2"/>
      <c r="P929" s="66"/>
      <c r="Q929" s="66"/>
      <c r="R929" s="2"/>
      <c r="S929" s="2"/>
      <c r="T929" s="2"/>
    </row>
    <row r="930" spans="1:20">
      <c r="A930" s="3"/>
      <c r="B930" s="3"/>
      <c r="C930" s="2"/>
      <c r="D930" s="2"/>
      <c r="E930" s="64"/>
      <c r="F930" s="64"/>
      <c r="G930" s="64"/>
      <c r="H930" s="64"/>
      <c r="I930" s="2"/>
      <c r="J930" s="2"/>
      <c r="K930" s="2"/>
      <c r="L930" s="2"/>
      <c r="M930" s="2"/>
      <c r="N930" s="2"/>
      <c r="O930" s="2"/>
      <c r="P930" s="66"/>
      <c r="Q930" s="66"/>
      <c r="R930" s="2"/>
      <c r="S930" s="2"/>
      <c r="T930" s="2"/>
    </row>
    <row r="931" spans="1:20">
      <c r="A931" s="3"/>
      <c r="B931" s="3"/>
      <c r="C931" s="2"/>
      <c r="D931" s="2"/>
      <c r="E931" s="64"/>
      <c r="F931" s="64"/>
      <c r="G931" s="64"/>
      <c r="H931" s="64"/>
      <c r="I931" s="2"/>
      <c r="J931" s="2"/>
      <c r="K931" s="2"/>
      <c r="L931" s="2"/>
      <c r="M931" s="2"/>
      <c r="N931" s="2"/>
      <c r="O931" s="2"/>
      <c r="P931" s="66"/>
      <c r="Q931" s="66"/>
      <c r="R931" s="2"/>
      <c r="S931" s="2"/>
      <c r="T931" s="2"/>
    </row>
    <row r="932" spans="1:20">
      <c r="A932" s="3"/>
      <c r="B932" s="3"/>
      <c r="C932" s="2"/>
      <c r="D932" s="2"/>
      <c r="E932" s="64"/>
      <c r="F932" s="64"/>
      <c r="G932" s="64"/>
      <c r="H932" s="64"/>
      <c r="I932" s="2"/>
      <c r="J932" s="2"/>
      <c r="K932" s="2"/>
      <c r="L932" s="2"/>
      <c r="M932" s="2"/>
      <c r="N932" s="2"/>
      <c r="O932" s="2"/>
      <c r="P932" s="66"/>
      <c r="Q932" s="66"/>
      <c r="R932" s="2"/>
      <c r="S932" s="2"/>
      <c r="T932" s="2"/>
    </row>
    <row r="933" spans="1:20">
      <c r="A933" s="3"/>
      <c r="B933" s="3"/>
      <c r="C933" s="2"/>
      <c r="D933" s="2"/>
      <c r="E933" s="64"/>
      <c r="F933" s="64"/>
      <c r="G933" s="64"/>
      <c r="H933" s="64"/>
      <c r="I933" s="2"/>
      <c r="J933" s="2"/>
      <c r="K933" s="2"/>
      <c r="L933" s="2"/>
      <c r="M933" s="2"/>
      <c r="N933" s="2"/>
      <c r="O933" s="2"/>
      <c r="P933" s="66"/>
      <c r="Q933" s="66"/>
      <c r="R933" s="2"/>
      <c r="S933" s="2"/>
      <c r="T933" s="2"/>
    </row>
    <row r="934" spans="1:20">
      <c r="A934" s="3"/>
      <c r="B934" s="3"/>
      <c r="C934" s="2"/>
      <c r="D934" s="2"/>
      <c r="E934" s="64"/>
      <c r="F934" s="64"/>
      <c r="G934" s="64"/>
      <c r="H934" s="64"/>
      <c r="I934" s="2"/>
      <c r="J934" s="2"/>
      <c r="K934" s="2"/>
      <c r="L934" s="2"/>
      <c r="M934" s="2"/>
      <c r="N934" s="2"/>
      <c r="O934" s="2"/>
      <c r="P934" s="66"/>
      <c r="Q934" s="66"/>
      <c r="R934" s="2"/>
      <c r="S934" s="2"/>
      <c r="T934" s="2"/>
    </row>
    <row r="935" spans="1:20">
      <c r="A935" s="3"/>
      <c r="B935" s="3"/>
      <c r="C935" s="2"/>
      <c r="D935" s="2"/>
      <c r="E935" s="64"/>
      <c r="F935" s="64"/>
      <c r="G935" s="64"/>
      <c r="H935" s="64"/>
      <c r="I935" s="2"/>
      <c r="J935" s="2"/>
      <c r="K935" s="2"/>
      <c r="L935" s="2"/>
      <c r="M935" s="2"/>
      <c r="N935" s="2"/>
      <c r="O935" s="2"/>
      <c r="P935" s="66"/>
      <c r="Q935" s="66"/>
      <c r="R935" s="2"/>
      <c r="S935" s="2"/>
      <c r="T935" s="2"/>
    </row>
    <row r="936" spans="1:20">
      <c r="A936" s="3"/>
      <c r="B936" s="3"/>
      <c r="C936" s="2"/>
      <c r="D936" s="2"/>
      <c r="E936" s="64"/>
      <c r="F936" s="64"/>
      <c r="G936" s="64"/>
      <c r="H936" s="64"/>
      <c r="I936" s="2"/>
      <c r="J936" s="2"/>
      <c r="K936" s="2"/>
      <c r="L936" s="2"/>
      <c r="M936" s="2"/>
      <c r="N936" s="2"/>
      <c r="O936" s="2"/>
      <c r="P936" s="66"/>
      <c r="Q936" s="66"/>
      <c r="R936" s="2"/>
      <c r="S936" s="2"/>
      <c r="T936" s="2"/>
    </row>
    <row r="937" spans="1:20">
      <c r="A937" s="3"/>
      <c r="B937" s="3"/>
      <c r="C937" s="2"/>
      <c r="D937" s="2"/>
      <c r="E937" s="64"/>
      <c r="F937" s="64"/>
      <c r="G937" s="64"/>
      <c r="H937" s="64"/>
      <c r="I937" s="2"/>
      <c r="J937" s="2"/>
      <c r="K937" s="2"/>
      <c r="L937" s="2"/>
      <c r="M937" s="2"/>
      <c r="N937" s="2"/>
      <c r="O937" s="2"/>
      <c r="P937" s="66"/>
      <c r="Q937" s="66"/>
      <c r="R937" s="2"/>
      <c r="S937" s="2"/>
      <c r="T937" s="2"/>
    </row>
    <row r="938" spans="1:20">
      <c r="A938" s="3"/>
      <c r="B938" s="3"/>
      <c r="C938" s="2"/>
      <c r="D938" s="2"/>
      <c r="E938" s="64"/>
      <c r="F938" s="64"/>
      <c r="G938" s="64"/>
      <c r="H938" s="64"/>
      <c r="I938" s="2"/>
      <c r="J938" s="2"/>
      <c r="K938" s="2"/>
      <c r="L938" s="2"/>
      <c r="M938" s="2"/>
      <c r="N938" s="2"/>
      <c r="O938" s="2"/>
      <c r="P938" s="66"/>
      <c r="Q938" s="66"/>
      <c r="R938" s="2"/>
      <c r="S938" s="2"/>
      <c r="T938" s="2"/>
    </row>
    <row r="939" spans="1:20">
      <c r="A939" s="3"/>
      <c r="B939" s="3"/>
      <c r="C939" s="2"/>
      <c r="D939" s="2"/>
      <c r="E939" s="64"/>
      <c r="F939" s="64"/>
      <c r="G939" s="64"/>
      <c r="H939" s="64"/>
      <c r="I939" s="2"/>
      <c r="J939" s="2"/>
      <c r="K939" s="2"/>
      <c r="L939" s="2"/>
      <c r="M939" s="2"/>
      <c r="N939" s="2"/>
      <c r="O939" s="2"/>
      <c r="P939" s="66"/>
      <c r="Q939" s="66"/>
      <c r="R939" s="2"/>
      <c r="S939" s="2"/>
      <c r="T939" s="2"/>
    </row>
    <row r="940" spans="1:20">
      <c r="A940" s="3"/>
      <c r="B940" s="3"/>
      <c r="C940" s="2"/>
      <c r="D940" s="2"/>
      <c r="E940" s="64"/>
      <c r="F940" s="64"/>
      <c r="G940" s="64"/>
      <c r="H940" s="64"/>
      <c r="I940" s="2"/>
      <c r="J940" s="2"/>
      <c r="K940" s="2"/>
      <c r="L940" s="2"/>
      <c r="M940" s="2"/>
      <c r="N940" s="2"/>
      <c r="O940" s="2"/>
      <c r="P940" s="66"/>
      <c r="Q940" s="66"/>
      <c r="R940" s="2"/>
      <c r="S940" s="2"/>
      <c r="T940" s="2"/>
    </row>
    <row r="941" spans="1:20">
      <c r="A941" s="3"/>
      <c r="B941" s="3"/>
      <c r="C941" s="2"/>
      <c r="D941" s="2"/>
      <c r="E941" s="64"/>
      <c r="F941" s="64"/>
      <c r="G941" s="64"/>
      <c r="H941" s="64"/>
      <c r="I941" s="2"/>
      <c r="J941" s="2"/>
      <c r="K941" s="2"/>
      <c r="L941" s="2"/>
      <c r="M941" s="2"/>
      <c r="N941" s="2"/>
      <c r="O941" s="2"/>
      <c r="P941" s="66"/>
      <c r="Q941" s="66"/>
      <c r="R941" s="2"/>
      <c r="S941" s="2"/>
      <c r="T941" s="2"/>
    </row>
    <row r="942" spans="1:20">
      <c r="A942" s="3"/>
      <c r="B942" s="3"/>
      <c r="C942" s="2"/>
      <c r="D942" s="2"/>
      <c r="E942" s="64"/>
      <c r="F942" s="64"/>
      <c r="G942" s="64"/>
      <c r="H942" s="64"/>
      <c r="I942" s="2"/>
      <c r="J942" s="2"/>
      <c r="K942" s="2"/>
      <c r="L942" s="2"/>
      <c r="M942" s="2"/>
      <c r="N942" s="2"/>
      <c r="O942" s="2"/>
      <c r="P942" s="66"/>
      <c r="Q942" s="66"/>
      <c r="R942" s="2"/>
      <c r="S942" s="2"/>
      <c r="T942" s="2"/>
    </row>
    <row r="943" spans="1:20">
      <c r="A943" s="3"/>
      <c r="B943" s="3"/>
      <c r="C943" s="2"/>
      <c r="D943" s="2"/>
      <c r="E943" s="64"/>
      <c r="F943" s="64"/>
      <c r="G943" s="64"/>
      <c r="H943" s="64"/>
      <c r="I943" s="2"/>
      <c r="J943" s="2"/>
      <c r="K943" s="2"/>
      <c r="L943" s="2"/>
      <c r="M943" s="2"/>
      <c r="N943" s="2"/>
      <c r="O943" s="2"/>
      <c r="P943" s="66"/>
      <c r="Q943" s="66"/>
      <c r="R943" s="2"/>
      <c r="S943" s="2"/>
      <c r="T943" s="2"/>
    </row>
    <row r="944" spans="1:20">
      <c r="A944" s="3"/>
      <c r="B944" s="3"/>
      <c r="C944" s="2"/>
      <c r="D944" s="2"/>
      <c r="E944" s="64"/>
      <c r="F944" s="64"/>
      <c r="G944" s="64"/>
      <c r="H944" s="64"/>
      <c r="I944" s="2"/>
      <c r="J944" s="2"/>
      <c r="K944" s="2"/>
      <c r="L944" s="2"/>
      <c r="M944" s="2"/>
      <c r="N944" s="2"/>
      <c r="O944" s="2"/>
      <c r="P944" s="66"/>
      <c r="Q944" s="66"/>
      <c r="R944" s="2"/>
      <c r="S944" s="2"/>
      <c r="T944" s="2"/>
    </row>
    <row r="945" spans="1:20">
      <c r="A945" s="3"/>
      <c r="B945" s="3"/>
      <c r="C945" s="2"/>
      <c r="D945" s="2"/>
      <c r="E945" s="64"/>
      <c r="F945" s="64"/>
      <c r="G945" s="64"/>
      <c r="H945" s="64"/>
      <c r="I945" s="2"/>
      <c r="J945" s="2"/>
      <c r="K945" s="2"/>
      <c r="L945" s="2"/>
      <c r="M945" s="2"/>
      <c r="N945" s="2"/>
      <c r="O945" s="2"/>
      <c r="P945" s="66"/>
      <c r="Q945" s="66"/>
      <c r="R945" s="2"/>
      <c r="S945" s="2"/>
      <c r="T945" s="2"/>
    </row>
    <row r="946" spans="1:20">
      <c r="A946" s="3"/>
      <c r="B946" s="3"/>
      <c r="C946" s="2"/>
      <c r="D946" s="2"/>
      <c r="E946" s="64"/>
      <c r="F946" s="64"/>
      <c r="G946" s="64"/>
      <c r="H946" s="64"/>
      <c r="I946" s="2"/>
      <c r="J946" s="2"/>
      <c r="K946" s="2"/>
      <c r="L946" s="2"/>
      <c r="M946" s="2"/>
      <c r="N946" s="2"/>
      <c r="O946" s="2"/>
      <c r="P946" s="66"/>
      <c r="Q946" s="66"/>
      <c r="R946" s="2"/>
      <c r="S946" s="2"/>
      <c r="T946" s="2"/>
    </row>
    <row r="947" spans="1:20">
      <c r="A947" s="3"/>
      <c r="B947" s="3"/>
      <c r="C947" s="2"/>
      <c r="D947" s="2"/>
      <c r="E947" s="64"/>
      <c r="F947" s="64"/>
      <c r="G947" s="64"/>
      <c r="H947" s="64"/>
      <c r="I947" s="2"/>
      <c r="J947" s="2"/>
      <c r="K947" s="2"/>
      <c r="L947" s="2"/>
      <c r="M947" s="2"/>
      <c r="N947" s="2"/>
      <c r="O947" s="2"/>
      <c r="P947" s="66"/>
      <c r="Q947" s="66"/>
      <c r="R947" s="2"/>
      <c r="S947" s="2"/>
      <c r="T947" s="2"/>
    </row>
    <row r="948" spans="1:20">
      <c r="A948" s="3"/>
      <c r="B948" s="3"/>
      <c r="C948" s="2"/>
      <c r="D948" s="2"/>
      <c r="E948" s="64"/>
      <c r="F948" s="64"/>
      <c r="G948" s="64"/>
      <c r="H948" s="64"/>
      <c r="I948" s="2"/>
      <c r="J948" s="2"/>
      <c r="K948" s="2"/>
      <c r="L948" s="2"/>
      <c r="M948" s="2"/>
      <c r="N948" s="2"/>
      <c r="O948" s="2"/>
      <c r="P948" s="66"/>
      <c r="Q948" s="66"/>
      <c r="R948" s="2"/>
      <c r="S948" s="2"/>
      <c r="T948" s="2"/>
    </row>
    <row r="949" spans="1:20">
      <c r="A949" s="3"/>
      <c r="B949" s="3"/>
      <c r="C949" s="2"/>
      <c r="D949" s="2"/>
      <c r="E949" s="64"/>
      <c r="F949" s="64"/>
      <c r="G949" s="64"/>
      <c r="H949" s="64"/>
      <c r="I949" s="2"/>
      <c r="J949" s="2"/>
      <c r="K949" s="2"/>
      <c r="L949" s="2"/>
      <c r="M949" s="2"/>
      <c r="N949" s="2"/>
      <c r="O949" s="2"/>
      <c r="P949" s="66"/>
      <c r="Q949" s="66"/>
      <c r="R949" s="2"/>
      <c r="S949" s="2"/>
      <c r="T949" s="2"/>
    </row>
    <row r="950" spans="1:20">
      <c r="A950" s="3"/>
      <c r="B950" s="3"/>
      <c r="C950" s="2"/>
      <c r="D950" s="2"/>
      <c r="E950" s="64"/>
      <c r="F950" s="64"/>
      <c r="G950" s="64"/>
      <c r="H950" s="64"/>
      <c r="I950" s="2"/>
      <c r="J950" s="2"/>
      <c r="K950" s="2"/>
      <c r="L950" s="2"/>
      <c r="M950" s="2"/>
      <c r="N950" s="2"/>
      <c r="O950" s="2"/>
      <c r="P950" s="66"/>
      <c r="Q950" s="66"/>
      <c r="R950" s="2"/>
      <c r="S950" s="2"/>
      <c r="T950" s="2"/>
    </row>
    <row r="951" spans="1:20">
      <c r="A951" s="3"/>
      <c r="B951" s="3"/>
      <c r="C951" s="2"/>
      <c r="D951" s="2"/>
      <c r="E951" s="64"/>
      <c r="F951" s="64"/>
      <c r="G951" s="64"/>
      <c r="H951" s="64"/>
      <c r="I951" s="2"/>
      <c r="J951" s="2"/>
      <c r="K951" s="2"/>
      <c r="L951" s="2"/>
      <c r="M951" s="2"/>
      <c r="N951" s="2"/>
      <c r="O951" s="2"/>
      <c r="P951" s="66"/>
      <c r="Q951" s="66"/>
      <c r="R951" s="2"/>
      <c r="S951" s="2"/>
      <c r="T951" s="2"/>
    </row>
    <row r="952" spans="1:20">
      <c r="A952" s="3"/>
      <c r="B952" s="3"/>
      <c r="C952" s="2"/>
      <c r="D952" s="2"/>
      <c r="E952" s="64"/>
      <c r="F952" s="64"/>
      <c r="G952" s="64"/>
      <c r="H952" s="64"/>
      <c r="I952" s="2"/>
      <c r="J952" s="2"/>
      <c r="K952" s="2"/>
      <c r="L952" s="2"/>
      <c r="M952" s="2"/>
      <c r="N952" s="2"/>
      <c r="O952" s="2"/>
      <c r="P952" s="66"/>
      <c r="Q952" s="66"/>
      <c r="R952" s="2"/>
      <c r="S952" s="2"/>
      <c r="T952" s="2"/>
    </row>
    <row r="953" spans="1:20">
      <c r="A953" s="3"/>
      <c r="B953" s="3"/>
      <c r="C953" s="2"/>
      <c r="D953" s="2"/>
      <c r="E953" s="64"/>
      <c r="F953" s="64"/>
      <c r="G953" s="64"/>
      <c r="H953" s="64"/>
      <c r="I953" s="2"/>
      <c r="J953" s="2"/>
      <c r="K953" s="2"/>
      <c r="L953" s="2"/>
      <c r="M953" s="2"/>
      <c r="N953" s="2"/>
      <c r="O953" s="2"/>
      <c r="P953" s="66"/>
      <c r="Q953" s="66"/>
      <c r="R953" s="2"/>
      <c r="S953" s="2"/>
      <c r="T953" s="2"/>
    </row>
    <row r="954" spans="1:20">
      <c r="A954" s="3"/>
      <c r="B954" s="3"/>
      <c r="C954" s="2"/>
      <c r="D954" s="2"/>
      <c r="E954" s="64"/>
      <c r="F954" s="64"/>
      <c r="G954" s="64"/>
      <c r="H954" s="64"/>
      <c r="I954" s="2"/>
      <c r="J954" s="2"/>
      <c r="K954" s="2"/>
      <c r="L954" s="2"/>
      <c r="M954" s="2"/>
      <c r="N954" s="2"/>
      <c r="O954" s="2"/>
      <c r="P954" s="66"/>
      <c r="Q954" s="66"/>
      <c r="R954" s="2"/>
      <c r="S954" s="2"/>
      <c r="T954" s="2"/>
    </row>
    <row r="955" spans="1:20">
      <c r="A955" s="3"/>
      <c r="B955" s="3"/>
      <c r="C955" s="2"/>
      <c r="D955" s="2"/>
      <c r="E955" s="64"/>
      <c r="F955" s="64"/>
      <c r="G955" s="64"/>
      <c r="H955" s="64"/>
      <c r="I955" s="2"/>
      <c r="J955" s="2"/>
      <c r="K955" s="2"/>
      <c r="L955" s="2"/>
      <c r="M955" s="2"/>
      <c r="N955" s="2"/>
      <c r="O955" s="2"/>
      <c r="P955" s="66"/>
      <c r="Q955" s="66"/>
      <c r="R955" s="2"/>
      <c r="S955" s="2"/>
      <c r="T955" s="2"/>
    </row>
    <row r="956" spans="1:20">
      <c r="A956" s="3"/>
      <c r="B956" s="3"/>
      <c r="C956" s="2"/>
      <c r="D956" s="2"/>
      <c r="E956" s="64"/>
      <c r="F956" s="64"/>
      <c r="G956" s="64"/>
      <c r="H956" s="64"/>
      <c r="I956" s="2"/>
      <c r="J956" s="2"/>
      <c r="K956" s="2"/>
      <c r="L956" s="2"/>
      <c r="M956" s="2"/>
      <c r="N956" s="2"/>
      <c r="O956" s="2"/>
      <c r="P956" s="66"/>
      <c r="Q956" s="66"/>
      <c r="R956" s="2"/>
      <c r="S956" s="2"/>
      <c r="T956" s="2"/>
    </row>
    <row r="957" spans="1:20">
      <c r="A957" s="3"/>
      <c r="B957" s="3"/>
      <c r="C957" s="2"/>
      <c r="D957" s="2"/>
      <c r="E957" s="64"/>
      <c r="F957" s="64"/>
      <c r="G957" s="64"/>
      <c r="H957" s="64"/>
      <c r="I957" s="2"/>
      <c r="J957" s="2"/>
      <c r="K957" s="2"/>
      <c r="L957" s="2"/>
      <c r="M957" s="2"/>
      <c r="N957" s="2"/>
      <c r="O957" s="2"/>
      <c r="P957" s="66"/>
      <c r="Q957" s="66"/>
      <c r="R957" s="2"/>
      <c r="S957" s="2"/>
      <c r="T957" s="2"/>
    </row>
    <row r="958" spans="1:20">
      <c r="A958" s="3"/>
      <c r="B958" s="3"/>
      <c r="C958" s="2"/>
      <c r="D958" s="2"/>
      <c r="E958" s="64"/>
      <c r="F958" s="64"/>
      <c r="G958" s="64"/>
      <c r="H958" s="64"/>
      <c r="I958" s="2"/>
      <c r="J958" s="2"/>
      <c r="K958" s="2"/>
      <c r="L958" s="2"/>
      <c r="M958" s="2"/>
      <c r="N958" s="2"/>
      <c r="O958" s="2"/>
      <c r="P958" s="66"/>
      <c r="Q958" s="66"/>
      <c r="R958" s="2"/>
      <c r="S958" s="2"/>
      <c r="T958" s="2"/>
    </row>
    <row r="959" spans="1:20">
      <c r="A959" s="3"/>
      <c r="B959" s="3"/>
      <c r="C959" s="2"/>
      <c r="D959" s="2"/>
      <c r="E959" s="64"/>
      <c r="F959" s="64"/>
      <c r="G959" s="64"/>
      <c r="H959" s="64"/>
      <c r="I959" s="2"/>
      <c r="J959" s="2"/>
      <c r="K959" s="2"/>
      <c r="L959" s="2"/>
      <c r="M959" s="2"/>
      <c r="N959" s="2"/>
      <c r="O959" s="2"/>
      <c r="P959" s="66"/>
      <c r="Q959" s="66"/>
      <c r="R959" s="2"/>
      <c r="S959" s="2"/>
      <c r="T959" s="2"/>
    </row>
    <row r="960" spans="1:20">
      <c r="A960" s="3"/>
      <c r="B960" s="3"/>
      <c r="C960" s="2"/>
      <c r="D960" s="2"/>
      <c r="E960" s="64"/>
      <c r="F960" s="64"/>
      <c r="G960" s="64"/>
      <c r="H960" s="64"/>
      <c r="I960" s="2"/>
      <c r="J960" s="2"/>
      <c r="K960" s="2"/>
      <c r="L960" s="2"/>
      <c r="M960" s="2"/>
      <c r="N960" s="2"/>
      <c r="O960" s="2"/>
      <c r="P960" s="66"/>
      <c r="Q960" s="66"/>
      <c r="R960" s="2"/>
      <c r="S960" s="2"/>
      <c r="T960" s="2"/>
    </row>
    <row r="961" spans="1:20">
      <c r="A961" s="3"/>
      <c r="B961" s="3"/>
      <c r="C961" s="2"/>
      <c r="D961" s="2"/>
      <c r="E961" s="64"/>
      <c r="F961" s="64"/>
      <c r="G961" s="64"/>
      <c r="H961" s="64"/>
      <c r="I961" s="2"/>
      <c r="J961" s="2"/>
      <c r="K961" s="2"/>
      <c r="L961" s="2"/>
      <c r="M961" s="2"/>
      <c r="N961" s="2"/>
      <c r="O961" s="2"/>
      <c r="P961" s="66"/>
      <c r="Q961" s="66"/>
      <c r="R961" s="2"/>
      <c r="S961" s="2"/>
      <c r="T961" s="2"/>
    </row>
    <row r="962" spans="1:20">
      <c r="A962" s="3"/>
      <c r="B962" s="3"/>
      <c r="C962" s="2"/>
      <c r="D962" s="2"/>
      <c r="E962" s="64"/>
      <c r="F962" s="64"/>
      <c r="G962" s="64"/>
      <c r="H962" s="64"/>
      <c r="I962" s="2"/>
      <c r="J962" s="2"/>
      <c r="K962" s="2"/>
      <c r="L962" s="2"/>
      <c r="M962" s="2"/>
      <c r="N962" s="2"/>
      <c r="O962" s="2"/>
      <c r="P962" s="66"/>
      <c r="Q962" s="66"/>
      <c r="R962" s="2"/>
      <c r="S962" s="2"/>
      <c r="T962" s="2"/>
    </row>
    <row r="963" spans="1:20">
      <c r="A963" s="3"/>
      <c r="B963" s="3"/>
      <c r="C963" s="2"/>
      <c r="D963" s="2"/>
      <c r="E963" s="64"/>
      <c r="F963" s="64"/>
      <c r="G963" s="64"/>
      <c r="H963" s="64"/>
      <c r="I963" s="2"/>
      <c r="J963" s="2"/>
      <c r="K963" s="2"/>
      <c r="L963" s="2"/>
      <c r="M963" s="2"/>
      <c r="N963" s="2"/>
      <c r="O963" s="2"/>
      <c r="P963" s="66"/>
      <c r="Q963" s="66"/>
      <c r="R963" s="2"/>
      <c r="S963" s="2"/>
      <c r="T963" s="2"/>
    </row>
    <row r="964" spans="1:20">
      <c r="A964" s="3"/>
      <c r="B964" s="3"/>
      <c r="C964" s="2"/>
      <c r="D964" s="2"/>
      <c r="E964" s="64"/>
      <c r="F964" s="64"/>
      <c r="G964" s="64"/>
      <c r="H964" s="64"/>
      <c r="I964" s="2"/>
      <c r="J964" s="2"/>
      <c r="K964" s="2"/>
      <c r="L964" s="2"/>
      <c r="M964" s="2"/>
      <c r="N964" s="2"/>
      <c r="O964" s="2"/>
      <c r="P964" s="66"/>
      <c r="Q964" s="66"/>
      <c r="R964" s="2"/>
      <c r="S964" s="2"/>
      <c r="T964" s="2"/>
    </row>
    <row r="965" spans="1:20">
      <c r="A965" s="3"/>
      <c r="B965" s="3"/>
      <c r="C965" s="2"/>
      <c r="D965" s="2"/>
      <c r="E965" s="64"/>
      <c r="F965" s="64"/>
      <c r="G965" s="64"/>
      <c r="H965" s="64"/>
      <c r="I965" s="2"/>
      <c r="J965" s="2"/>
      <c r="K965" s="2"/>
      <c r="L965" s="2"/>
      <c r="M965" s="2"/>
      <c r="N965" s="2"/>
      <c r="O965" s="2"/>
      <c r="P965" s="66"/>
      <c r="Q965" s="66"/>
      <c r="R965" s="2"/>
      <c r="S965" s="2"/>
      <c r="T965" s="2"/>
    </row>
    <row r="966" spans="1:20">
      <c r="A966" s="3"/>
      <c r="B966" s="3"/>
      <c r="C966" s="2"/>
      <c r="D966" s="2"/>
      <c r="E966" s="64"/>
      <c r="F966" s="64"/>
      <c r="G966" s="64"/>
      <c r="H966" s="64"/>
      <c r="I966" s="2"/>
      <c r="J966" s="2"/>
      <c r="K966" s="2"/>
      <c r="L966" s="2"/>
      <c r="M966" s="2"/>
      <c r="N966" s="2"/>
      <c r="O966" s="2"/>
      <c r="P966" s="66"/>
      <c r="Q966" s="66"/>
      <c r="R966" s="2"/>
      <c r="S966" s="2"/>
      <c r="T966" s="2"/>
    </row>
    <row r="967" spans="1:20">
      <c r="A967" s="3"/>
      <c r="B967" s="3"/>
      <c r="C967" s="2"/>
      <c r="D967" s="2"/>
      <c r="E967" s="64"/>
      <c r="F967" s="64"/>
      <c r="G967" s="64"/>
      <c r="H967" s="64"/>
      <c r="I967" s="2"/>
      <c r="J967" s="2"/>
      <c r="K967" s="2"/>
      <c r="L967" s="2"/>
      <c r="M967" s="2"/>
      <c r="N967" s="2"/>
      <c r="O967" s="2"/>
      <c r="P967" s="66"/>
      <c r="Q967" s="66"/>
      <c r="R967" s="2"/>
      <c r="S967" s="2"/>
      <c r="T967" s="2"/>
    </row>
    <row r="968" spans="1:20">
      <c r="A968" s="3"/>
      <c r="B968" s="3"/>
      <c r="C968" s="2"/>
      <c r="D968" s="2"/>
      <c r="E968" s="64"/>
      <c r="F968" s="64"/>
      <c r="G968" s="64"/>
      <c r="H968" s="64"/>
      <c r="I968" s="2"/>
      <c r="J968" s="2"/>
      <c r="K968" s="2"/>
      <c r="L968" s="2"/>
      <c r="M968" s="2"/>
      <c r="N968" s="2"/>
      <c r="O968" s="2"/>
      <c r="P968" s="66"/>
      <c r="Q968" s="66"/>
      <c r="R968" s="2"/>
      <c r="S968" s="2"/>
      <c r="T968" s="2"/>
    </row>
    <row r="969" spans="1:20">
      <c r="A969" s="3"/>
      <c r="B969" s="3"/>
      <c r="C969" s="2"/>
      <c r="D969" s="2"/>
      <c r="E969" s="64"/>
      <c r="F969" s="64"/>
      <c r="G969" s="64"/>
      <c r="H969" s="64"/>
      <c r="I969" s="2"/>
      <c r="J969" s="2"/>
      <c r="K969" s="2"/>
      <c r="L969" s="2"/>
      <c r="M969" s="2"/>
      <c r="N969" s="2"/>
      <c r="O969" s="2"/>
      <c r="P969" s="66"/>
      <c r="Q969" s="66"/>
      <c r="R969" s="2"/>
      <c r="S969" s="2"/>
      <c r="T969" s="2"/>
    </row>
    <row r="970" spans="1:20">
      <c r="A970" s="3"/>
      <c r="B970" s="3"/>
      <c r="C970" s="2"/>
      <c r="D970" s="2"/>
      <c r="E970" s="64"/>
      <c r="F970" s="64"/>
      <c r="G970" s="64"/>
      <c r="H970" s="64"/>
      <c r="I970" s="2"/>
      <c r="J970" s="2"/>
      <c r="K970" s="2"/>
      <c r="L970" s="2"/>
      <c r="M970" s="2"/>
      <c r="N970" s="2"/>
      <c r="O970" s="2"/>
      <c r="P970" s="66"/>
      <c r="Q970" s="66"/>
      <c r="R970" s="2"/>
      <c r="S970" s="2"/>
      <c r="T970" s="2"/>
    </row>
    <row r="971" spans="1:20">
      <c r="A971" s="3"/>
      <c r="B971" s="3"/>
      <c r="C971" s="2"/>
      <c r="D971" s="2"/>
      <c r="E971" s="64"/>
      <c r="F971" s="64"/>
      <c r="G971" s="64"/>
      <c r="H971" s="64"/>
      <c r="I971" s="2"/>
      <c r="J971" s="2"/>
      <c r="K971" s="2"/>
      <c r="L971" s="2"/>
      <c r="M971" s="2"/>
      <c r="N971" s="2"/>
      <c r="O971" s="2"/>
      <c r="P971" s="66"/>
      <c r="Q971" s="66"/>
      <c r="R971" s="2"/>
      <c r="S971" s="2"/>
      <c r="T971" s="2"/>
    </row>
    <row r="972" spans="1:20">
      <c r="A972" s="3"/>
      <c r="B972" s="3"/>
      <c r="C972" s="2"/>
      <c r="D972" s="2"/>
      <c r="E972" s="64"/>
      <c r="F972" s="64"/>
      <c r="G972" s="64"/>
      <c r="H972" s="64"/>
      <c r="I972" s="2"/>
      <c r="J972" s="2"/>
      <c r="K972" s="2"/>
      <c r="L972" s="2"/>
      <c r="M972" s="2"/>
      <c r="N972" s="2"/>
      <c r="O972" s="2"/>
      <c r="P972" s="66"/>
      <c r="Q972" s="66"/>
      <c r="R972" s="2"/>
      <c r="S972" s="2"/>
      <c r="T972" s="2"/>
    </row>
    <row r="973" spans="1:20">
      <c r="A973" s="3"/>
      <c r="B973" s="3"/>
      <c r="C973" s="2"/>
      <c r="D973" s="2"/>
      <c r="E973" s="64"/>
      <c r="F973" s="64"/>
      <c r="G973" s="64"/>
      <c r="H973" s="64"/>
      <c r="I973" s="2"/>
      <c r="J973" s="2"/>
      <c r="K973" s="2"/>
      <c r="L973" s="2"/>
      <c r="M973" s="2"/>
      <c r="N973" s="2"/>
      <c r="O973" s="2"/>
      <c r="P973" s="66"/>
      <c r="Q973" s="66"/>
      <c r="R973" s="2"/>
      <c r="S973" s="2"/>
      <c r="T973" s="2"/>
    </row>
    <row r="974" spans="1:20">
      <c r="A974" s="3"/>
      <c r="B974" s="3"/>
      <c r="C974" s="2"/>
      <c r="D974" s="2"/>
      <c r="E974" s="64"/>
      <c r="F974" s="64"/>
      <c r="G974" s="64"/>
      <c r="H974" s="64"/>
      <c r="I974" s="2"/>
      <c r="J974" s="2"/>
      <c r="K974" s="2"/>
      <c r="L974" s="2"/>
      <c r="M974" s="2"/>
      <c r="N974" s="2"/>
      <c r="O974" s="2"/>
      <c r="P974" s="66"/>
      <c r="Q974" s="66"/>
      <c r="R974" s="2"/>
      <c r="S974" s="2"/>
      <c r="T974" s="2"/>
    </row>
    <row r="975" spans="1:20">
      <c r="A975" s="3"/>
      <c r="B975" s="3"/>
      <c r="C975" s="2"/>
      <c r="D975" s="2"/>
      <c r="E975" s="64"/>
      <c r="F975" s="64"/>
      <c r="G975" s="64"/>
      <c r="H975" s="64"/>
      <c r="I975" s="2"/>
      <c r="J975" s="2"/>
      <c r="K975" s="2"/>
      <c r="L975" s="2"/>
      <c r="M975" s="2"/>
      <c r="N975" s="2"/>
      <c r="O975" s="2"/>
      <c r="P975" s="66"/>
      <c r="Q975" s="66"/>
      <c r="R975" s="2"/>
      <c r="S975" s="2"/>
      <c r="T975" s="2"/>
    </row>
    <row r="976" spans="1:20">
      <c r="A976" s="3"/>
      <c r="B976" s="3"/>
      <c r="C976" s="2"/>
      <c r="D976" s="2"/>
      <c r="E976" s="64"/>
      <c r="F976" s="64"/>
      <c r="G976" s="64"/>
      <c r="H976" s="64"/>
      <c r="I976" s="2"/>
      <c r="J976" s="2"/>
      <c r="K976" s="2"/>
      <c r="L976" s="2"/>
      <c r="M976" s="2"/>
      <c r="N976" s="2"/>
      <c r="O976" s="2"/>
      <c r="P976" s="66"/>
      <c r="Q976" s="66"/>
      <c r="R976" s="2"/>
      <c r="S976" s="2"/>
      <c r="T976" s="2"/>
    </row>
    <row r="977" spans="1:20">
      <c r="A977" s="3"/>
      <c r="B977" s="3"/>
      <c r="C977" s="2"/>
      <c r="D977" s="2"/>
      <c r="E977" s="64"/>
      <c r="F977" s="64"/>
      <c r="G977" s="64"/>
      <c r="H977" s="64"/>
      <c r="I977" s="2"/>
      <c r="J977" s="2"/>
      <c r="K977" s="2"/>
      <c r="L977" s="2"/>
      <c r="M977" s="2"/>
      <c r="N977" s="2"/>
      <c r="O977" s="2"/>
      <c r="P977" s="66"/>
      <c r="Q977" s="66"/>
      <c r="R977" s="2"/>
      <c r="S977" s="2"/>
      <c r="T977" s="2"/>
    </row>
    <row r="978" spans="1:20">
      <c r="A978" s="3"/>
      <c r="B978" s="3"/>
      <c r="C978" s="2"/>
      <c r="D978" s="2"/>
      <c r="E978" s="64"/>
      <c r="F978" s="64"/>
      <c r="G978" s="64"/>
      <c r="H978" s="64"/>
      <c r="I978" s="2"/>
      <c r="J978" s="2"/>
      <c r="K978" s="2"/>
      <c r="L978" s="2"/>
      <c r="M978" s="2"/>
      <c r="N978" s="2"/>
      <c r="O978" s="2"/>
      <c r="P978" s="66"/>
      <c r="Q978" s="66"/>
      <c r="R978" s="2"/>
      <c r="S978" s="2"/>
      <c r="T978" s="2"/>
    </row>
    <row r="979" spans="1:20">
      <c r="A979" s="3"/>
      <c r="B979" s="3"/>
      <c r="C979" s="2"/>
      <c r="D979" s="2"/>
      <c r="E979" s="64"/>
      <c r="F979" s="64"/>
      <c r="G979" s="64"/>
      <c r="H979" s="64"/>
      <c r="I979" s="2"/>
      <c r="J979" s="2"/>
      <c r="K979" s="2"/>
      <c r="L979" s="2"/>
      <c r="M979" s="2"/>
      <c r="N979" s="2"/>
      <c r="O979" s="2"/>
      <c r="P979" s="66"/>
      <c r="Q979" s="66"/>
      <c r="R979" s="2"/>
      <c r="S979" s="2"/>
      <c r="T979" s="2"/>
    </row>
    <row r="980" spans="1:20">
      <c r="A980" s="3"/>
      <c r="B980" s="3"/>
      <c r="C980" s="2"/>
      <c r="D980" s="2"/>
      <c r="E980" s="64"/>
      <c r="F980" s="64"/>
      <c r="G980" s="64"/>
      <c r="H980" s="64"/>
      <c r="I980" s="2"/>
      <c r="J980" s="2"/>
      <c r="K980" s="2"/>
      <c r="L980" s="2"/>
      <c r="M980" s="2"/>
      <c r="N980" s="2"/>
      <c r="O980" s="2"/>
      <c r="P980" s="66"/>
      <c r="Q980" s="66"/>
      <c r="R980" s="2"/>
      <c r="S980" s="2"/>
      <c r="T980" s="2"/>
    </row>
    <row r="981" spans="1:20">
      <c r="A981" s="3"/>
      <c r="B981" s="3"/>
      <c r="C981" s="2"/>
      <c r="D981" s="2"/>
      <c r="E981" s="64"/>
      <c r="F981" s="64"/>
      <c r="G981" s="64"/>
      <c r="H981" s="64"/>
      <c r="I981" s="2"/>
      <c r="J981" s="2"/>
      <c r="K981" s="2"/>
      <c r="L981" s="2"/>
      <c r="M981" s="2"/>
      <c r="N981" s="2"/>
      <c r="O981" s="2"/>
      <c r="P981" s="66"/>
      <c r="Q981" s="66"/>
      <c r="R981" s="2"/>
      <c r="S981" s="2"/>
      <c r="T981" s="2"/>
    </row>
    <row r="982" spans="1:20">
      <c r="A982" s="3"/>
      <c r="B982" s="3"/>
      <c r="C982" s="2"/>
      <c r="D982" s="2"/>
      <c r="E982" s="64"/>
      <c r="F982" s="64"/>
      <c r="G982" s="64"/>
      <c r="H982" s="64"/>
      <c r="I982" s="2"/>
      <c r="J982" s="2"/>
      <c r="K982" s="2"/>
      <c r="L982" s="2"/>
      <c r="M982" s="2"/>
      <c r="N982" s="2"/>
      <c r="O982" s="2"/>
      <c r="P982" s="66"/>
      <c r="Q982" s="66"/>
      <c r="R982" s="2"/>
      <c r="S982" s="2"/>
      <c r="T982" s="2"/>
    </row>
    <row r="983" spans="1:20">
      <c r="A983" s="3"/>
      <c r="B983" s="3"/>
      <c r="C983" s="2"/>
      <c r="D983" s="2"/>
      <c r="E983" s="64"/>
      <c r="F983" s="64"/>
      <c r="G983" s="64"/>
      <c r="H983" s="64"/>
      <c r="I983" s="2"/>
      <c r="J983" s="2"/>
      <c r="K983" s="2"/>
      <c r="L983" s="2"/>
      <c r="M983" s="2"/>
      <c r="N983" s="2"/>
      <c r="O983" s="2"/>
      <c r="P983" s="66"/>
      <c r="Q983" s="66"/>
      <c r="R983" s="2"/>
      <c r="S983" s="2"/>
      <c r="T983" s="2"/>
    </row>
    <row r="984" spans="1:20">
      <c r="A984" s="3"/>
      <c r="B984" s="3"/>
      <c r="C984" s="2"/>
      <c r="D984" s="2"/>
      <c r="E984" s="64"/>
      <c r="F984" s="64"/>
      <c r="G984" s="64"/>
      <c r="H984" s="64"/>
      <c r="I984" s="2"/>
      <c r="J984" s="2"/>
      <c r="K984" s="2"/>
      <c r="L984" s="2"/>
      <c r="M984" s="2"/>
      <c r="N984" s="2"/>
      <c r="O984" s="2"/>
      <c r="P984" s="66"/>
      <c r="Q984" s="66"/>
      <c r="R984" s="2"/>
      <c r="S984" s="2"/>
      <c r="T984" s="2"/>
    </row>
    <row r="985" spans="1:20">
      <c r="A985" s="3"/>
      <c r="B985" s="3"/>
      <c r="C985" s="2"/>
      <c r="D985" s="2"/>
      <c r="E985" s="64"/>
      <c r="F985" s="64"/>
      <c r="G985" s="64"/>
      <c r="H985" s="64"/>
      <c r="I985" s="2"/>
      <c r="J985" s="2"/>
      <c r="K985" s="2"/>
      <c r="L985" s="2"/>
      <c r="M985" s="2"/>
      <c r="N985" s="2"/>
      <c r="O985" s="2"/>
      <c r="P985" s="66"/>
      <c r="Q985" s="66"/>
      <c r="R985" s="2"/>
      <c r="S985" s="2"/>
      <c r="T985" s="2"/>
    </row>
    <row r="986" spans="1:20">
      <c r="A986" s="3"/>
      <c r="B986" s="3"/>
      <c r="C986" s="2"/>
      <c r="D986" s="2"/>
      <c r="E986" s="64"/>
      <c r="F986" s="64"/>
      <c r="G986" s="64"/>
      <c r="H986" s="64"/>
      <c r="I986" s="2"/>
      <c r="J986" s="2"/>
      <c r="K986" s="2"/>
      <c r="L986" s="2"/>
      <c r="M986" s="2"/>
      <c r="N986" s="2"/>
      <c r="O986" s="2"/>
      <c r="P986" s="66"/>
      <c r="Q986" s="66"/>
      <c r="R986" s="2"/>
      <c r="S986" s="2"/>
      <c r="T986" s="2"/>
    </row>
    <row r="987" spans="1:20">
      <c r="A987" s="3"/>
      <c r="B987" s="3"/>
      <c r="C987" s="2"/>
      <c r="D987" s="2"/>
      <c r="E987" s="64"/>
      <c r="F987" s="64"/>
      <c r="G987" s="64"/>
      <c r="H987" s="64"/>
      <c r="I987" s="2"/>
      <c r="J987" s="2"/>
      <c r="K987" s="2"/>
      <c r="L987" s="2"/>
      <c r="M987" s="2"/>
      <c r="N987" s="2"/>
      <c r="O987" s="2"/>
      <c r="P987" s="66"/>
      <c r="Q987" s="66"/>
      <c r="R987" s="2"/>
      <c r="S987" s="2"/>
      <c r="T987" s="2"/>
    </row>
    <row r="988" spans="1:20">
      <c r="A988" s="3"/>
      <c r="B988" s="3"/>
      <c r="C988" s="2"/>
      <c r="D988" s="2"/>
      <c r="E988" s="64"/>
      <c r="F988" s="64"/>
      <c r="G988" s="64"/>
      <c r="H988" s="64"/>
      <c r="I988" s="2"/>
      <c r="J988" s="2"/>
      <c r="K988" s="2"/>
      <c r="L988" s="2"/>
      <c r="M988" s="2"/>
      <c r="N988" s="2"/>
      <c r="O988" s="2"/>
      <c r="P988" s="66"/>
      <c r="Q988" s="66"/>
      <c r="R988" s="2"/>
      <c r="S988" s="2"/>
      <c r="T988" s="2"/>
    </row>
    <row r="989" spans="1:20">
      <c r="A989" s="3"/>
      <c r="B989" s="3"/>
      <c r="C989" s="2"/>
      <c r="D989" s="2"/>
      <c r="E989" s="64"/>
      <c r="F989" s="64"/>
      <c r="G989" s="64"/>
      <c r="H989" s="64"/>
      <c r="I989" s="2"/>
      <c r="J989" s="2"/>
      <c r="K989" s="2"/>
      <c r="L989" s="2"/>
      <c r="M989" s="2"/>
      <c r="N989" s="2"/>
      <c r="O989" s="2"/>
      <c r="P989" s="66"/>
      <c r="Q989" s="66"/>
      <c r="R989" s="2"/>
      <c r="S989" s="2"/>
      <c r="T989" s="2"/>
    </row>
    <row r="990" spans="1:20">
      <c r="A990" s="3"/>
      <c r="B990" s="3"/>
      <c r="C990" s="2"/>
      <c r="D990" s="2"/>
      <c r="E990" s="64"/>
      <c r="F990" s="64"/>
      <c r="G990" s="64"/>
      <c r="H990" s="64"/>
      <c r="I990" s="2"/>
      <c r="J990" s="2"/>
      <c r="K990" s="2"/>
      <c r="L990" s="2"/>
      <c r="M990" s="2"/>
      <c r="N990" s="2"/>
      <c r="O990" s="2"/>
      <c r="P990" s="66"/>
      <c r="Q990" s="66"/>
      <c r="R990" s="2"/>
      <c r="S990" s="2"/>
      <c r="T990" s="2"/>
    </row>
    <row r="991" spans="1:20">
      <c r="A991" s="3"/>
      <c r="B991" s="3"/>
      <c r="C991" s="2"/>
      <c r="D991" s="2"/>
      <c r="E991" s="64"/>
      <c r="F991" s="64"/>
      <c r="G991" s="64"/>
      <c r="H991" s="64"/>
      <c r="I991" s="2"/>
      <c r="J991" s="2"/>
      <c r="K991" s="2"/>
      <c r="L991" s="2"/>
      <c r="M991" s="2"/>
      <c r="N991" s="2"/>
      <c r="O991" s="2"/>
      <c r="P991" s="66"/>
      <c r="Q991" s="66"/>
      <c r="R991" s="2"/>
      <c r="S991" s="2"/>
      <c r="T991" s="2"/>
    </row>
    <row r="992" spans="1:20">
      <c r="A992" s="3"/>
      <c r="B992" s="3"/>
      <c r="C992" s="2"/>
      <c r="D992" s="2"/>
      <c r="E992" s="64"/>
      <c r="F992" s="64"/>
      <c r="G992" s="64"/>
      <c r="H992" s="64"/>
      <c r="I992" s="2"/>
      <c r="J992" s="2"/>
      <c r="K992" s="2"/>
      <c r="L992" s="2"/>
      <c r="M992" s="2"/>
      <c r="N992" s="2"/>
      <c r="O992" s="2"/>
      <c r="P992" s="66"/>
      <c r="Q992" s="66"/>
      <c r="R992" s="2"/>
      <c r="S992" s="2"/>
      <c r="T992" s="2"/>
    </row>
    <row r="993" spans="1:20">
      <c r="A993" s="3"/>
      <c r="B993" s="3"/>
      <c r="C993" s="2"/>
      <c r="D993" s="2"/>
      <c r="E993" s="64"/>
      <c r="F993" s="64"/>
      <c r="G993" s="64"/>
      <c r="H993" s="64"/>
      <c r="I993" s="2"/>
      <c r="J993" s="2"/>
      <c r="K993" s="2"/>
      <c r="L993" s="2"/>
      <c r="M993" s="2"/>
      <c r="N993" s="2"/>
      <c r="O993" s="2"/>
      <c r="P993" s="66"/>
      <c r="Q993" s="66"/>
      <c r="R993" s="2"/>
      <c r="S993" s="2"/>
      <c r="T993" s="2"/>
    </row>
    <row r="994" spans="1:20">
      <c r="A994" s="3"/>
      <c r="B994" s="3"/>
      <c r="C994" s="2"/>
      <c r="D994" s="2"/>
      <c r="E994" s="64"/>
      <c r="F994" s="64"/>
      <c r="G994" s="64"/>
      <c r="H994" s="64"/>
      <c r="I994" s="2"/>
      <c r="J994" s="2"/>
      <c r="K994" s="2"/>
      <c r="L994" s="2"/>
      <c r="M994" s="2"/>
      <c r="N994" s="2"/>
      <c r="O994" s="2"/>
      <c r="P994" s="66"/>
      <c r="Q994" s="66"/>
      <c r="R994" s="2"/>
      <c r="S994" s="2"/>
      <c r="T994" s="2"/>
    </row>
    <row r="995" spans="1:20">
      <c r="A995" s="3"/>
      <c r="B995" s="3"/>
      <c r="C995" s="2"/>
      <c r="D995" s="2"/>
      <c r="E995" s="64"/>
      <c r="F995" s="64"/>
      <c r="G995" s="64"/>
      <c r="H995" s="64"/>
      <c r="I995" s="2"/>
      <c r="J995" s="2"/>
      <c r="K995" s="2"/>
      <c r="L995" s="2"/>
      <c r="M995" s="2"/>
      <c r="N995" s="2"/>
      <c r="O995" s="2"/>
      <c r="P995" s="66"/>
      <c r="Q995" s="66"/>
      <c r="R995" s="2"/>
      <c r="S995" s="2"/>
      <c r="T995" s="2"/>
    </row>
    <row r="996" spans="1:20">
      <c r="A996" s="3"/>
      <c r="B996" s="3"/>
      <c r="C996" s="2"/>
      <c r="D996" s="2"/>
      <c r="E996" s="64"/>
      <c r="F996" s="64"/>
      <c r="G996" s="64"/>
      <c r="H996" s="64"/>
      <c r="I996" s="2"/>
      <c r="J996" s="2"/>
      <c r="K996" s="2"/>
      <c r="L996" s="2"/>
      <c r="M996" s="2"/>
      <c r="N996" s="2"/>
      <c r="O996" s="2"/>
      <c r="P996" s="66"/>
      <c r="Q996" s="66"/>
      <c r="R996" s="2"/>
      <c r="S996" s="2"/>
      <c r="T996" s="2"/>
    </row>
    <row r="997" spans="1:20">
      <c r="A997" s="3"/>
      <c r="B997" s="3"/>
      <c r="C997" s="2"/>
      <c r="D997" s="2"/>
      <c r="E997" s="64"/>
      <c r="F997" s="64"/>
      <c r="G997" s="64"/>
      <c r="H997" s="64"/>
      <c r="I997" s="2"/>
      <c r="J997" s="2"/>
      <c r="K997" s="2"/>
      <c r="L997" s="2"/>
      <c r="M997" s="2"/>
      <c r="N997" s="2"/>
      <c r="O997" s="2"/>
      <c r="P997" s="66"/>
      <c r="Q997" s="66"/>
      <c r="R997" s="2"/>
      <c r="S997" s="2"/>
      <c r="T997" s="2"/>
    </row>
    <row r="998" spans="1:20">
      <c r="A998" s="3"/>
      <c r="B998" s="3"/>
      <c r="C998" s="2"/>
      <c r="D998" s="2"/>
      <c r="E998" s="64"/>
      <c r="F998" s="64"/>
      <c r="G998" s="64"/>
      <c r="H998" s="64"/>
      <c r="I998" s="2"/>
      <c r="J998" s="2"/>
      <c r="K998" s="2"/>
      <c r="L998" s="2"/>
      <c r="M998" s="2"/>
      <c r="N998" s="2"/>
      <c r="O998" s="2"/>
      <c r="P998" s="66"/>
      <c r="Q998" s="66"/>
      <c r="R998" s="2"/>
      <c r="S998" s="2"/>
      <c r="T998" s="2"/>
    </row>
    <row r="999" spans="1:20">
      <c r="A999" s="3"/>
      <c r="B999" s="3"/>
      <c r="C999" s="2"/>
      <c r="D999" s="2"/>
      <c r="E999" s="64"/>
      <c r="F999" s="64"/>
      <c r="G999" s="64"/>
      <c r="H999" s="64"/>
      <c r="I999" s="2"/>
      <c r="J999" s="2"/>
      <c r="K999" s="2"/>
      <c r="L999" s="2"/>
      <c r="M999" s="2"/>
      <c r="N999" s="2"/>
      <c r="O999" s="2"/>
      <c r="P999" s="66"/>
      <c r="Q999" s="66"/>
      <c r="R999" s="2"/>
      <c r="S999" s="2"/>
      <c r="T999" s="2"/>
    </row>
    <row r="1000" spans="1:20">
      <c r="A1000" s="3"/>
      <c r="B1000" s="3"/>
      <c r="C1000" s="2"/>
      <c r="D1000" s="2"/>
      <c r="E1000" s="64"/>
      <c r="F1000" s="64"/>
      <c r="G1000" s="64"/>
      <c r="H1000" s="64"/>
      <c r="I1000" s="2"/>
      <c r="J1000" s="2"/>
      <c r="K1000" s="2"/>
      <c r="L1000" s="2"/>
      <c r="M1000" s="2"/>
      <c r="N1000" s="2"/>
      <c r="O1000" s="2"/>
      <c r="P1000" s="66"/>
      <c r="Q1000" s="66"/>
      <c r="R1000" s="2"/>
      <c r="S1000" s="2"/>
      <c r="T1000" s="2"/>
    </row>
    <row r="1001" spans="1:20">
      <c r="A1001" s="3"/>
      <c r="B1001" s="3"/>
      <c r="C1001" s="2"/>
      <c r="D1001" s="2"/>
      <c r="E1001" s="64"/>
      <c r="F1001" s="64"/>
      <c r="G1001" s="64"/>
      <c r="H1001" s="64"/>
      <c r="I1001" s="2"/>
      <c r="J1001" s="2"/>
      <c r="K1001" s="2"/>
      <c r="L1001" s="2"/>
      <c r="M1001" s="2"/>
      <c r="N1001" s="2"/>
      <c r="O1001" s="2"/>
      <c r="P1001" s="66"/>
      <c r="Q1001" s="66"/>
      <c r="R1001" s="2"/>
      <c r="S1001" s="2"/>
      <c r="T1001" s="2"/>
    </row>
    <row r="1002" spans="1:20">
      <c r="A1002" s="3"/>
      <c r="B1002" s="3"/>
      <c r="C1002" s="2"/>
      <c r="D1002" s="2"/>
      <c r="E1002" s="64"/>
      <c r="F1002" s="64"/>
      <c r="G1002" s="64"/>
      <c r="H1002" s="64"/>
      <c r="I1002" s="2"/>
      <c r="J1002" s="2"/>
      <c r="K1002" s="2"/>
      <c r="L1002" s="2"/>
      <c r="M1002" s="2"/>
      <c r="N1002" s="2"/>
      <c r="O1002" s="2"/>
      <c r="P1002" s="66"/>
      <c r="Q1002" s="66"/>
      <c r="R1002" s="2"/>
      <c r="S1002" s="2"/>
      <c r="T1002" s="2"/>
    </row>
    <row r="1003" spans="1:20">
      <c r="A1003" s="3"/>
      <c r="B1003" s="3"/>
      <c r="C1003" s="2"/>
      <c r="D1003" s="2"/>
      <c r="E1003" s="64"/>
      <c r="F1003" s="64"/>
      <c r="G1003" s="64"/>
      <c r="H1003" s="64"/>
      <c r="I1003" s="2"/>
      <c r="J1003" s="2"/>
      <c r="K1003" s="2"/>
      <c r="L1003" s="2"/>
      <c r="M1003" s="2"/>
      <c r="N1003" s="2"/>
      <c r="O1003" s="2"/>
      <c r="P1003" s="66"/>
      <c r="Q1003" s="66"/>
      <c r="R1003" s="2"/>
      <c r="S1003" s="2"/>
      <c r="T1003" s="2"/>
    </row>
    <row r="1004" spans="1:20">
      <c r="A1004" s="3"/>
      <c r="B1004" s="3"/>
      <c r="C1004" s="2"/>
      <c r="D1004" s="2"/>
      <c r="E1004" s="64"/>
      <c r="F1004" s="64"/>
      <c r="G1004" s="64"/>
      <c r="H1004" s="64"/>
      <c r="I1004" s="2"/>
      <c r="J1004" s="2"/>
      <c r="K1004" s="2"/>
      <c r="L1004" s="2"/>
      <c r="M1004" s="2"/>
      <c r="N1004" s="2"/>
      <c r="O1004" s="2"/>
      <c r="P1004" s="66"/>
      <c r="Q1004" s="66"/>
      <c r="R1004" s="2"/>
      <c r="S1004" s="2"/>
      <c r="T1004" s="2"/>
    </row>
    <row r="1005" spans="1:20">
      <c r="A1005" s="3"/>
      <c r="B1005" s="3"/>
      <c r="C1005" s="2"/>
      <c r="D1005" s="2"/>
      <c r="E1005" s="64"/>
      <c r="F1005" s="64"/>
      <c r="G1005" s="64"/>
      <c r="H1005" s="64"/>
      <c r="I1005" s="2"/>
      <c r="J1005" s="2"/>
      <c r="K1005" s="2"/>
      <c r="L1005" s="2"/>
      <c r="M1005" s="2"/>
      <c r="N1005" s="2"/>
      <c r="O1005" s="2"/>
      <c r="P1005" s="66"/>
      <c r="Q1005" s="66"/>
      <c r="R1005" s="2"/>
      <c r="S1005" s="2"/>
      <c r="T1005" s="2"/>
    </row>
    <row r="1006" spans="1:20">
      <c r="A1006" s="3"/>
      <c r="B1006" s="3"/>
      <c r="C1006" s="2"/>
      <c r="D1006" s="2"/>
      <c r="E1006" s="64"/>
      <c r="F1006" s="64"/>
      <c r="G1006" s="64"/>
      <c r="H1006" s="64"/>
      <c r="I1006" s="2"/>
      <c r="J1006" s="2"/>
      <c r="K1006" s="2"/>
      <c r="L1006" s="2"/>
      <c r="M1006" s="2"/>
      <c r="N1006" s="2"/>
      <c r="O1006" s="2"/>
      <c r="P1006" s="66"/>
      <c r="Q1006" s="66"/>
      <c r="R1006" s="2"/>
      <c r="S1006" s="2"/>
      <c r="T1006" s="2"/>
    </row>
    <row r="1007" spans="1:20">
      <c r="A1007" s="3"/>
      <c r="B1007" s="3"/>
      <c r="C1007" s="2"/>
      <c r="D1007" s="2"/>
      <c r="E1007" s="64"/>
      <c r="F1007" s="64"/>
      <c r="G1007" s="64"/>
      <c r="H1007" s="64"/>
      <c r="I1007" s="2"/>
      <c r="J1007" s="2"/>
      <c r="K1007" s="2"/>
      <c r="L1007" s="2"/>
      <c r="M1007" s="2"/>
      <c r="N1007" s="2"/>
      <c r="O1007" s="2"/>
      <c r="P1007" s="66"/>
      <c r="Q1007" s="66"/>
      <c r="R1007" s="2"/>
      <c r="S1007" s="2"/>
      <c r="T1007" s="2"/>
    </row>
    <row r="1008" spans="1:20">
      <c r="A1008" s="3"/>
      <c r="B1008" s="3"/>
      <c r="C1008" s="2"/>
      <c r="D1008" s="2"/>
      <c r="E1008" s="64"/>
      <c r="F1008" s="64"/>
      <c r="G1008" s="64"/>
      <c r="H1008" s="64"/>
      <c r="I1008" s="2"/>
      <c r="J1008" s="2"/>
      <c r="K1008" s="2"/>
      <c r="L1008" s="2"/>
      <c r="M1008" s="2"/>
      <c r="N1008" s="2"/>
      <c r="O1008" s="2"/>
      <c r="P1008" s="66"/>
      <c r="Q1008" s="66"/>
      <c r="R1008" s="2"/>
      <c r="S1008" s="2"/>
      <c r="T1008" s="2"/>
    </row>
    <row r="1009" spans="1:20">
      <c r="A1009" s="3"/>
      <c r="B1009" s="3"/>
      <c r="C1009" s="2"/>
      <c r="D1009" s="2"/>
      <c r="E1009" s="64"/>
      <c r="F1009" s="64"/>
      <c r="G1009" s="64"/>
      <c r="H1009" s="64"/>
      <c r="I1009" s="2"/>
      <c r="J1009" s="2"/>
      <c r="K1009" s="2"/>
      <c r="L1009" s="2"/>
      <c r="M1009" s="2"/>
      <c r="N1009" s="2"/>
      <c r="O1009" s="2"/>
      <c r="P1009" s="66"/>
      <c r="Q1009" s="66"/>
      <c r="R1009" s="2"/>
      <c r="S1009" s="2"/>
      <c r="T1009" s="2"/>
    </row>
    <row r="1010" spans="1:20">
      <c r="A1010" s="3"/>
      <c r="B1010" s="3"/>
      <c r="C1010" s="2"/>
      <c r="D1010" s="2"/>
      <c r="E1010" s="64"/>
      <c r="F1010" s="64"/>
      <c r="G1010" s="64"/>
      <c r="H1010" s="64"/>
      <c r="I1010" s="2"/>
      <c r="J1010" s="2"/>
      <c r="K1010" s="2"/>
      <c r="L1010" s="2"/>
      <c r="M1010" s="2"/>
      <c r="N1010" s="2"/>
      <c r="O1010" s="2"/>
      <c r="P1010" s="66"/>
      <c r="Q1010" s="66"/>
      <c r="R1010" s="2"/>
      <c r="S1010" s="2"/>
      <c r="T1010" s="2"/>
    </row>
    <row r="1011" spans="1:20">
      <c r="A1011" s="3"/>
      <c r="B1011" s="3"/>
      <c r="C1011" s="2"/>
      <c r="D1011" s="2"/>
      <c r="E1011" s="64"/>
      <c r="F1011" s="64"/>
      <c r="G1011" s="64"/>
      <c r="H1011" s="64"/>
      <c r="I1011" s="2"/>
      <c r="J1011" s="2"/>
      <c r="K1011" s="2"/>
      <c r="L1011" s="2"/>
      <c r="M1011" s="2"/>
      <c r="N1011" s="2"/>
      <c r="O1011" s="2"/>
      <c r="P1011" s="66"/>
      <c r="Q1011" s="66"/>
      <c r="R1011" s="2"/>
      <c r="S1011" s="2"/>
      <c r="T1011" s="2"/>
    </row>
    <row r="1012" spans="1:20">
      <c r="A1012" s="3"/>
      <c r="B1012" s="3"/>
      <c r="C1012" s="2"/>
      <c r="D1012" s="2"/>
      <c r="E1012" s="64"/>
      <c r="F1012" s="64"/>
      <c r="G1012" s="64"/>
      <c r="H1012" s="64"/>
      <c r="I1012" s="2"/>
      <c r="J1012" s="2"/>
      <c r="K1012" s="2"/>
      <c r="L1012" s="2"/>
      <c r="M1012" s="2"/>
      <c r="N1012" s="2"/>
      <c r="O1012" s="2"/>
      <c r="P1012" s="66"/>
      <c r="Q1012" s="66"/>
      <c r="R1012" s="2"/>
      <c r="S1012" s="2"/>
      <c r="T1012" s="2"/>
    </row>
    <row r="1013" spans="1:20">
      <c r="A1013" s="3"/>
      <c r="B1013" s="3"/>
      <c r="C1013" s="2"/>
      <c r="D1013" s="2"/>
      <c r="E1013" s="64"/>
      <c r="F1013" s="64"/>
      <c r="G1013" s="64"/>
      <c r="H1013" s="64"/>
      <c r="I1013" s="2"/>
      <c r="J1013" s="2"/>
      <c r="K1013" s="2"/>
      <c r="L1013" s="2"/>
      <c r="M1013" s="2"/>
      <c r="N1013" s="2"/>
      <c r="O1013" s="2"/>
      <c r="P1013" s="66"/>
      <c r="Q1013" s="66"/>
      <c r="R1013" s="2"/>
      <c r="S1013" s="2"/>
      <c r="T1013" s="2"/>
    </row>
    <row r="1014" spans="1:20">
      <c r="A1014" s="3"/>
      <c r="B1014" s="3"/>
      <c r="C1014" s="2"/>
      <c r="D1014" s="2"/>
      <c r="E1014" s="64"/>
      <c r="F1014" s="64"/>
      <c r="G1014" s="64"/>
      <c r="H1014" s="64"/>
      <c r="I1014" s="2"/>
      <c r="J1014" s="2"/>
      <c r="K1014" s="2"/>
      <c r="L1014" s="2"/>
      <c r="M1014" s="2"/>
      <c r="N1014" s="2"/>
      <c r="O1014" s="2"/>
      <c r="P1014" s="66"/>
      <c r="Q1014" s="66"/>
      <c r="R1014" s="2"/>
      <c r="S1014" s="2"/>
      <c r="T1014" s="2"/>
    </row>
    <row r="1015" spans="1:20">
      <c r="A1015" s="3"/>
      <c r="B1015" s="3"/>
      <c r="C1015" s="2"/>
      <c r="D1015" s="2"/>
      <c r="E1015" s="64"/>
      <c r="F1015" s="64"/>
      <c r="G1015" s="64"/>
      <c r="H1015" s="64"/>
      <c r="I1015" s="2"/>
      <c r="J1015" s="2"/>
      <c r="K1015" s="2"/>
      <c r="L1015" s="2"/>
      <c r="M1015" s="2"/>
      <c r="N1015" s="2"/>
      <c r="O1015" s="2"/>
      <c r="P1015" s="66"/>
      <c r="Q1015" s="66"/>
      <c r="R1015" s="2"/>
      <c r="S1015" s="2"/>
      <c r="T1015" s="2"/>
    </row>
    <row r="1016" spans="1:20">
      <c r="A1016" s="3"/>
      <c r="B1016" s="3"/>
      <c r="C1016" s="2"/>
      <c r="D1016" s="2"/>
      <c r="E1016" s="64"/>
      <c r="F1016" s="64"/>
      <c r="G1016" s="64"/>
      <c r="H1016" s="64"/>
      <c r="I1016" s="2"/>
      <c r="J1016" s="2"/>
      <c r="K1016" s="2"/>
      <c r="L1016" s="2"/>
      <c r="M1016" s="2"/>
      <c r="N1016" s="2"/>
      <c r="O1016" s="2"/>
      <c r="P1016" s="66"/>
      <c r="Q1016" s="66"/>
      <c r="R1016" s="2"/>
      <c r="S1016" s="2"/>
      <c r="T1016" s="2"/>
    </row>
    <row r="1017" spans="1:20">
      <c r="A1017" s="3"/>
      <c r="B1017" s="3"/>
      <c r="C1017" s="2"/>
      <c r="D1017" s="2"/>
      <c r="E1017" s="64"/>
      <c r="F1017" s="64"/>
      <c r="G1017" s="64"/>
      <c r="H1017" s="64"/>
      <c r="I1017" s="2"/>
      <c r="J1017" s="2"/>
      <c r="K1017" s="2"/>
      <c r="L1017" s="2"/>
      <c r="M1017" s="2"/>
      <c r="N1017" s="2"/>
      <c r="O1017" s="2"/>
      <c r="P1017" s="66"/>
      <c r="Q1017" s="66"/>
      <c r="R1017" s="2"/>
      <c r="S1017" s="2"/>
      <c r="T1017" s="2"/>
    </row>
    <row r="1018" spans="1:20">
      <c r="A1018" s="3"/>
      <c r="B1018" s="3"/>
      <c r="C1018" s="2"/>
      <c r="D1018" s="2"/>
      <c r="E1018" s="64"/>
      <c r="F1018" s="64"/>
      <c r="G1018" s="64"/>
      <c r="H1018" s="64"/>
      <c r="I1018" s="2"/>
      <c r="J1018" s="2"/>
      <c r="K1018" s="2"/>
      <c r="L1018" s="2"/>
      <c r="M1018" s="2"/>
      <c r="N1018" s="2"/>
      <c r="O1018" s="2"/>
      <c r="P1018" s="66"/>
      <c r="Q1018" s="66"/>
      <c r="R1018" s="2"/>
      <c r="S1018" s="2"/>
      <c r="T1018" s="2"/>
    </row>
    <row r="1019" spans="1:20">
      <c r="A1019" s="3"/>
      <c r="B1019" s="3"/>
      <c r="C1019" s="2"/>
      <c r="D1019" s="2"/>
      <c r="E1019" s="64"/>
      <c r="F1019" s="64"/>
      <c r="G1019" s="64"/>
      <c r="H1019" s="64"/>
      <c r="I1019" s="2"/>
      <c r="J1019" s="2"/>
      <c r="K1019" s="2"/>
      <c r="L1019" s="2"/>
      <c r="M1019" s="2"/>
      <c r="N1019" s="2"/>
      <c r="O1019" s="2"/>
      <c r="P1019" s="66"/>
      <c r="Q1019" s="66"/>
      <c r="R1019" s="2"/>
      <c r="S1019" s="2"/>
      <c r="T1019" s="2"/>
    </row>
    <row r="1020" spans="1:20">
      <c r="A1020" s="3"/>
      <c r="B1020" s="3"/>
      <c r="C1020" s="2"/>
      <c r="D1020" s="2"/>
      <c r="E1020" s="64"/>
      <c r="F1020" s="64"/>
      <c r="G1020" s="64"/>
      <c r="H1020" s="64"/>
      <c r="I1020" s="2"/>
      <c r="J1020" s="2"/>
      <c r="K1020" s="2"/>
      <c r="L1020" s="2"/>
      <c r="M1020" s="2"/>
      <c r="N1020" s="2"/>
      <c r="O1020" s="2"/>
      <c r="P1020" s="66"/>
      <c r="Q1020" s="66"/>
      <c r="R1020" s="2"/>
      <c r="S1020" s="2"/>
      <c r="T1020" s="2"/>
    </row>
    <row r="1021" spans="1:20">
      <c r="A1021" s="3"/>
      <c r="B1021" s="3"/>
      <c r="C1021" s="2"/>
      <c r="D1021" s="2"/>
      <c r="E1021" s="64"/>
      <c r="F1021" s="64"/>
      <c r="G1021" s="64"/>
      <c r="H1021" s="64"/>
      <c r="I1021" s="2"/>
      <c r="J1021" s="2"/>
      <c r="K1021" s="2"/>
      <c r="L1021" s="2"/>
      <c r="M1021" s="2"/>
      <c r="N1021" s="2"/>
      <c r="O1021" s="2"/>
      <c r="P1021" s="66"/>
      <c r="Q1021" s="66"/>
      <c r="R1021" s="2"/>
      <c r="S1021" s="2"/>
      <c r="T1021" s="2"/>
    </row>
    <row r="1022" spans="1:20">
      <c r="A1022" s="3"/>
      <c r="B1022" s="3"/>
      <c r="C1022" s="2"/>
      <c r="D1022" s="2"/>
      <c r="E1022" s="64"/>
      <c r="F1022" s="64"/>
      <c r="G1022" s="64"/>
      <c r="H1022" s="64"/>
      <c r="I1022" s="2"/>
      <c r="J1022" s="2"/>
      <c r="K1022" s="2"/>
      <c r="L1022" s="2"/>
      <c r="M1022" s="2"/>
      <c r="N1022" s="2"/>
      <c r="O1022" s="2"/>
      <c r="P1022" s="66"/>
      <c r="Q1022" s="66"/>
      <c r="R1022" s="2"/>
      <c r="S1022" s="2"/>
      <c r="T1022" s="2"/>
    </row>
    <row r="1023" spans="1:20">
      <c r="A1023" s="3"/>
      <c r="B1023" s="3"/>
      <c r="C1023" s="2"/>
      <c r="D1023" s="2"/>
      <c r="E1023" s="64"/>
      <c r="F1023" s="64"/>
      <c r="G1023" s="64"/>
      <c r="H1023" s="64"/>
      <c r="I1023" s="2"/>
      <c r="J1023" s="2"/>
      <c r="K1023" s="2"/>
      <c r="L1023" s="2"/>
      <c r="M1023" s="2"/>
      <c r="N1023" s="2"/>
      <c r="O1023" s="2"/>
      <c r="P1023" s="66"/>
      <c r="Q1023" s="66"/>
      <c r="R1023" s="2"/>
      <c r="S1023" s="2"/>
      <c r="T1023" s="2"/>
    </row>
    <row r="1024" spans="1:20">
      <c r="A1024" s="3"/>
      <c r="B1024" s="3"/>
      <c r="C1024" s="2"/>
      <c r="D1024" s="2"/>
      <c r="E1024" s="64"/>
      <c r="F1024" s="64"/>
      <c r="G1024" s="64"/>
      <c r="H1024" s="64"/>
      <c r="I1024" s="2"/>
      <c r="J1024" s="2"/>
      <c r="K1024" s="2"/>
      <c r="L1024" s="2"/>
      <c r="M1024" s="2"/>
      <c r="N1024" s="2"/>
      <c r="O1024" s="2"/>
      <c r="P1024" s="66"/>
      <c r="Q1024" s="66"/>
      <c r="R1024" s="2"/>
      <c r="S1024" s="2"/>
      <c r="T1024" s="2"/>
    </row>
    <row r="1025" spans="1:20">
      <c r="A1025" s="3"/>
      <c r="B1025" s="3"/>
      <c r="C1025" s="2"/>
      <c r="D1025" s="2"/>
      <c r="E1025" s="64"/>
      <c r="F1025" s="64"/>
      <c r="G1025" s="64"/>
      <c r="H1025" s="64"/>
      <c r="I1025" s="2"/>
      <c r="J1025" s="2"/>
      <c r="K1025" s="2"/>
      <c r="L1025" s="2"/>
      <c r="M1025" s="2"/>
      <c r="N1025" s="2"/>
      <c r="O1025" s="2"/>
      <c r="P1025" s="66"/>
      <c r="Q1025" s="66"/>
      <c r="R1025" s="2"/>
      <c r="S1025" s="2"/>
      <c r="T1025" s="2"/>
    </row>
    <row r="1026" spans="1:20">
      <c r="A1026" s="3"/>
      <c r="B1026" s="3"/>
      <c r="C1026" s="2"/>
      <c r="D1026" s="2"/>
      <c r="E1026" s="64"/>
      <c r="F1026" s="64"/>
      <c r="G1026" s="64"/>
      <c r="H1026" s="64"/>
      <c r="I1026" s="2"/>
      <c r="J1026" s="2"/>
      <c r="K1026" s="2"/>
      <c r="L1026" s="2"/>
      <c r="M1026" s="2"/>
      <c r="N1026" s="2"/>
      <c r="O1026" s="2"/>
      <c r="P1026" s="66"/>
      <c r="Q1026" s="66"/>
      <c r="R1026" s="2"/>
      <c r="S1026" s="2"/>
      <c r="T1026" s="2"/>
    </row>
    <row r="1027" spans="1:20">
      <c r="A1027" s="3"/>
      <c r="B1027" s="3"/>
      <c r="C1027" s="2"/>
      <c r="D1027" s="2"/>
      <c r="E1027" s="64"/>
      <c r="F1027" s="64"/>
      <c r="G1027" s="64"/>
      <c r="H1027" s="64"/>
      <c r="I1027" s="2"/>
      <c r="J1027" s="2"/>
      <c r="K1027" s="2"/>
      <c r="L1027" s="2"/>
      <c r="M1027" s="2"/>
      <c r="N1027" s="2"/>
      <c r="O1027" s="2"/>
      <c r="P1027" s="66"/>
      <c r="Q1027" s="66"/>
      <c r="R1027" s="2"/>
      <c r="S1027" s="2"/>
      <c r="T1027" s="2"/>
    </row>
    <row r="1028" spans="1:20">
      <c r="A1028" s="3"/>
      <c r="B1028" s="3"/>
      <c r="C1028" s="2"/>
      <c r="D1028" s="2"/>
      <c r="E1028" s="64"/>
      <c r="F1028" s="64"/>
      <c r="G1028" s="64"/>
      <c r="H1028" s="64"/>
      <c r="I1028" s="2"/>
      <c r="J1028" s="2"/>
      <c r="K1028" s="2"/>
      <c r="L1028" s="2"/>
      <c r="M1028" s="2"/>
      <c r="N1028" s="2"/>
      <c r="O1028" s="2"/>
      <c r="P1028" s="66"/>
      <c r="Q1028" s="66"/>
      <c r="R1028" s="2"/>
      <c r="S1028" s="2"/>
      <c r="T1028" s="2"/>
    </row>
    <row r="1029" spans="1:20">
      <c r="A1029" s="3"/>
      <c r="B1029" s="3"/>
      <c r="C1029" s="2"/>
      <c r="D1029" s="2"/>
      <c r="E1029" s="64"/>
      <c r="F1029" s="64"/>
      <c r="G1029" s="64"/>
      <c r="H1029" s="64"/>
      <c r="I1029" s="2"/>
      <c r="J1029" s="2"/>
      <c r="K1029" s="2"/>
      <c r="L1029" s="2"/>
      <c r="M1029" s="2"/>
      <c r="N1029" s="2"/>
      <c r="O1029" s="2"/>
      <c r="P1029" s="66"/>
      <c r="Q1029" s="66"/>
      <c r="R1029" s="2"/>
      <c r="S1029" s="2"/>
      <c r="T1029" s="2"/>
    </row>
    <row r="1030" spans="1:20">
      <c r="A1030" s="3"/>
      <c r="B1030" s="3"/>
      <c r="C1030" s="2"/>
      <c r="D1030" s="2"/>
      <c r="E1030" s="64"/>
      <c r="F1030" s="64"/>
      <c r="G1030" s="64"/>
      <c r="H1030" s="64"/>
      <c r="I1030" s="2"/>
      <c r="J1030" s="2"/>
      <c r="K1030" s="2"/>
      <c r="L1030" s="2"/>
      <c r="M1030" s="2"/>
      <c r="N1030" s="2"/>
      <c r="O1030" s="2"/>
      <c r="P1030" s="66"/>
      <c r="Q1030" s="66"/>
      <c r="R1030" s="2"/>
      <c r="S1030" s="2"/>
      <c r="T1030" s="2"/>
    </row>
    <row r="1031" spans="1:20">
      <c r="A1031" s="3"/>
      <c r="B1031" s="3"/>
      <c r="C1031" s="2"/>
      <c r="D1031" s="2"/>
      <c r="E1031" s="64"/>
      <c r="F1031" s="64"/>
      <c r="G1031" s="64"/>
      <c r="H1031" s="64"/>
      <c r="I1031" s="2"/>
      <c r="J1031" s="2"/>
      <c r="K1031" s="2"/>
      <c r="L1031" s="2"/>
      <c r="M1031" s="2"/>
      <c r="N1031" s="2"/>
      <c r="O1031" s="2"/>
      <c r="P1031" s="66"/>
      <c r="Q1031" s="66"/>
      <c r="R1031" s="2"/>
      <c r="S1031" s="2"/>
      <c r="T1031" s="2"/>
    </row>
    <row r="1032" spans="1:20">
      <c r="A1032" s="3"/>
      <c r="B1032" s="3"/>
      <c r="C1032" s="2"/>
      <c r="D1032" s="2"/>
      <c r="E1032" s="64"/>
      <c r="F1032" s="64"/>
      <c r="G1032" s="64"/>
      <c r="H1032" s="64"/>
      <c r="I1032" s="2"/>
      <c r="J1032" s="2"/>
      <c r="K1032" s="2"/>
      <c r="L1032" s="2"/>
      <c r="M1032" s="2"/>
      <c r="N1032" s="2"/>
      <c r="O1032" s="2"/>
      <c r="P1032" s="66"/>
      <c r="Q1032" s="66"/>
      <c r="R1032" s="2"/>
      <c r="S1032" s="2"/>
      <c r="T1032" s="2"/>
    </row>
    <row r="1033" spans="1:20">
      <c r="A1033" s="3"/>
      <c r="B1033" s="3"/>
      <c r="C1033" s="2"/>
      <c r="D1033" s="2"/>
      <c r="E1033" s="64"/>
      <c r="F1033" s="64"/>
      <c r="G1033" s="64"/>
      <c r="H1033" s="64"/>
      <c r="I1033" s="2"/>
      <c r="J1033" s="2"/>
      <c r="K1033" s="2"/>
      <c r="L1033" s="2"/>
      <c r="M1033" s="2"/>
      <c r="N1033" s="2"/>
      <c r="O1033" s="2"/>
      <c r="P1033" s="66"/>
      <c r="Q1033" s="66"/>
      <c r="R1033" s="2"/>
      <c r="S1033" s="2"/>
      <c r="T1033" s="2"/>
    </row>
    <row r="1034" spans="1:20">
      <c r="A1034" s="3"/>
      <c r="B1034" s="3"/>
      <c r="C1034" s="2"/>
      <c r="D1034" s="2"/>
      <c r="E1034" s="64"/>
      <c r="F1034" s="64"/>
      <c r="G1034" s="64"/>
      <c r="H1034" s="64"/>
      <c r="I1034" s="2"/>
      <c r="J1034" s="2"/>
      <c r="K1034" s="2"/>
      <c r="L1034" s="2"/>
      <c r="M1034" s="2"/>
      <c r="N1034" s="2"/>
      <c r="O1034" s="2"/>
      <c r="P1034" s="66"/>
      <c r="Q1034" s="66"/>
      <c r="R1034" s="2"/>
      <c r="S1034" s="2"/>
      <c r="T1034" s="2"/>
    </row>
    <row r="1035" spans="1:20">
      <c r="A1035" s="3"/>
      <c r="B1035" s="3"/>
      <c r="C1035" s="2"/>
      <c r="D1035" s="2"/>
      <c r="E1035" s="64"/>
      <c r="F1035" s="64"/>
      <c r="G1035" s="64"/>
      <c r="H1035" s="64"/>
      <c r="I1035" s="2"/>
      <c r="J1035" s="2"/>
      <c r="K1035" s="2"/>
      <c r="L1035" s="2"/>
      <c r="M1035" s="2"/>
      <c r="N1035" s="2"/>
      <c r="O1035" s="2"/>
      <c r="P1035" s="66"/>
      <c r="Q1035" s="66"/>
      <c r="R1035" s="2"/>
      <c r="S1035" s="2"/>
      <c r="T1035" s="2"/>
    </row>
    <row r="1036" spans="1:20">
      <c r="A1036" s="3"/>
      <c r="B1036" s="3"/>
      <c r="C1036" s="2"/>
      <c r="D1036" s="2"/>
      <c r="E1036" s="64"/>
      <c r="F1036" s="64"/>
      <c r="G1036" s="64"/>
      <c r="H1036" s="64"/>
      <c r="I1036" s="2"/>
      <c r="J1036" s="2"/>
      <c r="K1036" s="2"/>
      <c r="L1036" s="2"/>
      <c r="M1036" s="2"/>
      <c r="N1036" s="2"/>
      <c r="O1036" s="2"/>
      <c r="P1036" s="66"/>
      <c r="Q1036" s="66"/>
      <c r="R1036" s="2"/>
      <c r="S1036" s="2"/>
      <c r="T1036" s="2"/>
    </row>
    <row r="1037" spans="1:20">
      <c r="A1037" s="3"/>
      <c r="B1037" s="3"/>
      <c r="C1037" s="2"/>
      <c r="D1037" s="2"/>
      <c r="E1037" s="64"/>
      <c r="F1037" s="64"/>
      <c r="G1037" s="64"/>
      <c r="H1037" s="64"/>
      <c r="I1037" s="2"/>
      <c r="J1037" s="2"/>
      <c r="K1037" s="2"/>
      <c r="L1037" s="2"/>
      <c r="M1037" s="2"/>
      <c r="N1037" s="2"/>
      <c r="O1037" s="2"/>
      <c r="P1037" s="66"/>
      <c r="Q1037" s="66"/>
      <c r="R1037" s="2"/>
      <c r="S1037" s="2"/>
      <c r="T1037" s="2"/>
    </row>
    <row r="1038" spans="1:20">
      <c r="A1038" s="3"/>
      <c r="B1038" s="3"/>
      <c r="C1038" s="2"/>
      <c r="D1038" s="2"/>
      <c r="E1038" s="64"/>
      <c r="F1038" s="64"/>
      <c r="G1038" s="64"/>
      <c r="H1038" s="64"/>
      <c r="I1038" s="2"/>
      <c r="J1038" s="2"/>
      <c r="K1038" s="2"/>
      <c r="L1038" s="2"/>
      <c r="M1038" s="2"/>
      <c r="N1038" s="2"/>
      <c r="O1038" s="2"/>
      <c r="P1038" s="66"/>
      <c r="Q1038" s="66"/>
      <c r="R1038" s="2"/>
      <c r="S1038" s="2"/>
      <c r="T1038" s="2"/>
    </row>
    <row r="1039" spans="1:20">
      <c r="A1039" s="3"/>
      <c r="B1039" s="3"/>
      <c r="C1039" s="2"/>
      <c r="D1039" s="2"/>
      <c r="E1039" s="64"/>
      <c r="F1039" s="64"/>
      <c r="G1039" s="64"/>
      <c r="H1039" s="64"/>
      <c r="I1039" s="2"/>
      <c r="J1039" s="2"/>
      <c r="K1039" s="2"/>
      <c r="L1039" s="2"/>
      <c r="M1039" s="2"/>
      <c r="N1039" s="2"/>
      <c r="O1039" s="2"/>
      <c r="P1039" s="66"/>
      <c r="Q1039" s="66"/>
      <c r="R1039" s="2"/>
      <c r="S1039" s="2"/>
      <c r="T1039" s="2"/>
    </row>
    <row r="1040" spans="1:20">
      <c r="A1040" s="3"/>
      <c r="B1040" s="3"/>
      <c r="C1040" s="2"/>
      <c r="D1040" s="2"/>
      <c r="E1040" s="64"/>
      <c r="F1040" s="64"/>
      <c r="G1040" s="64"/>
      <c r="H1040" s="64"/>
      <c r="I1040" s="2"/>
      <c r="J1040" s="2"/>
      <c r="K1040" s="2"/>
      <c r="L1040" s="2"/>
      <c r="M1040" s="2"/>
      <c r="N1040" s="2"/>
      <c r="O1040" s="2"/>
      <c r="P1040" s="66"/>
      <c r="Q1040" s="66"/>
      <c r="R1040" s="2"/>
      <c r="S1040" s="2"/>
      <c r="T1040" s="2"/>
    </row>
    <row r="1041" spans="1:20">
      <c r="A1041" s="3"/>
      <c r="B1041" s="3"/>
      <c r="C1041" s="2"/>
      <c r="D1041" s="2"/>
      <c r="E1041" s="64"/>
      <c r="F1041" s="64"/>
      <c r="G1041" s="64"/>
      <c r="H1041" s="64"/>
      <c r="I1041" s="2"/>
      <c r="J1041" s="2"/>
      <c r="K1041" s="2"/>
      <c r="L1041" s="2"/>
      <c r="M1041" s="2"/>
      <c r="N1041" s="2"/>
      <c r="O1041" s="2"/>
      <c r="P1041" s="66"/>
      <c r="Q1041" s="66"/>
      <c r="R1041" s="2"/>
      <c r="S1041" s="2"/>
      <c r="T1041" s="2"/>
    </row>
    <row r="1042" spans="1:20">
      <c r="A1042" s="3"/>
      <c r="B1042" s="3"/>
      <c r="C1042" s="2"/>
      <c r="D1042" s="2"/>
      <c r="E1042" s="64"/>
      <c r="F1042" s="64"/>
      <c r="G1042" s="64"/>
      <c r="H1042" s="64"/>
      <c r="I1042" s="2"/>
      <c r="J1042" s="2"/>
      <c r="K1042" s="2"/>
      <c r="L1042" s="2"/>
      <c r="M1042" s="2"/>
      <c r="N1042" s="2"/>
      <c r="O1042" s="2"/>
      <c r="P1042" s="66"/>
      <c r="Q1042" s="66"/>
      <c r="R1042" s="2"/>
      <c r="S1042" s="2"/>
      <c r="T1042" s="2"/>
    </row>
    <row r="1043" spans="1:20">
      <c r="A1043" s="3"/>
      <c r="B1043" s="3"/>
      <c r="C1043" s="2"/>
      <c r="D1043" s="2"/>
      <c r="E1043" s="64"/>
      <c r="F1043" s="64"/>
      <c r="G1043" s="64"/>
      <c r="H1043" s="64"/>
      <c r="I1043" s="2"/>
      <c r="J1043" s="2"/>
      <c r="K1043" s="2"/>
      <c r="L1043" s="2"/>
      <c r="M1043" s="2"/>
      <c r="N1043" s="2"/>
      <c r="O1043" s="2"/>
      <c r="P1043" s="66"/>
      <c r="Q1043" s="66"/>
      <c r="R1043" s="2"/>
      <c r="S1043" s="2"/>
      <c r="T1043" s="2"/>
    </row>
    <row r="1044" spans="1:20">
      <c r="A1044" s="3"/>
      <c r="B1044" s="3"/>
      <c r="C1044" s="2"/>
      <c r="D1044" s="2"/>
      <c r="E1044" s="64"/>
      <c r="F1044" s="64"/>
      <c r="G1044" s="64"/>
      <c r="H1044" s="64"/>
      <c r="I1044" s="2"/>
      <c r="J1044" s="2"/>
      <c r="K1044" s="2"/>
      <c r="L1044" s="2"/>
      <c r="M1044" s="2"/>
      <c r="N1044" s="2"/>
      <c r="O1044" s="2"/>
      <c r="P1044" s="66"/>
      <c r="Q1044" s="66"/>
      <c r="R1044" s="2"/>
      <c r="S1044" s="2"/>
      <c r="T1044" s="2"/>
    </row>
    <row r="1045" spans="1:20">
      <c r="A1045" s="3"/>
      <c r="B1045" s="3"/>
      <c r="C1045" s="2"/>
      <c r="D1045" s="2"/>
      <c r="E1045" s="64"/>
      <c r="F1045" s="64"/>
      <c r="G1045" s="64"/>
      <c r="H1045" s="64"/>
      <c r="I1045" s="2"/>
      <c r="J1045" s="2"/>
      <c r="K1045" s="2"/>
      <c r="L1045" s="2"/>
      <c r="M1045" s="2"/>
      <c r="N1045" s="2"/>
      <c r="O1045" s="2"/>
      <c r="P1045" s="66"/>
      <c r="Q1045" s="66"/>
      <c r="R1045" s="2"/>
      <c r="S1045" s="2"/>
      <c r="T1045" s="2"/>
    </row>
    <row r="1046" spans="1:20">
      <c r="A1046" s="3"/>
      <c r="B1046" s="3"/>
      <c r="C1046" s="2"/>
      <c r="D1046" s="2"/>
      <c r="E1046" s="64"/>
      <c r="F1046" s="64"/>
      <c r="G1046" s="64"/>
      <c r="H1046" s="64"/>
      <c r="I1046" s="2"/>
      <c r="J1046" s="2"/>
      <c r="K1046" s="2"/>
      <c r="L1046" s="2"/>
      <c r="M1046" s="2"/>
      <c r="N1046" s="2"/>
      <c r="O1046" s="2"/>
      <c r="P1046" s="66"/>
      <c r="Q1046" s="66"/>
      <c r="R1046" s="2"/>
      <c r="S1046" s="2"/>
      <c r="T1046" s="2"/>
    </row>
    <row r="1047" spans="1:20">
      <c r="A1047" s="3"/>
      <c r="B1047" s="3"/>
      <c r="C1047" s="2"/>
      <c r="D1047" s="2"/>
      <c r="E1047" s="64"/>
      <c r="F1047" s="64"/>
      <c r="G1047" s="64"/>
      <c r="H1047" s="64"/>
      <c r="I1047" s="2"/>
      <c r="J1047" s="2"/>
      <c r="K1047" s="2"/>
      <c r="L1047" s="2"/>
      <c r="M1047" s="2"/>
      <c r="N1047" s="2"/>
      <c r="O1047" s="2"/>
      <c r="P1047" s="66"/>
      <c r="Q1047" s="66"/>
      <c r="R1047" s="2"/>
      <c r="S1047" s="2"/>
      <c r="T1047" s="2"/>
    </row>
    <row r="1048" spans="1:20">
      <c r="A1048" s="3"/>
      <c r="B1048" s="3"/>
      <c r="C1048" s="2"/>
      <c r="D1048" s="2"/>
      <c r="E1048" s="64"/>
      <c r="F1048" s="64"/>
      <c r="G1048" s="64"/>
      <c r="H1048" s="64"/>
      <c r="I1048" s="2"/>
      <c r="J1048" s="2"/>
      <c r="K1048" s="2"/>
      <c r="L1048" s="2"/>
      <c r="M1048" s="2"/>
      <c r="N1048" s="2"/>
      <c r="O1048" s="2"/>
      <c r="P1048" s="66"/>
      <c r="Q1048" s="66"/>
      <c r="R1048" s="2"/>
      <c r="S1048" s="2"/>
      <c r="T1048" s="2"/>
    </row>
    <row r="1049" spans="1:20">
      <c r="A1049" s="3"/>
      <c r="B1049" s="3"/>
      <c r="C1049" s="2"/>
      <c r="D1049" s="2"/>
      <c r="E1049" s="64"/>
      <c r="F1049" s="64"/>
      <c r="G1049" s="64"/>
      <c r="H1049" s="64"/>
      <c r="I1049" s="2"/>
      <c r="J1049" s="2"/>
      <c r="K1049" s="2"/>
      <c r="L1049" s="2"/>
      <c r="M1049" s="2"/>
      <c r="N1049" s="2"/>
      <c r="O1049" s="2"/>
      <c r="P1049" s="66"/>
      <c r="Q1049" s="66"/>
      <c r="R1049" s="2"/>
      <c r="S1049" s="2"/>
      <c r="T1049" s="2"/>
    </row>
    <row r="1050" spans="1:20">
      <c r="A1050" s="3"/>
      <c r="B1050" s="3"/>
      <c r="C1050" s="2"/>
      <c r="D1050" s="2"/>
      <c r="E1050" s="64"/>
      <c r="F1050" s="64"/>
      <c r="G1050" s="64"/>
      <c r="H1050" s="64"/>
      <c r="I1050" s="2"/>
      <c r="J1050" s="2"/>
      <c r="K1050" s="2"/>
      <c r="L1050" s="2"/>
      <c r="M1050" s="2"/>
      <c r="N1050" s="2"/>
      <c r="O1050" s="2"/>
      <c r="P1050" s="66"/>
      <c r="Q1050" s="66"/>
      <c r="R1050" s="2"/>
      <c r="S1050" s="2"/>
      <c r="T1050" s="2"/>
    </row>
    <row r="1051" spans="1:20">
      <c r="A1051" s="3"/>
      <c r="B1051" s="3"/>
      <c r="C1051" s="2"/>
      <c r="D1051" s="2"/>
      <c r="E1051" s="64"/>
      <c r="F1051" s="64"/>
      <c r="G1051" s="64"/>
      <c r="H1051" s="64"/>
      <c r="I1051" s="2"/>
      <c r="J1051" s="2"/>
      <c r="K1051" s="2"/>
      <c r="L1051" s="2"/>
      <c r="M1051" s="2"/>
      <c r="N1051" s="2"/>
      <c r="O1051" s="2"/>
      <c r="P1051" s="66"/>
      <c r="Q1051" s="66"/>
      <c r="R1051" s="2"/>
      <c r="S1051" s="2"/>
      <c r="T1051" s="2"/>
    </row>
    <row r="1052" spans="1:20">
      <c r="A1052" s="3"/>
      <c r="B1052" s="3"/>
      <c r="C1052" s="2"/>
      <c r="D1052" s="2"/>
      <c r="E1052" s="64"/>
      <c r="F1052" s="64"/>
      <c r="G1052" s="64"/>
      <c r="H1052" s="64"/>
      <c r="I1052" s="2"/>
      <c r="J1052" s="2"/>
      <c r="K1052" s="2"/>
      <c r="L1052" s="2"/>
      <c r="M1052" s="2"/>
      <c r="N1052" s="2"/>
      <c r="O1052" s="2"/>
      <c r="P1052" s="66"/>
      <c r="Q1052" s="66"/>
      <c r="R1052" s="2"/>
      <c r="S1052" s="2"/>
      <c r="T1052" s="2"/>
    </row>
    <row r="1053" spans="1:20">
      <c r="A1053" s="3"/>
      <c r="B1053" s="3"/>
      <c r="C1053" s="2"/>
      <c r="D1053" s="2"/>
      <c r="E1053" s="64"/>
      <c r="F1053" s="64"/>
      <c r="G1053" s="64"/>
      <c r="H1053" s="64"/>
      <c r="I1053" s="2"/>
      <c r="J1053" s="2"/>
      <c r="K1053" s="2"/>
      <c r="L1053" s="2"/>
      <c r="M1053" s="2"/>
      <c r="N1053" s="2"/>
      <c r="O1053" s="2"/>
      <c r="P1053" s="66"/>
      <c r="Q1053" s="66"/>
      <c r="R1053" s="2"/>
      <c r="S1053" s="2"/>
      <c r="T1053" s="2"/>
    </row>
    <row r="1054" spans="1:20">
      <c r="A1054" s="3"/>
      <c r="B1054" s="3"/>
      <c r="C1054" s="2"/>
      <c r="D1054" s="2"/>
      <c r="E1054" s="64"/>
      <c r="F1054" s="64"/>
      <c r="G1054" s="64"/>
      <c r="H1054" s="64"/>
      <c r="I1054" s="2"/>
      <c r="J1054" s="2"/>
      <c r="K1054" s="2"/>
      <c r="L1054" s="2"/>
      <c r="M1054" s="2"/>
      <c r="N1054" s="2"/>
      <c r="O1054" s="2"/>
      <c r="P1054" s="66"/>
      <c r="Q1054" s="66"/>
      <c r="R1054" s="2"/>
      <c r="S1054" s="2"/>
      <c r="T1054" s="2"/>
    </row>
    <row r="1055" spans="1:20">
      <c r="A1055" s="3"/>
      <c r="B1055" s="3"/>
      <c r="C1055" s="2"/>
      <c r="D1055" s="2"/>
      <c r="E1055" s="64"/>
      <c r="F1055" s="64"/>
      <c r="G1055" s="64"/>
      <c r="H1055" s="64"/>
      <c r="I1055" s="2"/>
      <c r="J1055" s="2"/>
      <c r="K1055" s="2"/>
      <c r="L1055" s="2"/>
      <c r="M1055" s="2"/>
      <c r="N1055" s="2"/>
      <c r="O1055" s="2"/>
      <c r="P1055" s="66"/>
      <c r="Q1055" s="66"/>
      <c r="R1055" s="2"/>
      <c r="S1055" s="2"/>
      <c r="T1055" s="2"/>
    </row>
    <row r="1056" spans="1:20">
      <c r="A1056" s="3"/>
      <c r="B1056" s="3"/>
      <c r="C1056" s="2"/>
      <c r="D1056" s="2"/>
      <c r="E1056" s="64"/>
      <c r="F1056" s="64"/>
      <c r="G1056" s="64"/>
      <c r="H1056" s="64"/>
      <c r="I1056" s="2"/>
      <c r="J1056" s="2"/>
      <c r="K1056" s="2"/>
      <c r="L1056" s="2"/>
      <c r="M1056" s="2"/>
      <c r="N1056" s="2"/>
      <c r="O1056" s="2"/>
      <c r="P1056" s="66"/>
      <c r="Q1056" s="66"/>
      <c r="R1056" s="2"/>
      <c r="S1056" s="2"/>
      <c r="T1056" s="2"/>
    </row>
    <row r="1057" spans="1:20">
      <c r="A1057" s="3"/>
      <c r="B1057" s="3"/>
      <c r="C1057" s="2"/>
      <c r="D1057" s="2"/>
      <c r="E1057" s="64"/>
      <c r="F1057" s="64"/>
      <c r="G1057" s="64"/>
      <c r="H1057" s="64"/>
      <c r="I1057" s="2"/>
      <c r="J1057" s="2"/>
      <c r="K1057" s="2"/>
      <c r="L1057" s="2"/>
      <c r="M1057" s="2"/>
      <c r="N1057" s="2"/>
      <c r="O1057" s="2"/>
      <c r="P1057" s="66"/>
      <c r="Q1057" s="66"/>
      <c r="R1057" s="2"/>
      <c r="S1057" s="2"/>
      <c r="T1057" s="2"/>
    </row>
    <row r="1058" spans="1:20">
      <c r="A1058" s="3"/>
      <c r="B1058" s="3"/>
      <c r="C1058" s="2"/>
      <c r="D1058" s="2"/>
      <c r="E1058" s="64"/>
      <c r="F1058" s="64"/>
      <c r="G1058" s="64"/>
      <c r="H1058" s="64"/>
      <c r="I1058" s="2"/>
      <c r="J1058" s="2"/>
      <c r="K1058" s="2"/>
      <c r="L1058" s="2"/>
      <c r="M1058" s="2"/>
      <c r="N1058" s="2"/>
      <c r="O1058" s="2"/>
      <c r="P1058" s="66"/>
      <c r="Q1058" s="66"/>
      <c r="R1058" s="2"/>
      <c r="S1058" s="2"/>
      <c r="T1058" s="2"/>
    </row>
    <row r="1059" spans="1:20">
      <c r="A1059" s="3"/>
      <c r="B1059" s="3"/>
      <c r="C1059" s="2"/>
      <c r="D1059" s="2"/>
      <c r="E1059" s="64"/>
      <c r="F1059" s="64"/>
      <c r="G1059" s="64"/>
      <c r="H1059" s="64"/>
      <c r="I1059" s="2"/>
      <c r="J1059" s="2"/>
      <c r="K1059" s="2"/>
      <c r="L1059" s="2"/>
      <c r="M1059" s="2"/>
      <c r="N1059" s="2"/>
      <c r="O1059" s="2"/>
      <c r="P1059" s="66"/>
      <c r="Q1059" s="66"/>
      <c r="R1059" s="2"/>
      <c r="S1059" s="2"/>
      <c r="T1059" s="2"/>
    </row>
    <row r="1060" spans="1:20">
      <c r="A1060" s="3"/>
      <c r="B1060" s="3"/>
      <c r="C1060" s="2"/>
      <c r="D1060" s="2"/>
      <c r="E1060" s="64"/>
      <c r="F1060" s="64"/>
      <c r="G1060" s="64"/>
      <c r="H1060" s="64"/>
      <c r="I1060" s="2"/>
      <c r="J1060" s="2"/>
      <c r="K1060" s="2"/>
      <c r="L1060" s="2"/>
      <c r="M1060" s="2"/>
      <c r="N1060" s="2"/>
      <c r="O1060" s="2"/>
      <c r="P1060" s="66"/>
      <c r="Q1060" s="66"/>
      <c r="R1060" s="2"/>
      <c r="S1060" s="2"/>
      <c r="T1060" s="2"/>
    </row>
    <row r="1061" spans="1:20">
      <c r="A1061" s="3"/>
      <c r="B1061" s="3"/>
      <c r="C1061" s="2"/>
      <c r="D1061" s="2"/>
      <c r="E1061" s="64"/>
      <c r="F1061" s="64"/>
      <c r="G1061" s="64"/>
      <c r="H1061" s="64"/>
      <c r="I1061" s="2"/>
      <c r="J1061" s="2"/>
      <c r="K1061" s="2"/>
      <c r="L1061" s="2"/>
      <c r="M1061" s="2"/>
      <c r="N1061" s="2"/>
      <c r="O1061" s="2"/>
      <c r="P1061" s="66"/>
      <c r="Q1061" s="66"/>
      <c r="R1061" s="2"/>
      <c r="S1061" s="2"/>
      <c r="T1061" s="2"/>
    </row>
    <row r="1062" spans="1:20">
      <c r="A1062" s="3"/>
      <c r="B1062" s="3"/>
      <c r="C1062" s="2"/>
      <c r="D1062" s="2"/>
      <c r="E1062" s="64"/>
      <c r="F1062" s="64"/>
      <c r="G1062" s="64"/>
      <c r="H1062" s="64"/>
      <c r="I1062" s="2"/>
      <c r="J1062" s="2"/>
      <c r="K1062" s="2"/>
      <c r="L1062" s="2"/>
      <c r="M1062" s="2"/>
      <c r="N1062" s="2"/>
      <c r="O1062" s="2"/>
      <c r="P1062" s="66"/>
      <c r="Q1062" s="66"/>
      <c r="R1062" s="2"/>
      <c r="S1062" s="2"/>
      <c r="T1062" s="2"/>
    </row>
    <row r="1063" spans="1:20">
      <c r="A1063" s="3"/>
      <c r="B1063" s="3"/>
      <c r="C1063" s="2"/>
      <c r="D1063" s="2"/>
      <c r="E1063" s="64"/>
      <c r="F1063" s="64"/>
      <c r="G1063" s="64"/>
      <c r="H1063" s="64"/>
      <c r="I1063" s="2"/>
      <c r="J1063" s="2"/>
      <c r="K1063" s="2"/>
      <c r="L1063" s="2"/>
      <c r="M1063" s="2"/>
      <c r="N1063" s="2"/>
      <c r="O1063" s="2"/>
      <c r="P1063" s="66"/>
      <c r="Q1063" s="66"/>
      <c r="R1063" s="2"/>
      <c r="S1063" s="2"/>
      <c r="T1063" s="2"/>
    </row>
    <row r="1064" spans="1:20">
      <c r="A1064" s="3"/>
      <c r="B1064" s="3"/>
      <c r="C1064" s="2"/>
      <c r="D1064" s="2"/>
      <c r="E1064" s="64"/>
      <c r="F1064" s="64"/>
      <c r="G1064" s="64"/>
      <c r="H1064" s="64"/>
      <c r="I1064" s="2"/>
      <c r="J1064" s="2"/>
      <c r="K1064" s="2"/>
      <c r="L1064" s="2"/>
      <c r="M1064" s="2"/>
      <c r="N1064" s="2"/>
      <c r="O1064" s="2"/>
      <c r="P1064" s="66"/>
      <c r="Q1064" s="66"/>
      <c r="R1064" s="2"/>
      <c r="S1064" s="2"/>
      <c r="T1064" s="2"/>
    </row>
    <row r="1065" spans="1:20">
      <c r="A1065" s="3"/>
      <c r="B1065" s="3"/>
      <c r="C1065" s="2"/>
      <c r="D1065" s="2"/>
      <c r="E1065" s="64"/>
      <c r="F1065" s="64"/>
      <c r="G1065" s="64"/>
      <c r="H1065" s="64"/>
      <c r="I1065" s="2"/>
      <c r="J1065" s="2"/>
      <c r="K1065" s="2"/>
      <c r="L1065" s="2"/>
      <c r="M1065" s="2"/>
      <c r="N1065" s="2"/>
      <c r="O1065" s="2"/>
      <c r="P1065" s="66"/>
      <c r="Q1065" s="66"/>
      <c r="R1065" s="2"/>
      <c r="S1065" s="2"/>
      <c r="T1065" s="2"/>
    </row>
    <row r="1066" spans="1:20">
      <c r="A1066" s="3"/>
      <c r="B1066" s="3"/>
      <c r="C1066" s="2"/>
      <c r="D1066" s="2"/>
      <c r="E1066" s="64"/>
      <c r="F1066" s="64"/>
      <c r="G1066" s="64"/>
      <c r="H1066" s="64"/>
      <c r="I1066" s="2"/>
      <c r="J1066" s="2"/>
      <c r="K1066" s="2"/>
      <c r="L1066" s="2"/>
      <c r="M1066" s="2"/>
      <c r="N1066" s="2"/>
      <c r="O1066" s="2"/>
      <c r="P1066" s="66"/>
      <c r="Q1066" s="66"/>
      <c r="R1066" s="2"/>
      <c r="S1066" s="2"/>
      <c r="T1066" s="2"/>
    </row>
    <row r="1067" spans="1:20">
      <c r="A1067" s="3"/>
      <c r="B1067" s="3"/>
      <c r="C1067" s="2"/>
      <c r="D1067" s="2"/>
      <c r="E1067" s="64"/>
      <c r="F1067" s="64"/>
      <c r="G1067" s="64"/>
      <c r="H1067" s="64"/>
      <c r="I1067" s="2"/>
      <c r="J1067" s="2"/>
      <c r="K1067" s="2"/>
      <c r="L1067" s="2"/>
      <c r="M1067" s="2"/>
      <c r="N1067" s="2"/>
      <c r="O1067" s="2"/>
      <c r="P1067" s="66"/>
      <c r="Q1067" s="66"/>
      <c r="R1067" s="2"/>
      <c r="S1067" s="2"/>
      <c r="T1067" s="2"/>
    </row>
    <row r="1068" spans="1:20">
      <c r="A1068" s="3"/>
      <c r="B1068" s="3"/>
      <c r="C1068" s="2"/>
      <c r="D1068" s="2"/>
      <c r="E1068" s="64"/>
      <c r="F1068" s="64"/>
      <c r="G1068" s="64"/>
      <c r="H1068" s="64"/>
      <c r="I1068" s="2"/>
      <c r="J1068" s="2"/>
      <c r="K1068" s="2"/>
      <c r="L1068" s="2"/>
      <c r="M1068" s="2"/>
      <c r="N1068" s="2"/>
      <c r="O1068" s="2"/>
      <c r="P1068" s="66"/>
      <c r="Q1068" s="66"/>
      <c r="R1068" s="2"/>
      <c r="S1068" s="2"/>
      <c r="T1068" s="2"/>
    </row>
    <row r="1069" spans="1:20">
      <c r="A1069" s="3"/>
      <c r="B1069" s="3"/>
      <c r="C1069" s="2"/>
      <c r="D1069" s="2"/>
      <c r="E1069" s="64"/>
      <c r="F1069" s="64"/>
      <c r="G1069" s="64"/>
      <c r="H1069" s="64"/>
      <c r="I1069" s="2"/>
      <c r="J1069" s="2"/>
      <c r="K1069" s="2"/>
      <c r="L1069" s="2"/>
      <c r="M1069" s="2"/>
      <c r="N1069" s="2"/>
      <c r="O1069" s="2"/>
      <c r="P1069" s="66"/>
      <c r="Q1069" s="66"/>
      <c r="R1069" s="2"/>
      <c r="S1069" s="2"/>
      <c r="T1069" s="2"/>
    </row>
    <row r="1070" spans="1:20">
      <c r="A1070" s="3"/>
      <c r="B1070" s="3"/>
      <c r="C1070" s="2"/>
      <c r="D1070" s="2"/>
      <c r="E1070" s="64"/>
      <c r="F1070" s="64"/>
      <c r="G1070" s="64"/>
      <c r="H1070" s="64"/>
      <c r="I1070" s="2"/>
      <c r="J1070" s="2"/>
      <c r="K1070" s="2"/>
      <c r="L1070" s="2"/>
      <c r="M1070" s="2"/>
      <c r="N1070" s="2"/>
      <c r="O1070" s="2"/>
      <c r="P1070" s="66"/>
      <c r="Q1070" s="66"/>
      <c r="R1070" s="2"/>
      <c r="S1070" s="2"/>
      <c r="T1070" s="2"/>
    </row>
    <row r="1071" spans="1:20">
      <c r="A1071" s="3"/>
      <c r="B1071" s="3"/>
      <c r="C1071" s="2"/>
      <c r="D1071" s="2"/>
      <c r="E1071" s="64"/>
      <c r="F1071" s="64"/>
      <c r="G1071" s="64"/>
      <c r="H1071" s="64"/>
      <c r="I1071" s="2"/>
      <c r="J1071" s="2"/>
      <c r="K1071" s="2"/>
      <c r="L1071" s="2"/>
      <c r="M1071" s="2"/>
      <c r="N1071" s="2"/>
      <c r="O1071" s="2"/>
      <c r="P1071" s="66"/>
      <c r="Q1071" s="66"/>
      <c r="R1071" s="2"/>
      <c r="S1071" s="2"/>
      <c r="T1071" s="2"/>
    </row>
    <row r="1072" spans="1:20">
      <c r="A1072" s="3"/>
      <c r="B1072" s="3"/>
      <c r="C1072" s="2"/>
      <c r="D1072" s="2"/>
      <c r="E1072" s="64"/>
      <c r="F1072" s="64"/>
      <c r="G1072" s="64"/>
      <c r="H1072" s="64"/>
      <c r="I1072" s="2"/>
      <c r="J1072" s="2"/>
      <c r="K1072" s="2"/>
      <c r="L1072" s="2"/>
      <c r="M1072" s="2"/>
      <c r="N1072" s="2"/>
      <c r="O1072" s="2"/>
      <c r="P1072" s="66"/>
      <c r="Q1072" s="66"/>
      <c r="R1072" s="2"/>
      <c r="S1072" s="2"/>
      <c r="T1072" s="2"/>
    </row>
    <row r="1073" spans="1:20">
      <c r="A1073" s="3"/>
      <c r="B1073" s="3"/>
      <c r="C1073" s="2"/>
      <c r="D1073" s="2"/>
      <c r="E1073" s="64"/>
      <c r="F1073" s="64"/>
      <c r="G1073" s="64"/>
      <c r="H1073" s="64"/>
      <c r="I1073" s="2"/>
      <c r="J1073" s="2"/>
      <c r="K1073" s="2"/>
      <c r="L1073" s="2"/>
      <c r="M1073" s="2"/>
      <c r="N1073" s="2"/>
      <c r="O1073" s="2"/>
      <c r="P1073" s="66"/>
      <c r="Q1073" s="66"/>
      <c r="R1073" s="2"/>
      <c r="S1073" s="2"/>
      <c r="T1073" s="2"/>
    </row>
    <row r="1074" spans="1:20">
      <c r="A1074" s="3"/>
      <c r="B1074" s="3"/>
      <c r="C1074" s="2"/>
      <c r="D1074" s="2"/>
      <c r="E1074" s="64"/>
      <c r="F1074" s="64"/>
      <c r="G1074" s="64"/>
      <c r="H1074" s="64"/>
      <c r="I1074" s="2"/>
      <c r="J1074" s="2"/>
      <c r="K1074" s="2"/>
      <c r="L1074" s="2"/>
      <c r="M1074" s="2"/>
      <c r="N1074" s="2"/>
      <c r="O1074" s="2"/>
      <c r="P1074" s="66"/>
      <c r="Q1074" s="66"/>
      <c r="R1074" s="2"/>
      <c r="S1074" s="2"/>
      <c r="T1074" s="2"/>
    </row>
    <row r="1075" spans="1:20">
      <c r="A1075" s="3"/>
      <c r="B1075" s="3"/>
      <c r="C1075" s="2"/>
      <c r="D1075" s="2"/>
      <c r="E1075" s="64"/>
      <c r="F1075" s="64"/>
      <c r="G1075" s="64"/>
      <c r="H1075" s="64"/>
      <c r="I1075" s="2"/>
      <c r="J1075" s="2"/>
      <c r="K1075" s="2"/>
      <c r="L1075" s="2"/>
      <c r="M1075" s="2"/>
      <c r="N1075" s="2"/>
      <c r="O1075" s="2"/>
      <c r="P1075" s="66"/>
      <c r="Q1075" s="66"/>
      <c r="R1075" s="2"/>
      <c r="S1075" s="2"/>
      <c r="T1075" s="2"/>
    </row>
    <row r="1076" spans="1:20">
      <c r="A1076" s="3"/>
      <c r="B1076" s="3"/>
      <c r="C1076" s="2"/>
      <c r="D1076" s="2"/>
      <c r="E1076" s="64"/>
      <c r="F1076" s="64"/>
      <c r="G1076" s="64"/>
      <c r="H1076" s="64"/>
      <c r="I1076" s="2"/>
      <c r="J1076" s="2"/>
      <c r="K1076" s="2"/>
      <c r="L1076" s="2"/>
      <c r="M1076" s="2"/>
      <c r="N1076" s="2"/>
      <c r="O1076" s="2"/>
      <c r="P1076" s="66"/>
      <c r="Q1076" s="66"/>
      <c r="R1076" s="2"/>
      <c r="S1076" s="2"/>
      <c r="T1076" s="2"/>
    </row>
    <row r="1077" spans="1:20">
      <c r="A1077" s="3"/>
      <c r="B1077" s="3"/>
      <c r="C1077" s="2"/>
      <c r="D1077" s="2"/>
      <c r="E1077" s="64"/>
      <c r="F1077" s="64"/>
      <c r="G1077" s="64"/>
      <c r="H1077" s="64"/>
      <c r="I1077" s="2"/>
      <c r="J1077" s="2"/>
      <c r="K1077" s="2"/>
      <c r="L1077" s="2"/>
      <c r="M1077" s="2"/>
      <c r="N1077" s="2"/>
      <c r="O1077" s="2"/>
      <c r="P1077" s="66"/>
      <c r="Q1077" s="66"/>
      <c r="R1077" s="2"/>
      <c r="S1077" s="2"/>
      <c r="T1077" s="2"/>
    </row>
    <row r="1078" spans="1:20">
      <c r="A1078" s="3"/>
      <c r="B1078" s="3"/>
      <c r="C1078" s="2"/>
      <c r="D1078" s="2"/>
      <c r="E1078" s="64"/>
      <c r="F1078" s="64"/>
      <c r="G1078" s="64"/>
      <c r="H1078" s="64"/>
      <c r="I1078" s="2"/>
      <c r="J1078" s="2"/>
      <c r="K1078" s="2"/>
      <c r="L1078" s="2"/>
      <c r="M1078" s="2"/>
      <c r="N1078" s="2"/>
      <c r="O1078" s="2"/>
      <c r="P1078" s="66"/>
      <c r="Q1078" s="66"/>
      <c r="R1078" s="2"/>
      <c r="S1078" s="2"/>
      <c r="T1078" s="2"/>
    </row>
    <row r="1079" spans="1:20">
      <c r="A1079" s="3"/>
      <c r="B1079" s="3"/>
      <c r="C1079" s="2"/>
      <c r="D1079" s="2"/>
      <c r="E1079" s="64"/>
      <c r="F1079" s="64"/>
      <c r="G1079" s="64"/>
      <c r="H1079" s="64"/>
      <c r="I1079" s="2"/>
      <c r="J1079" s="2"/>
      <c r="K1079" s="2"/>
      <c r="L1079" s="2"/>
      <c r="M1079" s="2"/>
      <c r="N1079" s="2"/>
      <c r="O1079" s="2"/>
      <c r="P1079" s="66"/>
      <c r="Q1079" s="66"/>
      <c r="R1079" s="2"/>
      <c r="S1079" s="2"/>
      <c r="T1079" s="2"/>
    </row>
    <row r="1080" spans="1:20">
      <c r="A1080" s="3"/>
      <c r="B1080" s="3"/>
      <c r="C1080" s="2"/>
      <c r="D1080" s="2"/>
      <c r="E1080" s="64"/>
      <c r="F1080" s="64"/>
      <c r="G1080" s="64"/>
      <c r="H1080" s="64"/>
      <c r="I1080" s="2"/>
      <c r="J1080" s="2"/>
      <c r="K1080" s="2"/>
      <c r="L1080" s="2"/>
      <c r="M1080" s="2"/>
      <c r="N1080" s="2"/>
      <c r="O1080" s="2"/>
      <c r="P1080" s="66"/>
      <c r="Q1080" s="66"/>
      <c r="R1080" s="2"/>
      <c r="S1080" s="2"/>
      <c r="T1080" s="2"/>
    </row>
    <row r="1081" spans="1:20">
      <c r="A1081" s="3"/>
      <c r="B1081" s="3"/>
      <c r="C1081" s="2"/>
      <c r="D1081" s="2"/>
      <c r="E1081" s="64"/>
      <c r="F1081" s="64"/>
      <c r="G1081" s="64"/>
      <c r="H1081" s="64"/>
      <c r="I1081" s="2"/>
      <c r="J1081" s="2"/>
      <c r="K1081" s="2"/>
      <c r="L1081" s="2"/>
      <c r="M1081" s="2"/>
      <c r="N1081" s="2"/>
      <c r="O1081" s="2"/>
      <c r="P1081" s="66"/>
      <c r="Q1081" s="66"/>
      <c r="R1081" s="2"/>
      <c r="S1081" s="2"/>
      <c r="T1081" s="2"/>
    </row>
    <row r="1082" spans="1:20">
      <c r="A1082" s="3"/>
      <c r="B1082" s="3"/>
      <c r="C1082" s="2"/>
      <c r="D1082" s="2"/>
      <c r="E1082" s="64"/>
      <c r="F1082" s="64"/>
      <c r="G1082" s="64"/>
      <c r="H1082" s="64"/>
      <c r="I1082" s="2"/>
      <c r="J1082" s="2"/>
      <c r="K1082" s="2"/>
      <c r="L1082" s="2"/>
      <c r="M1082" s="2"/>
      <c r="N1082" s="2"/>
      <c r="O1082" s="2"/>
      <c r="P1082" s="66"/>
      <c r="Q1082" s="66"/>
      <c r="R1082" s="2"/>
      <c r="S1082" s="2"/>
      <c r="T1082" s="2"/>
    </row>
    <row r="1083" spans="1:20">
      <c r="A1083" s="3"/>
      <c r="B1083" s="3"/>
      <c r="C1083" s="2"/>
      <c r="D1083" s="2"/>
      <c r="E1083" s="64"/>
      <c r="F1083" s="64"/>
      <c r="G1083" s="64"/>
      <c r="H1083" s="64"/>
      <c r="I1083" s="2"/>
      <c r="J1083" s="2"/>
      <c r="K1083" s="2"/>
      <c r="L1083" s="2"/>
      <c r="M1083" s="2"/>
      <c r="N1083" s="2"/>
      <c r="O1083" s="2"/>
      <c r="P1083" s="66"/>
      <c r="Q1083" s="66"/>
      <c r="R1083" s="2"/>
      <c r="S1083" s="2"/>
      <c r="T1083" s="2"/>
    </row>
    <row r="1084" spans="1:20">
      <c r="A1084" s="3"/>
      <c r="B1084" s="3"/>
      <c r="C1084" s="2"/>
      <c r="D1084" s="2"/>
      <c r="E1084" s="64"/>
      <c r="F1084" s="64"/>
      <c r="G1084" s="64"/>
      <c r="H1084" s="64"/>
      <c r="I1084" s="2"/>
      <c r="J1084" s="2"/>
      <c r="K1084" s="2"/>
      <c r="L1084" s="2"/>
      <c r="M1084" s="2"/>
      <c r="N1084" s="2"/>
      <c r="O1084" s="2"/>
      <c r="P1084" s="66"/>
      <c r="Q1084" s="66"/>
      <c r="R1084" s="2"/>
      <c r="S1084" s="2"/>
      <c r="T1084" s="2"/>
    </row>
    <row r="1085" spans="1:20">
      <c r="A1085" s="3"/>
      <c r="B1085" s="3"/>
      <c r="C1085" s="2"/>
      <c r="D1085" s="2"/>
      <c r="E1085" s="64"/>
      <c r="F1085" s="64"/>
      <c r="G1085" s="64"/>
      <c r="H1085" s="64"/>
      <c r="I1085" s="2"/>
      <c r="J1085" s="2"/>
      <c r="K1085" s="2"/>
      <c r="L1085" s="2"/>
      <c r="M1085" s="2"/>
      <c r="N1085" s="2"/>
      <c r="O1085" s="2"/>
      <c r="P1085" s="66"/>
      <c r="Q1085" s="66"/>
      <c r="R1085" s="2"/>
      <c r="S1085" s="2"/>
      <c r="T1085" s="2"/>
    </row>
    <row r="1086" spans="1:20">
      <c r="A1086" s="3"/>
      <c r="B1086" s="3"/>
      <c r="C1086" s="2"/>
      <c r="D1086" s="2"/>
      <c r="E1086" s="64"/>
      <c r="F1086" s="64"/>
      <c r="G1086" s="64"/>
      <c r="H1086" s="64"/>
      <c r="I1086" s="2"/>
      <c r="J1086" s="2"/>
      <c r="K1086" s="2"/>
      <c r="L1086" s="2"/>
      <c r="M1086" s="2"/>
      <c r="N1086" s="2"/>
      <c r="O1086" s="2"/>
      <c r="P1086" s="66"/>
      <c r="Q1086" s="66"/>
      <c r="R1086" s="2"/>
      <c r="S1086" s="2"/>
      <c r="T1086" s="2"/>
    </row>
    <row r="1087" spans="1:20">
      <c r="A1087" s="3"/>
      <c r="B1087" s="3"/>
      <c r="C1087" s="2"/>
      <c r="D1087" s="2"/>
      <c r="E1087" s="64"/>
      <c r="F1087" s="64"/>
      <c r="G1087" s="64"/>
      <c r="H1087" s="64"/>
      <c r="I1087" s="2"/>
      <c r="J1087" s="2"/>
      <c r="K1087" s="2"/>
      <c r="L1087" s="2"/>
      <c r="M1087" s="2"/>
      <c r="N1087" s="2"/>
      <c r="O1087" s="2"/>
      <c r="P1087" s="66"/>
      <c r="Q1087" s="66"/>
      <c r="R1087" s="2"/>
      <c r="S1087" s="2"/>
      <c r="T1087" s="2"/>
    </row>
    <row r="1088" spans="1:20">
      <c r="A1088" s="3"/>
      <c r="B1088" s="3"/>
      <c r="C1088" s="2"/>
      <c r="D1088" s="2"/>
      <c r="E1088" s="64"/>
      <c r="F1088" s="64"/>
      <c r="G1088" s="64"/>
      <c r="H1088" s="64"/>
      <c r="I1088" s="2"/>
      <c r="J1088" s="2"/>
      <c r="K1088" s="2"/>
      <c r="L1088" s="2"/>
      <c r="M1088" s="2"/>
      <c r="N1088" s="2"/>
      <c r="O1088" s="2"/>
      <c r="P1088" s="66"/>
      <c r="Q1088" s="66"/>
      <c r="R1088" s="2"/>
      <c r="S1088" s="2"/>
      <c r="T1088" s="2"/>
    </row>
    <row r="1089" spans="1:20">
      <c r="A1089" s="3"/>
      <c r="B1089" s="3"/>
      <c r="C1089" s="2"/>
      <c r="D1089" s="2"/>
      <c r="E1089" s="64"/>
      <c r="F1089" s="64"/>
      <c r="G1089" s="64"/>
      <c r="H1089" s="64"/>
      <c r="I1089" s="2"/>
      <c r="J1089" s="2"/>
      <c r="K1089" s="2"/>
      <c r="L1089" s="2"/>
      <c r="M1089" s="2"/>
      <c r="N1089" s="2"/>
      <c r="O1089" s="2"/>
      <c r="P1089" s="66"/>
      <c r="Q1089" s="66"/>
      <c r="R1089" s="2"/>
      <c r="S1089" s="2"/>
      <c r="T1089" s="2"/>
    </row>
    <row r="1090" spans="1:20">
      <c r="A1090" s="3"/>
      <c r="B1090" s="3"/>
      <c r="C1090" s="2"/>
      <c r="D1090" s="2"/>
      <c r="E1090" s="64"/>
      <c r="F1090" s="64"/>
      <c r="G1090" s="64"/>
      <c r="H1090" s="64"/>
      <c r="I1090" s="2"/>
      <c r="J1090" s="2"/>
      <c r="K1090" s="2"/>
      <c r="L1090" s="2"/>
      <c r="M1090" s="2"/>
      <c r="N1090" s="2"/>
      <c r="O1090" s="2"/>
      <c r="P1090" s="66"/>
      <c r="Q1090" s="66"/>
      <c r="R1090" s="2"/>
      <c r="S1090" s="2"/>
      <c r="T1090" s="2"/>
    </row>
    <row r="1091" spans="1:20">
      <c r="A1091" s="3"/>
      <c r="B1091" s="3"/>
      <c r="C1091" s="2"/>
      <c r="D1091" s="2"/>
      <c r="E1091" s="64"/>
      <c r="F1091" s="64"/>
      <c r="G1091" s="64"/>
      <c r="H1091" s="64"/>
      <c r="I1091" s="2"/>
      <c r="J1091" s="2"/>
      <c r="K1091" s="2"/>
      <c r="L1091" s="2"/>
      <c r="M1091" s="2"/>
      <c r="N1091" s="2"/>
      <c r="O1091" s="2"/>
      <c r="P1091" s="66"/>
      <c r="Q1091" s="66"/>
      <c r="R1091" s="2"/>
      <c r="S1091" s="2"/>
      <c r="T1091" s="2"/>
    </row>
    <row r="1092" spans="1:20">
      <c r="A1092" s="3"/>
      <c r="B1092" s="3"/>
      <c r="C1092" s="2"/>
      <c r="D1092" s="2"/>
      <c r="E1092" s="64"/>
      <c r="F1092" s="64"/>
      <c r="G1092" s="64"/>
      <c r="H1092" s="64"/>
      <c r="I1092" s="2"/>
      <c r="J1092" s="2"/>
      <c r="K1092" s="2"/>
      <c r="L1092" s="2"/>
      <c r="M1092" s="2"/>
      <c r="N1092" s="2"/>
      <c r="O1092" s="2"/>
      <c r="P1092" s="66"/>
      <c r="Q1092" s="66"/>
      <c r="R1092" s="2"/>
      <c r="S1092" s="2"/>
      <c r="T1092" s="2"/>
    </row>
    <row r="1093" spans="1:20">
      <c r="A1093" s="3"/>
      <c r="B1093" s="3"/>
      <c r="C1093" s="2"/>
      <c r="D1093" s="2"/>
      <c r="E1093" s="64"/>
      <c r="F1093" s="64"/>
      <c r="G1093" s="64"/>
      <c r="H1093" s="64"/>
      <c r="I1093" s="2"/>
      <c r="J1093" s="2"/>
      <c r="K1093" s="2"/>
      <c r="L1093" s="2"/>
      <c r="M1093" s="2"/>
      <c r="N1093" s="2"/>
      <c r="O1093" s="2"/>
      <c r="P1093" s="66"/>
      <c r="Q1093" s="66"/>
      <c r="R1093" s="2"/>
      <c r="S1093" s="2"/>
      <c r="T1093" s="2"/>
    </row>
    <row r="1094" spans="1:20">
      <c r="A1094" s="3"/>
      <c r="B1094" s="3"/>
      <c r="C1094" s="2"/>
      <c r="D1094" s="2"/>
      <c r="E1094" s="64"/>
      <c r="F1094" s="64"/>
      <c r="G1094" s="64"/>
      <c r="H1094" s="64"/>
      <c r="I1094" s="2"/>
      <c r="J1094" s="2"/>
      <c r="K1094" s="2"/>
      <c r="L1094" s="2"/>
      <c r="M1094" s="2"/>
      <c r="N1094" s="2"/>
      <c r="O1094" s="2"/>
      <c r="P1094" s="66"/>
      <c r="Q1094" s="66"/>
      <c r="R1094" s="2"/>
      <c r="S1094" s="2"/>
      <c r="T1094" s="2"/>
    </row>
    <row r="1095" spans="1:20">
      <c r="A1095" s="3"/>
      <c r="B1095" s="3"/>
      <c r="C1095" s="2"/>
      <c r="D1095" s="2"/>
      <c r="E1095" s="64"/>
      <c r="F1095" s="64"/>
      <c r="G1095" s="64"/>
      <c r="H1095" s="64"/>
      <c r="I1095" s="2"/>
      <c r="J1095" s="2"/>
      <c r="K1095" s="2"/>
      <c r="L1095" s="2"/>
      <c r="M1095" s="2"/>
      <c r="N1095" s="2"/>
      <c r="O1095" s="2"/>
      <c r="P1095" s="66"/>
      <c r="Q1095" s="66"/>
      <c r="R1095" s="2"/>
      <c r="S1095" s="2"/>
      <c r="T1095" s="2"/>
    </row>
    <row r="1096" spans="1:20">
      <c r="A1096" s="3"/>
      <c r="B1096" s="3"/>
      <c r="C1096" s="2"/>
      <c r="D1096" s="2"/>
      <c r="E1096" s="64"/>
      <c r="F1096" s="64"/>
      <c r="G1096" s="64"/>
      <c r="H1096" s="64"/>
      <c r="I1096" s="2"/>
      <c r="J1096" s="2"/>
      <c r="K1096" s="2"/>
      <c r="L1096" s="2"/>
      <c r="M1096" s="2"/>
      <c r="N1096" s="2"/>
      <c r="O1096" s="2"/>
      <c r="P1096" s="66"/>
      <c r="Q1096" s="66"/>
      <c r="R1096" s="2"/>
      <c r="S1096" s="2"/>
      <c r="T1096" s="2"/>
    </row>
    <row r="1097" spans="1:20">
      <c r="A1097" s="3"/>
      <c r="B1097" s="3"/>
      <c r="C1097" s="2"/>
      <c r="D1097" s="2"/>
      <c r="E1097" s="64"/>
      <c r="F1097" s="64"/>
      <c r="G1097" s="64"/>
      <c r="H1097" s="64"/>
      <c r="I1097" s="2"/>
      <c r="J1097" s="2"/>
      <c r="K1097" s="2"/>
      <c r="L1097" s="2"/>
      <c r="M1097" s="2"/>
      <c r="N1097" s="2"/>
      <c r="O1097" s="2"/>
      <c r="P1097" s="66"/>
      <c r="Q1097" s="66"/>
      <c r="R1097" s="2"/>
      <c r="S1097" s="2"/>
      <c r="T1097" s="2"/>
    </row>
    <row r="1098" spans="1:20">
      <c r="A1098" s="3"/>
      <c r="B1098" s="3"/>
      <c r="C1098" s="2"/>
      <c r="D1098" s="2"/>
      <c r="E1098" s="64"/>
      <c r="F1098" s="64"/>
      <c r="G1098" s="64"/>
      <c r="H1098" s="64"/>
      <c r="I1098" s="2"/>
      <c r="J1098" s="2"/>
      <c r="K1098" s="2"/>
      <c r="L1098" s="2"/>
      <c r="M1098" s="2"/>
      <c r="N1098" s="2"/>
      <c r="O1098" s="2"/>
      <c r="P1098" s="66"/>
      <c r="Q1098" s="66"/>
      <c r="R1098" s="2"/>
      <c r="S1098" s="2"/>
      <c r="T1098" s="2"/>
    </row>
    <row r="1099" spans="1:20">
      <c r="A1099" s="3"/>
      <c r="B1099" s="3"/>
      <c r="C1099" s="2"/>
      <c r="D1099" s="2"/>
      <c r="E1099" s="64"/>
      <c r="F1099" s="64"/>
      <c r="G1099" s="64"/>
      <c r="H1099" s="64"/>
      <c r="I1099" s="2"/>
      <c r="J1099" s="2"/>
      <c r="K1099" s="2"/>
      <c r="L1099" s="2"/>
      <c r="M1099" s="2"/>
      <c r="N1099" s="2"/>
      <c r="O1099" s="2"/>
      <c r="P1099" s="66"/>
      <c r="Q1099" s="66"/>
      <c r="R1099" s="2"/>
      <c r="S1099" s="2"/>
      <c r="T1099" s="2"/>
    </row>
    <row r="1100" spans="1:20">
      <c r="A1100" s="3"/>
      <c r="B1100" s="3"/>
      <c r="C1100" s="2"/>
      <c r="D1100" s="2"/>
      <c r="E1100" s="64"/>
      <c r="F1100" s="64"/>
      <c r="G1100" s="64"/>
      <c r="H1100" s="64"/>
      <c r="I1100" s="2"/>
      <c r="J1100" s="2"/>
      <c r="K1100" s="2"/>
      <c r="L1100" s="2"/>
      <c r="M1100" s="2"/>
      <c r="N1100" s="2"/>
      <c r="O1100" s="2"/>
      <c r="P1100" s="66"/>
      <c r="Q1100" s="66"/>
      <c r="R1100" s="2"/>
      <c r="S1100" s="2"/>
      <c r="T1100" s="2"/>
    </row>
    <row r="1101" spans="1:20">
      <c r="A1101" s="3"/>
      <c r="B1101" s="3"/>
      <c r="C1101" s="2"/>
      <c r="D1101" s="2"/>
      <c r="E1101" s="64"/>
      <c r="F1101" s="64"/>
      <c r="G1101" s="64"/>
      <c r="H1101" s="64"/>
      <c r="I1101" s="2"/>
      <c r="J1101" s="2"/>
      <c r="K1101" s="2"/>
      <c r="L1101" s="2"/>
      <c r="M1101" s="2"/>
      <c r="N1101" s="2"/>
      <c r="O1101" s="2"/>
      <c r="P1101" s="66"/>
      <c r="Q1101" s="66"/>
      <c r="R1101" s="2"/>
      <c r="S1101" s="2"/>
      <c r="T1101" s="2"/>
    </row>
    <row r="1102" spans="1:20">
      <c r="A1102" s="3"/>
      <c r="B1102" s="3"/>
      <c r="C1102" s="2"/>
      <c r="D1102" s="2"/>
      <c r="E1102" s="64"/>
      <c r="F1102" s="64"/>
      <c r="G1102" s="64"/>
      <c r="H1102" s="64"/>
      <c r="I1102" s="2"/>
      <c r="J1102" s="2"/>
      <c r="K1102" s="2"/>
      <c r="L1102" s="2"/>
      <c r="M1102" s="2"/>
      <c r="N1102" s="2"/>
      <c r="O1102" s="2"/>
      <c r="P1102" s="66"/>
      <c r="Q1102" s="66"/>
      <c r="R1102" s="2"/>
      <c r="S1102" s="2"/>
      <c r="T1102" s="2"/>
    </row>
    <row r="1103" spans="1:20">
      <c r="A1103" s="3"/>
      <c r="B1103" s="3"/>
      <c r="C1103" s="2"/>
      <c r="D1103" s="2"/>
      <c r="E1103" s="64"/>
      <c r="F1103" s="64"/>
      <c r="G1103" s="64"/>
      <c r="H1103" s="64"/>
      <c r="I1103" s="2"/>
      <c r="J1103" s="2"/>
      <c r="K1103" s="2"/>
      <c r="L1103" s="2"/>
      <c r="M1103" s="2"/>
      <c r="N1103" s="2"/>
      <c r="O1103" s="2"/>
      <c r="P1103" s="66"/>
      <c r="Q1103" s="66"/>
      <c r="R1103" s="2"/>
      <c r="S1103" s="2"/>
      <c r="T1103" s="2"/>
    </row>
    <row r="1104" spans="1:20">
      <c r="A1104" s="3"/>
      <c r="B1104" s="3"/>
      <c r="C1104" s="2"/>
      <c r="D1104" s="2"/>
      <c r="E1104" s="64"/>
      <c r="F1104" s="64"/>
      <c r="G1104" s="64"/>
      <c r="H1104" s="64"/>
      <c r="I1104" s="2"/>
      <c r="J1104" s="2"/>
      <c r="K1104" s="2"/>
      <c r="L1104" s="2"/>
      <c r="M1104" s="2"/>
      <c r="N1104" s="2"/>
      <c r="O1104" s="2"/>
      <c r="P1104" s="66"/>
      <c r="Q1104" s="66"/>
      <c r="R1104" s="2"/>
      <c r="S1104" s="2"/>
      <c r="T1104" s="2"/>
    </row>
    <row r="1105" spans="1:20">
      <c r="A1105" s="3"/>
      <c r="B1105" s="3"/>
      <c r="C1105" s="2"/>
      <c r="D1105" s="2"/>
      <c r="E1105" s="64"/>
      <c r="F1105" s="64"/>
      <c r="G1105" s="64"/>
      <c r="H1105" s="64"/>
      <c r="I1105" s="2"/>
      <c r="J1105" s="2"/>
      <c r="K1105" s="2"/>
      <c r="L1105" s="2"/>
      <c r="M1105" s="2"/>
      <c r="N1105" s="2"/>
      <c r="O1105" s="2"/>
      <c r="P1105" s="66"/>
      <c r="Q1105" s="66"/>
      <c r="R1105" s="2"/>
      <c r="S1105" s="2"/>
      <c r="T1105" s="2"/>
    </row>
    <row r="1106" spans="1:20">
      <c r="A1106" s="3"/>
      <c r="B1106" s="3"/>
      <c r="C1106" s="2"/>
      <c r="D1106" s="2"/>
      <c r="E1106" s="64"/>
      <c r="F1106" s="64"/>
      <c r="G1106" s="64"/>
      <c r="H1106" s="64"/>
      <c r="I1106" s="2"/>
      <c r="J1106" s="2"/>
      <c r="K1106" s="2"/>
      <c r="L1106" s="2"/>
      <c r="M1106" s="2"/>
      <c r="N1106" s="2"/>
      <c r="O1106" s="2"/>
      <c r="P1106" s="66"/>
      <c r="Q1106" s="66"/>
      <c r="R1106" s="2"/>
      <c r="S1106" s="2"/>
      <c r="T1106" s="2"/>
    </row>
    <row r="1107" spans="1:20">
      <c r="A1107" s="3"/>
      <c r="B1107" s="3"/>
      <c r="C1107" s="2"/>
      <c r="D1107" s="2"/>
      <c r="E1107" s="64"/>
      <c r="F1107" s="64"/>
      <c r="G1107" s="64"/>
      <c r="H1107" s="64"/>
      <c r="I1107" s="2"/>
      <c r="J1107" s="2"/>
      <c r="K1107" s="2"/>
      <c r="L1107" s="2"/>
      <c r="M1107" s="2"/>
      <c r="N1107" s="2"/>
      <c r="O1107" s="2"/>
      <c r="P1107" s="66"/>
      <c r="Q1107" s="66"/>
      <c r="R1107" s="2"/>
      <c r="S1107" s="2"/>
      <c r="T1107" s="2"/>
    </row>
    <row r="1108" spans="1:20">
      <c r="A1108" s="3"/>
      <c r="B1108" s="3"/>
      <c r="C1108" s="2"/>
      <c r="D1108" s="2"/>
      <c r="E1108" s="64"/>
      <c r="F1108" s="64"/>
      <c r="G1108" s="64"/>
      <c r="H1108" s="64"/>
      <c r="I1108" s="2"/>
      <c r="J1108" s="2"/>
      <c r="K1108" s="2"/>
      <c r="L1108" s="2"/>
      <c r="M1108" s="2"/>
      <c r="N1108" s="2"/>
      <c r="O1108" s="2"/>
      <c r="P1108" s="66"/>
      <c r="Q1108" s="66"/>
      <c r="R1108" s="2"/>
      <c r="S1108" s="2"/>
      <c r="T1108" s="2"/>
    </row>
    <row r="1109" spans="1:20">
      <c r="A1109" s="3"/>
      <c r="B1109" s="3"/>
      <c r="C1109" s="2"/>
      <c r="D1109" s="2"/>
      <c r="E1109" s="64"/>
      <c r="F1109" s="64"/>
      <c r="G1109" s="64"/>
      <c r="H1109" s="64"/>
      <c r="I1109" s="2"/>
      <c r="J1109" s="2"/>
      <c r="K1109" s="2"/>
      <c r="L1109" s="2"/>
      <c r="M1109" s="2"/>
      <c r="N1109" s="2"/>
      <c r="O1109" s="2"/>
      <c r="P1109" s="66"/>
      <c r="Q1109" s="66"/>
      <c r="R1109" s="2"/>
      <c r="S1109" s="2"/>
      <c r="T1109" s="2"/>
    </row>
    <row r="1110" spans="1:20">
      <c r="A1110" s="3"/>
      <c r="B1110" s="3"/>
      <c r="C1110" s="2"/>
      <c r="D1110" s="2"/>
      <c r="E1110" s="64"/>
      <c r="F1110" s="64"/>
      <c r="G1110" s="64"/>
      <c r="H1110" s="64"/>
      <c r="I1110" s="2"/>
      <c r="J1110" s="2"/>
      <c r="K1110" s="2"/>
      <c r="L1110" s="2"/>
      <c r="M1110" s="2"/>
      <c r="N1110" s="2"/>
      <c r="O1110" s="2"/>
      <c r="P1110" s="66"/>
      <c r="Q1110" s="66"/>
      <c r="R1110" s="2"/>
      <c r="S1110" s="2"/>
      <c r="T1110" s="2"/>
    </row>
    <row r="1111" spans="1:20">
      <c r="A1111" s="3"/>
      <c r="B1111" s="3"/>
      <c r="C1111" s="2"/>
      <c r="D1111" s="2"/>
      <c r="E1111" s="64"/>
      <c r="F1111" s="64"/>
      <c r="G1111" s="64"/>
      <c r="H1111" s="64"/>
      <c r="I1111" s="2"/>
      <c r="J1111" s="2"/>
      <c r="K1111" s="2"/>
      <c r="L1111" s="2"/>
      <c r="M1111" s="2"/>
      <c r="N1111" s="2"/>
      <c r="O1111" s="2"/>
      <c r="P1111" s="66"/>
      <c r="Q1111" s="66"/>
      <c r="R1111" s="2"/>
      <c r="S1111" s="2"/>
      <c r="T1111" s="2"/>
    </row>
    <row r="1112" spans="1:20">
      <c r="A1112" s="3"/>
      <c r="B1112" s="3"/>
      <c r="C1112" s="2"/>
      <c r="D1112" s="2"/>
      <c r="E1112" s="64"/>
      <c r="F1112" s="64"/>
      <c r="G1112" s="64"/>
      <c r="H1112" s="64"/>
      <c r="I1112" s="2"/>
      <c r="J1112" s="2"/>
      <c r="K1112" s="2"/>
      <c r="L1112" s="2"/>
      <c r="M1112" s="2"/>
      <c r="N1112" s="2"/>
      <c r="O1112" s="2"/>
      <c r="P1112" s="66"/>
      <c r="Q1112" s="66"/>
      <c r="R1112" s="2"/>
      <c r="S1112" s="2"/>
      <c r="T1112" s="2"/>
    </row>
    <row r="1113" spans="1:20">
      <c r="A1113" s="3"/>
      <c r="B1113" s="3"/>
      <c r="C1113" s="2"/>
      <c r="D1113" s="2"/>
      <c r="E1113" s="64"/>
      <c r="F1113" s="64"/>
      <c r="G1113" s="64"/>
      <c r="H1113" s="64"/>
      <c r="I1113" s="2"/>
      <c r="J1113" s="2"/>
      <c r="K1113" s="2"/>
      <c r="L1113" s="2"/>
      <c r="M1113" s="2"/>
      <c r="N1113" s="2"/>
      <c r="O1113" s="2"/>
      <c r="P1113" s="66"/>
      <c r="Q1113" s="66"/>
      <c r="R1113" s="2"/>
      <c r="S1113" s="2"/>
      <c r="T1113" s="2"/>
    </row>
    <row r="1114" spans="1:20">
      <c r="A1114" s="3"/>
      <c r="B1114" s="3"/>
      <c r="C1114" s="2"/>
      <c r="D1114" s="2"/>
      <c r="E1114" s="64"/>
      <c r="F1114" s="64"/>
      <c r="G1114" s="64"/>
      <c r="H1114" s="64"/>
      <c r="I1114" s="2"/>
      <c r="J1114" s="2"/>
      <c r="K1114" s="2"/>
      <c r="L1114" s="2"/>
      <c r="M1114" s="2"/>
      <c r="N1114" s="2"/>
      <c r="O1114" s="2"/>
      <c r="P1114" s="66"/>
      <c r="Q1114" s="66"/>
      <c r="R1114" s="2"/>
      <c r="S1114" s="2"/>
      <c r="T1114" s="2"/>
    </row>
    <row r="1115" spans="1:20">
      <c r="A1115" s="3"/>
      <c r="B1115" s="3"/>
      <c r="C1115" s="2"/>
      <c r="D1115" s="2"/>
      <c r="E1115" s="64"/>
      <c r="F1115" s="64"/>
      <c r="G1115" s="64"/>
      <c r="H1115" s="64"/>
      <c r="I1115" s="2"/>
      <c r="J1115" s="2"/>
      <c r="K1115" s="2"/>
      <c r="L1115" s="2"/>
      <c r="M1115" s="2"/>
      <c r="N1115" s="2"/>
      <c r="O1115" s="2"/>
      <c r="P1115" s="66"/>
      <c r="Q1115" s="66"/>
      <c r="R1115" s="2"/>
      <c r="S1115" s="2"/>
      <c r="T1115" s="2"/>
    </row>
    <row r="1116" spans="1:20">
      <c r="A1116" s="3"/>
      <c r="B1116" s="3"/>
      <c r="C1116" s="2"/>
      <c r="D1116" s="2"/>
      <c r="E1116" s="64"/>
      <c r="F1116" s="64"/>
      <c r="G1116" s="64"/>
      <c r="H1116" s="64"/>
      <c r="I1116" s="2"/>
      <c r="J1116" s="2"/>
      <c r="K1116" s="2"/>
      <c r="L1116" s="2"/>
      <c r="M1116" s="2"/>
      <c r="N1116" s="2"/>
      <c r="O1116" s="2"/>
      <c r="P1116" s="66"/>
      <c r="Q1116" s="66"/>
      <c r="R1116" s="2"/>
      <c r="S1116" s="2"/>
      <c r="T1116" s="2"/>
    </row>
    <row r="1117" spans="1:20">
      <c r="A1117" s="3"/>
      <c r="B1117" s="3"/>
      <c r="C1117" s="2"/>
      <c r="D1117" s="2"/>
      <c r="E1117" s="64"/>
      <c r="F1117" s="64"/>
      <c r="G1117" s="64"/>
      <c r="H1117" s="64"/>
      <c r="I1117" s="2"/>
      <c r="J1117" s="2"/>
      <c r="K1117" s="2"/>
      <c r="L1117" s="2"/>
      <c r="M1117" s="2"/>
      <c r="N1117" s="2"/>
      <c r="O1117" s="2"/>
      <c r="P1117" s="66"/>
      <c r="Q1117" s="66"/>
      <c r="R1117" s="2"/>
      <c r="S1117" s="2"/>
      <c r="T1117" s="2"/>
    </row>
    <row r="1118" spans="1:20">
      <c r="A1118" s="3"/>
      <c r="B1118" s="3"/>
      <c r="C1118" s="2"/>
      <c r="D1118" s="2"/>
      <c r="E1118" s="64"/>
      <c r="F1118" s="64"/>
      <c r="G1118" s="64"/>
      <c r="H1118" s="64"/>
      <c r="I1118" s="2"/>
      <c r="J1118" s="2"/>
      <c r="K1118" s="2"/>
      <c r="L1118" s="2"/>
      <c r="M1118" s="2"/>
      <c r="N1118" s="2"/>
      <c r="O1118" s="2"/>
      <c r="P1118" s="66"/>
      <c r="Q1118" s="66"/>
      <c r="R1118" s="2"/>
      <c r="S1118" s="2"/>
      <c r="T1118" s="2"/>
    </row>
    <row r="1119" spans="1:20">
      <c r="A1119" s="3"/>
      <c r="B1119" s="3"/>
      <c r="C1119" s="2"/>
      <c r="D1119" s="2"/>
      <c r="E1119" s="64"/>
      <c r="F1119" s="64"/>
      <c r="G1119" s="64"/>
      <c r="H1119" s="64"/>
      <c r="I1119" s="2"/>
      <c r="J1119" s="2"/>
      <c r="K1119" s="2"/>
      <c r="L1119" s="2"/>
      <c r="M1119" s="2"/>
      <c r="N1119" s="2"/>
      <c r="O1119" s="2"/>
      <c r="P1119" s="66"/>
      <c r="Q1119" s="66"/>
      <c r="R1119" s="2"/>
      <c r="S1119" s="2"/>
      <c r="T1119" s="2"/>
    </row>
    <row r="1120" spans="1:20">
      <c r="A1120" s="3"/>
      <c r="B1120" s="3"/>
      <c r="C1120" s="2"/>
      <c r="D1120" s="2"/>
      <c r="E1120" s="64"/>
      <c r="F1120" s="64"/>
      <c r="G1120" s="64"/>
      <c r="H1120" s="64"/>
      <c r="I1120" s="2"/>
      <c r="J1120" s="2"/>
      <c r="K1120" s="2"/>
      <c r="L1120" s="2"/>
      <c r="M1120" s="2"/>
      <c r="N1120" s="2"/>
      <c r="O1120" s="2"/>
      <c r="P1120" s="66"/>
      <c r="Q1120" s="66"/>
      <c r="R1120" s="2"/>
      <c r="S1120" s="2"/>
      <c r="T1120" s="2"/>
    </row>
    <row r="1121" spans="1:20">
      <c r="A1121" s="3"/>
      <c r="B1121" s="3"/>
      <c r="C1121" s="2"/>
      <c r="D1121" s="2"/>
      <c r="E1121" s="64"/>
      <c r="F1121" s="64"/>
      <c r="G1121" s="64"/>
      <c r="H1121" s="64"/>
      <c r="I1121" s="2"/>
      <c r="J1121" s="2"/>
      <c r="K1121" s="2"/>
      <c r="L1121" s="2"/>
      <c r="M1121" s="2"/>
      <c r="N1121" s="2"/>
      <c r="O1121" s="2"/>
      <c r="P1121" s="66"/>
      <c r="Q1121" s="66"/>
      <c r="R1121" s="2"/>
      <c r="S1121" s="2"/>
      <c r="T1121" s="2"/>
    </row>
    <row r="1122" spans="1:20">
      <c r="A1122" s="3"/>
      <c r="B1122" s="3"/>
      <c r="C1122" s="2"/>
      <c r="D1122" s="2"/>
      <c r="E1122" s="64"/>
      <c r="F1122" s="64"/>
      <c r="G1122" s="64"/>
      <c r="H1122" s="64"/>
      <c r="I1122" s="2"/>
      <c r="J1122" s="2"/>
      <c r="K1122" s="2"/>
      <c r="L1122" s="2"/>
      <c r="M1122" s="2"/>
      <c r="N1122" s="2"/>
      <c r="O1122" s="2"/>
      <c r="P1122" s="66"/>
      <c r="Q1122" s="66"/>
      <c r="R1122" s="2"/>
      <c r="S1122" s="2"/>
      <c r="T1122" s="2"/>
    </row>
    <row r="1123" spans="1:20">
      <c r="A1123" s="3"/>
      <c r="B1123" s="3"/>
      <c r="C1123" s="2"/>
      <c r="D1123" s="2"/>
      <c r="E1123" s="64"/>
      <c r="F1123" s="64"/>
      <c r="G1123" s="64"/>
      <c r="H1123" s="64"/>
      <c r="I1123" s="2"/>
      <c r="J1123" s="2"/>
      <c r="K1123" s="2"/>
      <c r="L1123" s="2"/>
      <c r="M1123" s="2"/>
      <c r="N1123" s="2"/>
      <c r="O1123" s="2"/>
      <c r="P1123" s="66"/>
      <c r="Q1123" s="66"/>
      <c r="R1123" s="2"/>
      <c r="S1123" s="2"/>
      <c r="T1123" s="2"/>
    </row>
    <row r="1124" spans="1:20">
      <c r="A1124" s="3"/>
      <c r="B1124" s="3"/>
      <c r="C1124" s="2"/>
      <c r="D1124" s="2"/>
      <c r="E1124" s="64"/>
      <c r="F1124" s="64"/>
      <c r="G1124" s="64"/>
      <c r="H1124" s="64"/>
      <c r="I1124" s="2"/>
      <c r="J1124" s="2"/>
      <c r="K1124" s="2"/>
      <c r="L1124" s="2"/>
      <c r="M1124" s="2"/>
      <c r="N1124" s="2"/>
      <c r="O1124" s="2"/>
      <c r="P1124" s="66"/>
      <c r="Q1124" s="66"/>
      <c r="R1124" s="2"/>
      <c r="S1124" s="2"/>
      <c r="T1124" s="2"/>
    </row>
    <row r="1125" spans="1:20">
      <c r="A1125" s="3"/>
      <c r="B1125" s="3"/>
      <c r="C1125" s="2"/>
      <c r="D1125" s="2"/>
      <c r="E1125" s="64"/>
      <c r="F1125" s="64"/>
      <c r="G1125" s="64"/>
      <c r="H1125" s="64"/>
      <c r="I1125" s="2"/>
      <c r="J1125" s="2"/>
      <c r="K1125" s="2"/>
      <c r="L1125" s="2"/>
      <c r="M1125" s="2"/>
      <c r="N1125" s="2"/>
      <c r="O1125" s="2"/>
      <c r="P1125" s="66"/>
      <c r="Q1125" s="66"/>
      <c r="R1125" s="2"/>
      <c r="S1125" s="2"/>
      <c r="T1125" s="2"/>
    </row>
    <row r="1126" spans="1:20">
      <c r="A1126" s="3"/>
      <c r="B1126" s="3"/>
      <c r="C1126" s="2"/>
      <c r="D1126" s="2"/>
      <c r="E1126" s="64"/>
      <c r="F1126" s="64"/>
      <c r="G1126" s="64"/>
      <c r="H1126" s="64"/>
      <c r="I1126" s="2"/>
      <c r="J1126" s="2"/>
      <c r="K1126" s="2"/>
      <c r="L1126" s="2"/>
      <c r="M1126" s="2"/>
      <c r="N1126" s="2"/>
      <c r="O1126" s="2"/>
      <c r="P1126" s="66"/>
      <c r="Q1126" s="66"/>
      <c r="R1126" s="2"/>
      <c r="S1126" s="2"/>
      <c r="T1126" s="2"/>
    </row>
    <row r="1127" spans="1:20">
      <c r="A1127" s="3"/>
      <c r="B1127" s="3"/>
      <c r="C1127" s="2"/>
      <c r="D1127" s="2"/>
      <c r="E1127" s="64"/>
      <c r="F1127" s="64"/>
      <c r="G1127" s="64"/>
      <c r="H1127" s="64"/>
      <c r="I1127" s="2"/>
      <c r="J1127" s="2"/>
      <c r="K1127" s="2"/>
      <c r="L1127" s="2"/>
      <c r="M1127" s="2"/>
      <c r="N1127" s="2"/>
      <c r="O1127" s="2"/>
      <c r="P1127" s="66"/>
      <c r="Q1127" s="66"/>
      <c r="R1127" s="2"/>
      <c r="S1127" s="2"/>
      <c r="T1127" s="2"/>
    </row>
    <row r="1128" spans="1:20">
      <c r="A1128" s="3"/>
      <c r="B1128" s="3"/>
      <c r="C1128" s="2"/>
      <c r="D1128" s="2"/>
      <c r="E1128" s="64"/>
      <c r="F1128" s="64"/>
      <c r="G1128" s="64"/>
      <c r="H1128" s="64"/>
      <c r="I1128" s="2"/>
      <c r="J1128" s="2"/>
      <c r="K1128" s="2"/>
      <c r="L1128" s="2"/>
      <c r="M1128" s="2"/>
      <c r="N1128" s="2"/>
      <c r="O1128" s="2"/>
      <c r="P1128" s="66"/>
      <c r="Q1128" s="66"/>
      <c r="R1128" s="2"/>
      <c r="S1128" s="2"/>
      <c r="T1128" s="2"/>
    </row>
    <row r="1129" spans="1:20">
      <c r="A1129" s="3"/>
      <c r="B1129" s="3"/>
      <c r="C1129" s="2"/>
      <c r="D1129" s="2"/>
      <c r="E1129" s="64"/>
      <c r="F1129" s="64"/>
      <c r="G1129" s="64"/>
      <c r="H1129" s="64"/>
      <c r="I1129" s="2"/>
      <c r="J1129" s="2"/>
      <c r="K1129" s="2"/>
      <c r="L1129" s="2"/>
      <c r="M1129" s="2"/>
      <c r="N1129" s="2"/>
      <c r="O1129" s="2"/>
      <c r="P1129" s="66"/>
      <c r="Q1129" s="66"/>
      <c r="R1129" s="2"/>
      <c r="S1129" s="2"/>
      <c r="T1129" s="2"/>
    </row>
    <row r="1130" spans="1:20">
      <c r="A1130" s="3"/>
      <c r="B1130" s="3"/>
      <c r="C1130" s="2"/>
      <c r="D1130" s="2"/>
      <c r="E1130" s="64"/>
      <c r="F1130" s="64"/>
      <c r="G1130" s="64"/>
      <c r="H1130" s="64"/>
      <c r="I1130" s="2"/>
      <c r="J1130" s="2"/>
      <c r="K1130" s="2"/>
      <c r="L1130" s="2"/>
      <c r="M1130" s="2"/>
      <c r="N1130" s="2"/>
      <c r="O1130" s="2"/>
      <c r="P1130" s="66"/>
      <c r="Q1130" s="66"/>
      <c r="R1130" s="2"/>
      <c r="S1130" s="2"/>
      <c r="T1130" s="2"/>
    </row>
    <row r="1131" spans="1:20">
      <c r="A1131" s="3"/>
      <c r="B1131" s="3"/>
      <c r="C1131" s="2"/>
      <c r="D1131" s="2"/>
      <c r="E1131" s="64"/>
      <c r="F1131" s="64"/>
      <c r="G1131" s="64"/>
      <c r="H1131" s="64"/>
      <c r="I1131" s="2"/>
      <c r="J1131" s="2"/>
      <c r="K1131" s="2"/>
      <c r="L1131" s="2"/>
      <c r="M1131" s="2"/>
      <c r="N1131" s="2"/>
      <c r="O1131" s="2"/>
      <c r="P1131" s="66"/>
      <c r="Q1131" s="66"/>
      <c r="R1131" s="2"/>
      <c r="S1131" s="2"/>
      <c r="T1131" s="2"/>
    </row>
    <row r="1132" spans="1:20">
      <c r="A1132" s="3"/>
      <c r="B1132" s="3"/>
      <c r="C1132" s="2"/>
      <c r="D1132" s="2"/>
      <c r="E1132" s="64"/>
      <c r="F1132" s="64"/>
      <c r="G1132" s="64"/>
      <c r="H1132" s="64"/>
      <c r="I1132" s="2"/>
      <c r="J1132" s="2"/>
      <c r="K1132" s="2"/>
      <c r="L1132" s="2"/>
      <c r="M1132" s="2"/>
      <c r="N1132" s="2"/>
      <c r="O1132" s="2"/>
      <c r="P1132" s="66"/>
      <c r="Q1132" s="66"/>
      <c r="R1132" s="2"/>
      <c r="S1132" s="2"/>
      <c r="T1132" s="2"/>
    </row>
    <row r="1133" spans="1:20">
      <c r="A1133" s="3"/>
      <c r="B1133" s="3"/>
      <c r="C1133" s="2"/>
      <c r="D1133" s="2"/>
      <c r="E1133" s="64"/>
      <c r="F1133" s="64"/>
      <c r="G1133" s="64"/>
      <c r="H1133" s="64"/>
      <c r="I1133" s="2"/>
      <c r="J1133" s="2"/>
      <c r="K1133" s="2"/>
      <c r="L1133" s="2"/>
      <c r="M1133" s="2"/>
      <c r="N1133" s="2"/>
      <c r="O1133" s="2"/>
      <c r="P1133" s="66"/>
      <c r="Q1133" s="66"/>
      <c r="R1133" s="2"/>
      <c r="S1133" s="2"/>
      <c r="T1133" s="2"/>
    </row>
    <row r="1134" spans="1:20">
      <c r="A1134" s="3"/>
      <c r="B1134" s="3"/>
      <c r="C1134" s="2"/>
      <c r="D1134" s="2"/>
      <c r="E1134" s="64"/>
      <c r="F1134" s="64"/>
      <c r="G1134" s="64"/>
      <c r="H1134" s="64"/>
      <c r="I1134" s="2"/>
      <c r="J1134" s="2"/>
      <c r="K1134" s="2"/>
      <c r="L1134" s="2"/>
      <c r="M1134" s="2"/>
      <c r="N1134" s="2"/>
      <c r="O1134" s="2"/>
      <c r="P1134" s="66"/>
      <c r="Q1134" s="66"/>
      <c r="R1134" s="2"/>
    </row>
    <row r="1135" spans="1:20">
      <c r="A1135" s="3"/>
      <c r="B1135" s="3"/>
      <c r="C1135" s="2"/>
      <c r="D1135" s="2"/>
      <c r="E1135" s="64"/>
      <c r="F1135" s="64"/>
      <c r="G1135" s="64"/>
      <c r="H1135" s="64"/>
      <c r="I1135" s="2"/>
      <c r="J1135" s="2"/>
      <c r="K1135" s="2"/>
      <c r="L1135" s="2"/>
      <c r="M1135" s="2"/>
      <c r="N1135" s="2"/>
      <c r="O1135" s="2"/>
      <c r="P1135" s="66"/>
      <c r="Q1135" s="66"/>
      <c r="R1135" s="2"/>
    </row>
    <row r="1136" spans="1:20">
      <c r="A1136" s="3"/>
      <c r="B1136" s="3"/>
      <c r="C1136" s="2"/>
      <c r="D1136" s="2"/>
      <c r="E1136" s="64"/>
      <c r="F1136" s="64"/>
      <c r="G1136" s="64"/>
      <c r="H1136" s="64"/>
      <c r="I1136" s="2"/>
      <c r="J1136" s="2"/>
      <c r="K1136" s="2"/>
      <c r="L1136" s="2"/>
      <c r="M1136" s="2"/>
      <c r="N1136" s="2"/>
      <c r="O1136" s="2"/>
      <c r="P1136" s="66"/>
      <c r="Q1136" s="66"/>
      <c r="R1136" s="2"/>
    </row>
    <row r="1137" spans="1:18">
      <c r="A1137" s="3"/>
      <c r="B1137" s="3"/>
      <c r="C1137" s="2"/>
      <c r="D1137" s="2"/>
      <c r="E1137" s="64"/>
      <c r="F1137" s="64"/>
      <c r="G1137" s="64"/>
      <c r="H1137" s="64"/>
      <c r="I1137" s="2"/>
      <c r="J1137" s="2"/>
      <c r="K1137" s="2"/>
      <c r="L1137" s="2"/>
      <c r="M1137" s="2"/>
      <c r="N1137" s="2"/>
      <c r="O1137" s="2"/>
      <c r="P1137" s="66"/>
      <c r="Q1137" s="66"/>
      <c r="R1137" s="2"/>
    </row>
    <row r="1138" spans="1:18">
      <c r="A1138" s="3"/>
      <c r="B1138" s="3"/>
      <c r="C1138" s="2"/>
      <c r="D1138" s="2"/>
      <c r="E1138" s="64"/>
      <c r="F1138" s="64"/>
      <c r="G1138" s="64"/>
      <c r="H1138" s="64"/>
      <c r="I1138" s="2"/>
      <c r="J1138" s="2"/>
      <c r="K1138" s="2"/>
      <c r="L1138" s="2"/>
      <c r="M1138" s="2"/>
      <c r="N1138" s="2"/>
      <c r="O1138" s="2"/>
      <c r="P1138" s="66"/>
      <c r="Q1138" s="66"/>
      <c r="R1138" s="2"/>
    </row>
    <row r="1139" spans="1:18">
      <c r="A1139" s="3"/>
      <c r="B1139" s="3"/>
      <c r="C1139" s="2"/>
      <c r="D1139" s="2"/>
      <c r="E1139" s="64"/>
      <c r="F1139" s="64"/>
      <c r="G1139" s="64"/>
      <c r="H1139" s="64"/>
      <c r="I1139" s="2"/>
      <c r="J1139" s="2"/>
      <c r="K1139" s="2"/>
      <c r="L1139" s="2"/>
      <c r="M1139" s="2"/>
      <c r="N1139" s="2"/>
      <c r="O1139" s="2"/>
      <c r="P1139" s="66"/>
      <c r="Q1139" s="66"/>
      <c r="R1139" s="2"/>
    </row>
    <row r="1140" spans="1:18">
      <c r="A1140" s="3"/>
      <c r="B1140" s="3"/>
      <c r="C1140" s="2"/>
      <c r="D1140" s="2"/>
      <c r="E1140" s="64"/>
      <c r="F1140" s="64"/>
      <c r="G1140" s="64"/>
      <c r="H1140" s="64"/>
      <c r="I1140" s="2"/>
      <c r="J1140" s="2"/>
      <c r="K1140" s="2"/>
      <c r="L1140" s="2"/>
      <c r="M1140" s="2"/>
      <c r="N1140" s="2"/>
      <c r="O1140" s="2"/>
      <c r="P1140" s="66"/>
      <c r="Q1140" s="66"/>
      <c r="R1140" s="2"/>
    </row>
    <row r="1141" spans="1:18">
      <c r="A1141" s="3"/>
      <c r="B1141" s="3"/>
      <c r="C1141" s="2"/>
      <c r="D1141" s="2"/>
      <c r="E1141" s="64"/>
      <c r="F1141" s="64"/>
      <c r="G1141" s="64"/>
      <c r="H1141" s="64"/>
      <c r="I1141" s="2"/>
      <c r="J1141" s="2"/>
      <c r="K1141" s="2"/>
      <c r="L1141" s="2"/>
      <c r="M1141" s="2"/>
      <c r="N1141" s="2"/>
      <c r="O1141" s="2"/>
      <c r="P1141" s="66"/>
      <c r="Q1141" s="66"/>
      <c r="R1141" s="2"/>
    </row>
    <row r="1142" spans="1:18">
      <c r="A1142" s="3"/>
      <c r="B1142" s="3"/>
      <c r="C1142" s="2"/>
      <c r="D1142" s="2"/>
      <c r="E1142" s="64"/>
      <c r="F1142" s="64"/>
      <c r="G1142" s="64"/>
      <c r="H1142" s="64"/>
      <c r="I1142" s="2"/>
      <c r="J1142" s="2"/>
      <c r="K1142" s="2"/>
      <c r="L1142" s="2"/>
      <c r="M1142" s="2"/>
      <c r="N1142" s="2"/>
      <c r="O1142" s="2"/>
      <c r="P1142" s="66"/>
      <c r="Q1142" s="66"/>
      <c r="R1142" s="2"/>
    </row>
    <row r="1143" spans="1:18">
      <c r="A1143" s="3"/>
      <c r="B1143" s="3"/>
      <c r="C1143" s="2"/>
      <c r="D1143" s="2"/>
      <c r="E1143" s="64"/>
      <c r="F1143" s="64"/>
      <c r="G1143" s="64"/>
      <c r="H1143" s="64"/>
      <c r="I1143" s="2"/>
      <c r="J1143" s="2"/>
      <c r="K1143" s="2"/>
      <c r="L1143" s="2"/>
      <c r="M1143" s="2"/>
      <c r="N1143" s="2"/>
      <c r="O1143" s="2"/>
      <c r="P1143" s="66"/>
      <c r="Q1143" s="66"/>
      <c r="R1143" s="2"/>
    </row>
    <row r="1144" spans="1:18">
      <c r="A1144" s="3"/>
      <c r="B1144" s="3"/>
      <c r="C1144" s="2"/>
      <c r="D1144" s="2"/>
      <c r="E1144" s="64"/>
      <c r="F1144" s="64"/>
      <c r="G1144" s="64"/>
      <c r="H1144" s="64"/>
      <c r="I1144" s="2"/>
      <c r="J1144" s="2"/>
      <c r="K1144" s="2"/>
      <c r="L1144" s="2"/>
      <c r="M1144" s="2"/>
      <c r="N1144" s="2"/>
      <c r="O1144" s="2"/>
      <c r="P1144" s="66"/>
      <c r="Q1144" s="66"/>
      <c r="R1144" s="2"/>
    </row>
    <row r="1145" spans="1:18">
      <c r="A1145" s="3"/>
      <c r="B1145" s="3"/>
      <c r="C1145" s="2"/>
      <c r="D1145" s="2"/>
      <c r="E1145" s="64"/>
      <c r="F1145" s="64"/>
      <c r="G1145" s="64"/>
      <c r="H1145" s="64"/>
      <c r="I1145" s="2"/>
      <c r="J1145" s="2"/>
      <c r="K1145" s="2"/>
      <c r="L1145" s="2"/>
      <c r="M1145" s="2"/>
      <c r="N1145" s="2"/>
      <c r="O1145" s="2"/>
      <c r="P1145" s="66"/>
      <c r="Q1145" s="66"/>
      <c r="R1145" s="2"/>
    </row>
    <row r="1146" spans="1:18">
      <c r="A1146" s="3"/>
      <c r="B1146" s="3"/>
      <c r="C1146" s="2"/>
      <c r="D1146" s="2"/>
      <c r="E1146" s="64"/>
      <c r="F1146" s="64"/>
      <c r="G1146" s="64"/>
      <c r="H1146" s="64"/>
      <c r="I1146" s="2"/>
      <c r="J1146" s="2"/>
      <c r="K1146" s="2"/>
      <c r="L1146" s="2"/>
      <c r="M1146" s="2"/>
      <c r="N1146" s="2"/>
      <c r="O1146" s="2"/>
      <c r="P1146" s="66"/>
      <c r="Q1146" s="66"/>
      <c r="R1146" s="2"/>
    </row>
    <row r="1147" spans="1:18">
      <c r="A1147" s="3"/>
      <c r="B1147" s="3"/>
      <c r="C1147" s="2"/>
      <c r="D1147" s="2"/>
      <c r="E1147" s="64"/>
      <c r="F1147" s="64"/>
      <c r="G1147" s="64"/>
      <c r="H1147" s="64"/>
      <c r="I1147" s="2"/>
      <c r="J1147" s="2"/>
      <c r="K1147" s="2"/>
      <c r="L1147" s="2"/>
      <c r="M1147" s="2"/>
      <c r="N1147" s="2"/>
      <c r="O1147" s="2"/>
      <c r="P1147" s="66"/>
      <c r="Q1147" s="66"/>
      <c r="R1147" s="2"/>
    </row>
    <row r="1148" spans="1:18">
      <c r="A1148" s="3"/>
      <c r="B1148" s="3"/>
      <c r="C1148" s="2"/>
      <c r="D1148" s="2"/>
      <c r="E1148" s="64"/>
      <c r="F1148" s="64"/>
      <c r="G1148" s="64"/>
      <c r="H1148" s="64"/>
      <c r="I1148" s="2"/>
      <c r="J1148" s="2"/>
      <c r="K1148" s="2"/>
      <c r="L1148" s="2"/>
      <c r="M1148" s="2"/>
      <c r="N1148" s="2"/>
      <c r="O1148" s="2"/>
      <c r="P1148" s="66"/>
      <c r="Q1148" s="66"/>
      <c r="R1148" s="2"/>
    </row>
    <row r="1149" spans="1:18">
      <c r="A1149" s="3"/>
      <c r="B1149" s="3"/>
      <c r="C1149" s="2"/>
      <c r="D1149" s="2"/>
      <c r="E1149" s="64"/>
      <c r="F1149" s="64"/>
      <c r="G1149" s="64"/>
      <c r="H1149" s="64"/>
      <c r="I1149" s="2"/>
      <c r="J1149" s="2"/>
      <c r="K1149" s="2"/>
      <c r="L1149" s="2"/>
      <c r="M1149" s="2"/>
      <c r="N1149" s="2"/>
      <c r="O1149" s="2"/>
      <c r="P1149" s="66"/>
      <c r="Q1149" s="66"/>
      <c r="R1149" s="2"/>
    </row>
    <row r="1150" spans="1:18">
      <c r="A1150" s="3"/>
      <c r="B1150" s="3"/>
      <c r="C1150" s="2"/>
      <c r="D1150" s="2"/>
      <c r="E1150" s="64"/>
      <c r="F1150" s="64"/>
      <c r="G1150" s="64"/>
      <c r="H1150" s="64"/>
      <c r="I1150" s="2"/>
      <c r="J1150" s="2"/>
      <c r="K1150" s="2"/>
      <c r="L1150" s="2"/>
      <c r="M1150" s="2"/>
      <c r="N1150" s="2"/>
      <c r="O1150" s="2"/>
      <c r="P1150" s="66"/>
      <c r="Q1150" s="66"/>
      <c r="R1150" s="2"/>
    </row>
    <row r="1151" spans="1:18">
      <c r="A1151" s="3"/>
      <c r="B1151" s="3"/>
      <c r="C1151" s="2"/>
      <c r="D1151" s="2"/>
      <c r="E1151" s="64"/>
      <c r="F1151" s="64"/>
      <c r="G1151" s="64"/>
      <c r="H1151" s="64"/>
      <c r="I1151" s="2"/>
      <c r="J1151" s="2"/>
      <c r="K1151" s="2"/>
      <c r="L1151" s="2"/>
      <c r="M1151" s="2"/>
      <c r="N1151" s="2"/>
      <c r="O1151" s="2"/>
      <c r="P1151" s="66"/>
      <c r="Q1151" s="66"/>
      <c r="R1151" s="2"/>
    </row>
    <row r="1152" spans="1:18">
      <c r="A1152" s="3"/>
      <c r="B1152" s="3"/>
      <c r="C1152" s="2"/>
      <c r="D1152" s="2"/>
      <c r="E1152" s="64"/>
      <c r="F1152" s="64"/>
      <c r="G1152" s="64"/>
      <c r="H1152" s="64"/>
      <c r="I1152" s="2"/>
      <c r="J1152" s="2"/>
      <c r="K1152" s="2"/>
      <c r="L1152" s="2"/>
      <c r="M1152" s="2"/>
      <c r="N1152" s="2"/>
      <c r="O1152" s="2"/>
      <c r="P1152" s="66"/>
      <c r="Q1152" s="66"/>
      <c r="R1152" s="2"/>
    </row>
    <row r="1153" spans="1:18">
      <c r="A1153" s="3"/>
      <c r="B1153" s="3"/>
      <c r="C1153" s="2"/>
      <c r="D1153" s="2"/>
      <c r="E1153" s="64"/>
      <c r="F1153" s="64"/>
      <c r="G1153" s="64"/>
      <c r="H1153" s="64"/>
      <c r="I1153" s="2"/>
      <c r="J1153" s="2"/>
      <c r="K1153" s="2"/>
      <c r="L1153" s="2"/>
      <c r="M1153" s="2"/>
      <c r="N1153" s="2"/>
      <c r="O1153" s="2"/>
      <c r="P1153" s="66"/>
      <c r="Q1153" s="66"/>
      <c r="R1153" s="2"/>
    </row>
    <row r="1154" spans="1:18">
      <c r="A1154" s="3"/>
      <c r="B1154" s="3"/>
      <c r="C1154" s="2"/>
      <c r="D1154" s="2"/>
      <c r="E1154" s="64"/>
      <c r="F1154" s="64"/>
      <c r="G1154" s="64"/>
      <c r="H1154" s="64"/>
      <c r="I1154" s="2"/>
      <c r="J1154" s="2"/>
      <c r="K1154" s="2"/>
      <c r="L1154" s="2"/>
      <c r="M1154" s="2"/>
      <c r="N1154" s="2"/>
      <c r="O1154" s="2"/>
      <c r="P1154" s="66"/>
      <c r="Q1154" s="66"/>
      <c r="R1154" s="2"/>
    </row>
    <row r="1155" spans="1:18">
      <c r="A1155" s="3"/>
      <c r="B1155" s="3"/>
      <c r="C1155" s="2"/>
      <c r="D1155" s="2"/>
      <c r="E1155" s="64"/>
      <c r="F1155" s="64"/>
      <c r="G1155" s="64"/>
      <c r="H1155" s="64"/>
      <c r="I1155" s="2"/>
      <c r="J1155" s="2"/>
      <c r="K1155" s="2"/>
      <c r="L1155" s="2"/>
      <c r="M1155" s="2"/>
      <c r="N1155" s="2"/>
      <c r="O1155" s="2"/>
      <c r="P1155" s="66"/>
      <c r="Q1155" s="66"/>
      <c r="R1155" s="2"/>
    </row>
    <row r="1156" spans="1:18">
      <c r="A1156" s="3"/>
      <c r="B1156" s="3"/>
      <c r="C1156" s="2"/>
      <c r="D1156" s="2"/>
      <c r="E1156" s="64"/>
      <c r="F1156" s="64"/>
      <c r="G1156" s="64"/>
      <c r="H1156" s="64"/>
      <c r="I1156" s="2"/>
      <c r="J1156" s="2"/>
      <c r="K1156" s="2"/>
      <c r="L1156" s="2"/>
      <c r="M1156" s="2"/>
      <c r="N1156" s="2"/>
      <c r="O1156" s="2"/>
      <c r="P1156" s="66"/>
      <c r="Q1156" s="66"/>
      <c r="R1156" s="2"/>
    </row>
    <row r="1157" spans="1:18">
      <c r="A1157" s="3"/>
      <c r="B1157" s="3"/>
      <c r="C1157" s="2"/>
      <c r="D1157" s="2"/>
      <c r="E1157" s="64"/>
      <c r="F1157" s="64"/>
      <c r="G1157" s="64"/>
      <c r="H1157" s="64"/>
      <c r="I1157" s="2"/>
      <c r="J1157" s="2"/>
      <c r="K1157" s="2"/>
      <c r="L1157" s="2"/>
      <c r="M1157" s="2"/>
      <c r="N1157" s="2"/>
      <c r="O1157" s="2"/>
      <c r="P1157" s="66"/>
      <c r="Q1157" s="66"/>
      <c r="R1157" s="2"/>
    </row>
    <row r="1158" spans="1:18">
      <c r="A1158" s="3"/>
      <c r="B1158" s="3"/>
      <c r="C1158" s="2"/>
      <c r="D1158" s="2"/>
      <c r="E1158" s="64"/>
      <c r="F1158" s="64"/>
      <c r="G1158" s="64"/>
      <c r="H1158" s="64"/>
      <c r="I1158" s="2"/>
      <c r="J1158" s="2"/>
      <c r="K1158" s="2"/>
      <c r="L1158" s="2"/>
      <c r="M1158" s="2"/>
      <c r="N1158" s="2"/>
      <c r="O1158" s="2"/>
      <c r="P1158" s="66"/>
      <c r="Q1158" s="66"/>
      <c r="R1158" s="2"/>
    </row>
    <row r="1159" spans="1:18">
      <c r="A1159" s="3"/>
      <c r="B1159" s="3"/>
      <c r="C1159" s="2"/>
      <c r="D1159" s="2"/>
      <c r="E1159" s="64"/>
      <c r="F1159" s="64"/>
      <c r="G1159" s="64"/>
      <c r="H1159" s="64"/>
      <c r="I1159" s="2"/>
      <c r="J1159" s="2"/>
      <c r="K1159" s="2"/>
      <c r="L1159" s="2"/>
      <c r="M1159" s="2"/>
      <c r="N1159" s="2"/>
      <c r="O1159" s="2"/>
      <c r="P1159" s="66"/>
      <c r="Q1159" s="66"/>
      <c r="R1159" s="2"/>
    </row>
    <row r="1160" spans="1:18">
      <c r="A1160" s="3"/>
      <c r="B1160" s="3"/>
      <c r="C1160" s="2"/>
      <c r="D1160" s="2"/>
      <c r="E1160" s="64"/>
      <c r="F1160" s="64"/>
      <c r="G1160" s="64"/>
      <c r="H1160" s="64"/>
      <c r="I1160" s="2"/>
      <c r="J1160" s="2"/>
      <c r="K1160" s="2"/>
      <c r="L1160" s="2"/>
      <c r="M1160" s="2"/>
      <c r="N1160" s="2"/>
      <c r="O1160" s="2"/>
      <c r="P1160" s="66"/>
      <c r="Q1160" s="66"/>
      <c r="R1160" s="2"/>
    </row>
    <row r="1161" spans="1:18">
      <c r="A1161" s="3"/>
      <c r="B1161" s="3"/>
      <c r="C1161" s="2"/>
      <c r="D1161" s="2"/>
      <c r="E1161" s="64"/>
      <c r="F1161" s="64"/>
      <c r="G1161" s="64"/>
      <c r="H1161" s="64"/>
      <c r="I1161" s="2"/>
      <c r="J1161" s="2"/>
      <c r="K1161" s="2"/>
      <c r="L1161" s="2"/>
      <c r="M1161" s="2"/>
      <c r="N1161" s="2"/>
      <c r="O1161" s="2"/>
      <c r="P1161" s="66"/>
      <c r="Q1161" s="66"/>
      <c r="R1161" s="2"/>
    </row>
    <row r="1162" spans="1:18">
      <c r="A1162" s="3"/>
      <c r="B1162" s="3"/>
      <c r="C1162" s="2"/>
      <c r="D1162" s="2"/>
      <c r="E1162" s="64"/>
      <c r="F1162" s="64"/>
      <c r="G1162" s="64"/>
      <c r="H1162" s="64"/>
      <c r="I1162" s="2"/>
      <c r="J1162" s="2"/>
      <c r="K1162" s="2"/>
      <c r="L1162" s="2"/>
      <c r="M1162" s="2"/>
      <c r="N1162" s="2"/>
      <c r="O1162" s="2"/>
      <c r="P1162" s="66"/>
      <c r="Q1162" s="66"/>
      <c r="R1162" s="2"/>
    </row>
    <row r="1163" spans="1:18">
      <c r="A1163" s="3"/>
      <c r="B1163" s="3"/>
      <c r="C1163" s="2"/>
      <c r="D1163" s="2"/>
      <c r="E1163" s="64"/>
      <c r="F1163" s="64"/>
      <c r="G1163" s="64"/>
      <c r="H1163" s="64"/>
      <c r="I1163" s="2"/>
      <c r="J1163" s="2"/>
      <c r="K1163" s="2"/>
      <c r="L1163" s="2"/>
      <c r="M1163" s="2"/>
      <c r="N1163" s="2"/>
      <c r="O1163" s="2"/>
      <c r="P1163" s="66"/>
      <c r="Q1163" s="66"/>
      <c r="R1163" s="2"/>
    </row>
    <row r="1164" spans="1:18">
      <c r="A1164" s="3"/>
      <c r="B1164" s="3"/>
      <c r="C1164" s="2"/>
      <c r="D1164" s="2"/>
      <c r="E1164" s="64"/>
      <c r="F1164" s="64"/>
      <c r="G1164" s="64"/>
      <c r="H1164" s="64"/>
      <c r="I1164" s="2"/>
      <c r="J1164" s="2"/>
      <c r="K1164" s="2"/>
      <c r="L1164" s="2"/>
      <c r="M1164" s="2"/>
      <c r="N1164" s="2"/>
      <c r="O1164" s="2"/>
      <c r="P1164" s="66"/>
      <c r="Q1164" s="66"/>
      <c r="R1164" s="2"/>
    </row>
    <row r="1165" spans="1:18">
      <c r="A1165" s="3"/>
      <c r="B1165" s="3"/>
      <c r="C1165" s="2"/>
      <c r="D1165" s="2"/>
      <c r="E1165" s="64"/>
      <c r="F1165" s="64"/>
      <c r="G1165" s="64"/>
      <c r="H1165" s="64"/>
      <c r="I1165" s="2"/>
      <c r="J1165" s="2"/>
      <c r="K1165" s="2"/>
      <c r="L1165" s="2"/>
      <c r="M1165" s="2"/>
      <c r="N1165" s="2"/>
      <c r="O1165" s="2"/>
      <c r="P1165" s="66"/>
      <c r="Q1165" s="66"/>
      <c r="R1165" s="2"/>
    </row>
    <row r="1166" spans="1:18">
      <c r="A1166" s="3"/>
      <c r="B1166" s="3"/>
      <c r="C1166" s="2"/>
      <c r="D1166" s="2"/>
      <c r="E1166" s="64"/>
      <c r="F1166" s="64"/>
      <c r="G1166" s="64"/>
      <c r="H1166" s="64"/>
      <c r="I1166" s="2"/>
      <c r="J1166" s="2"/>
      <c r="K1166" s="2"/>
      <c r="L1166" s="2"/>
      <c r="M1166" s="2"/>
      <c r="N1166" s="2"/>
      <c r="O1166" s="2"/>
      <c r="P1166" s="66"/>
      <c r="Q1166" s="66"/>
      <c r="R1166" s="2"/>
    </row>
    <row r="1167" spans="1:18">
      <c r="A1167" s="3"/>
      <c r="B1167" s="3"/>
      <c r="C1167" s="2"/>
      <c r="D1167" s="2"/>
      <c r="E1167" s="64"/>
      <c r="F1167" s="64"/>
      <c r="G1167" s="64"/>
      <c r="H1167" s="64"/>
      <c r="I1167" s="2"/>
      <c r="J1167" s="2"/>
      <c r="K1167" s="2"/>
      <c r="L1167" s="2"/>
      <c r="M1167" s="2"/>
      <c r="N1167" s="2"/>
      <c r="O1167" s="2"/>
      <c r="P1167" s="66"/>
      <c r="Q1167" s="66"/>
      <c r="R1167" s="2"/>
    </row>
    <row r="1168" spans="1:18">
      <c r="A1168" s="3"/>
      <c r="B1168" s="3"/>
      <c r="C1168" s="2"/>
      <c r="D1168" s="2"/>
      <c r="E1168" s="64"/>
      <c r="F1168" s="64"/>
      <c r="G1168" s="64"/>
      <c r="H1168" s="64"/>
      <c r="I1168" s="2"/>
      <c r="J1168" s="2"/>
      <c r="K1168" s="2"/>
      <c r="L1168" s="2"/>
      <c r="M1168" s="2"/>
      <c r="N1168" s="2"/>
      <c r="O1168" s="2"/>
      <c r="P1168" s="66"/>
      <c r="Q1168" s="66"/>
      <c r="R1168" s="2"/>
    </row>
    <row r="1169" spans="1:18">
      <c r="A1169" s="3"/>
      <c r="B1169" s="3"/>
      <c r="C1169" s="2"/>
      <c r="D1169" s="2"/>
      <c r="E1169" s="64"/>
      <c r="F1169" s="64"/>
      <c r="G1169" s="64"/>
      <c r="H1169" s="64"/>
      <c r="I1169" s="2"/>
      <c r="J1169" s="2"/>
      <c r="K1169" s="2"/>
      <c r="L1169" s="2"/>
      <c r="M1169" s="2"/>
      <c r="N1169" s="2"/>
      <c r="O1169" s="2"/>
      <c r="P1169" s="66"/>
      <c r="Q1169" s="66"/>
      <c r="R1169" s="2"/>
    </row>
    <row r="1170" spans="1:18">
      <c r="A1170" s="3"/>
      <c r="B1170" s="3"/>
      <c r="C1170" s="2"/>
      <c r="D1170" s="2"/>
      <c r="E1170" s="64"/>
      <c r="F1170" s="64"/>
      <c r="G1170" s="64"/>
      <c r="H1170" s="64"/>
      <c r="I1170" s="2"/>
      <c r="J1170" s="2"/>
      <c r="K1170" s="2"/>
      <c r="L1170" s="2"/>
      <c r="M1170" s="2"/>
      <c r="N1170" s="2"/>
      <c r="O1170" s="2"/>
      <c r="P1170" s="66"/>
      <c r="Q1170" s="66"/>
      <c r="R1170" s="2"/>
    </row>
    <row r="1171" spans="1:18">
      <c r="A1171" s="3"/>
      <c r="B1171" s="3"/>
      <c r="C1171" s="2"/>
      <c r="D1171" s="2"/>
      <c r="E1171" s="64"/>
      <c r="F1171" s="64"/>
      <c r="G1171" s="64"/>
      <c r="H1171" s="64"/>
      <c r="I1171" s="2"/>
      <c r="J1171" s="2"/>
      <c r="K1171" s="2"/>
      <c r="L1171" s="2"/>
      <c r="M1171" s="2"/>
      <c r="N1171" s="2"/>
      <c r="O1171" s="2"/>
      <c r="P1171" s="66"/>
      <c r="Q1171" s="66"/>
      <c r="R1171" s="2"/>
    </row>
    <row r="1172" spans="1:18">
      <c r="A1172" s="3"/>
      <c r="B1172" s="3"/>
      <c r="C1172" s="2"/>
      <c r="D1172" s="2"/>
      <c r="E1172" s="64"/>
      <c r="F1172" s="64"/>
      <c r="G1172" s="64"/>
      <c r="H1172" s="64"/>
      <c r="I1172" s="2"/>
      <c r="J1172" s="2"/>
      <c r="K1172" s="2"/>
      <c r="L1172" s="2"/>
      <c r="M1172" s="2"/>
      <c r="N1172" s="2"/>
      <c r="O1172" s="2"/>
      <c r="P1172" s="66"/>
      <c r="Q1172" s="66"/>
      <c r="R1172" s="2"/>
    </row>
    <row r="1173" spans="1:18">
      <c r="A1173" s="3"/>
      <c r="B1173" s="3"/>
      <c r="C1173" s="2"/>
      <c r="D1173" s="2"/>
      <c r="E1173" s="64"/>
      <c r="F1173" s="64"/>
      <c r="G1173" s="64"/>
      <c r="H1173" s="64"/>
      <c r="I1173" s="2"/>
      <c r="J1173" s="2"/>
      <c r="K1173" s="2"/>
      <c r="L1173" s="2"/>
      <c r="M1173" s="2"/>
      <c r="N1173" s="2"/>
      <c r="O1173" s="2"/>
      <c r="P1173" s="66"/>
      <c r="Q1173" s="66"/>
      <c r="R1173" s="2"/>
    </row>
    <row r="1174" spans="1:18">
      <c r="A1174" s="3"/>
      <c r="B1174" s="3"/>
      <c r="C1174" s="2"/>
      <c r="D1174" s="2"/>
      <c r="E1174" s="64"/>
      <c r="F1174" s="64"/>
      <c r="G1174" s="64"/>
      <c r="H1174" s="64"/>
      <c r="I1174" s="2"/>
      <c r="J1174" s="2"/>
      <c r="K1174" s="2"/>
      <c r="L1174" s="2"/>
      <c r="M1174" s="2"/>
      <c r="N1174" s="2"/>
      <c r="O1174" s="2"/>
      <c r="P1174" s="66"/>
      <c r="Q1174" s="66"/>
      <c r="R1174" s="2"/>
    </row>
    <row r="1175" spans="1:18">
      <c r="A1175" s="3"/>
      <c r="B1175" s="3"/>
      <c r="C1175" s="2"/>
      <c r="D1175" s="2"/>
      <c r="E1175" s="64"/>
      <c r="F1175" s="64"/>
      <c r="G1175" s="64"/>
      <c r="H1175" s="64"/>
      <c r="I1175" s="2"/>
      <c r="J1175" s="2"/>
      <c r="K1175" s="2"/>
      <c r="L1175" s="2"/>
      <c r="M1175" s="2"/>
      <c r="N1175" s="2"/>
      <c r="O1175" s="2"/>
      <c r="P1175" s="66"/>
      <c r="Q1175" s="66"/>
      <c r="R1175" s="2"/>
    </row>
    <row r="1176" spans="1:18">
      <c r="A1176" s="3"/>
      <c r="B1176" s="3"/>
      <c r="C1176" s="2"/>
      <c r="D1176" s="2"/>
      <c r="E1176" s="64"/>
      <c r="F1176" s="64"/>
      <c r="G1176" s="64"/>
      <c r="H1176" s="64"/>
      <c r="I1176" s="2"/>
      <c r="J1176" s="2"/>
      <c r="K1176" s="2"/>
      <c r="L1176" s="2"/>
      <c r="M1176" s="2"/>
      <c r="N1176" s="2"/>
      <c r="O1176" s="2"/>
      <c r="P1176" s="66"/>
      <c r="Q1176" s="66"/>
      <c r="R1176" s="2"/>
    </row>
    <row r="1177" spans="1:18">
      <c r="A1177" s="3"/>
      <c r="B1177" s="3"/>
      <c r="C1177" s="2"/>
      <c r="D1177" s="2"/>
      <c r="E1177" s="64"/>
      <c r="F1177" s="64"/>
      <c r="G1177" s="64"/>
      <c r="H1177" s="64"/>
      <c r="I1177" s="2"/>
      <c r="J1177" s="2"/>
      <c r="K1177" s="2"/>
      <c r="L1177" s="2"/>
      <c r="M1177" s="2"/>
      <c r="N1177" s="2"/>
      <c r="O1177" s="2"/>
      <c r="P1177" s="66"/>
      <c r="Q1177" s="66"/>
      <c r="R1177" s="2"/>
    </row>
    <row r="1178" spans="1:18">
      <c r="A1178" s="3"/>
      <c r="B1178" s="3"/>
      <c r="C1178" s="2"/>
      <c r="D1178" s="2"/>
      <c r="E1178" s="64"/>
      <c r="F1178" s="64"/>
      <c r="G1178" s="64"/>
      <c r="H1178" s="64"/>
      <c r="I1178" s="2"/>
      <c r="J1178" s="2"/>
      <c r="K1178" s="2"/>
      <c r="L1178" s="2"/>
      <c r="M1178" s="2"/>
      <c r="N1178" s="2"/>
      <c r="O1178" s="2"/>
      <c r="P1178" s="66"/>
      <c r="Q1178" s="66"/>
      <c r="R1178" s="2"/>
    </row>
    <row r="1179" spans="1:18">
      <c r="A1179" s="3"/>
      <c r="B1179" s="3"/>
      <c r="C1179" s="2"/>
      <c r="D1179" s="2"/>
      <c r="E1179" s="64"/>
      <c r="F1179" s="64"/>
      <c r="G1179" s="64"/>
      <c r="H1179" s="64"/>
      <c r="I1179" s="2"/>
      <c r="J1179" s="2"/>
      <c r="K1179" s="2"/>
      <c r="L1179" s="2"/>
      <c r="M1179" s="2"/>
      <c r="N1179" s="2"/>
      <c r="O1179" s="2"/>
      <c r="P1179" s="66"/>
      <c r="Q1179" s="66"/>
      <c r="R1179" s="2"/>
    </row>
    <row r="1180" spans="1:18">
      <c r="A1180" s="3"/>
      <c r="B1180" s="3"/>
      <c r="C1180" s="2"/>
      <c r="D1180" s="2"/>
      <c r="E1180" s="64"/>
      <c r="F1180" s="64"/>
      <c r="G1180" s="64"/>
      <c r="H1180" s="64"/>
      <c r="I1180" s="2"/>
      <c r="J1180" s="2"/>
      <c r="K1180" s="2"/>
      <c r="L1180" s="2"/>
      <c r="M1180" s="2"/>
      <c r="N1180" s="2"/>
      <c r="O1180" s="2"/>
      <c r="P1180" s="66"/>
      <c r="Q1180" s="66"/>
      <c r="R1180" s="2"/>
    </row>
    <row r="1181" spans="1:18">
      <c r="A1181" s="3"/>
      <c r="B1181" s="3"/>
      <c r="C1181" s="2"/>
      <c r="D1181" s="2"/>
      <c r="E1181" s="64"/>
      <c r="F1181" s="64"/>
      <c r="G1181" s="64"/>
      <c r="H1181" s="64"/>
      <c r="I1181" s="2"/>
      <c r="J1181" s="2"/>
      <c r="K1181" s="2"/>
      <c r="L1181" s="2"/>
      <c r="M1181" s="2"/>
      <c r="N1181" s="2"/>
      <c r="O1181" s="2"/>
      <c r="P1181" s="66"/>
      <c r="Q1181" s="66"/>
      <c r="R1181" s="2"/>
    </row>
    <row r="1182" spans="1:18">
      <c r="A1182" s="3"/>
      <c r="B1182" s="3"/>
      <c r="C1182" s="2"/>
      <c r="D1182" s="2"/>
      <c r="E1182" s="64"/>
      <c r="F1182" s="64"/>
      <c r="G1182" s="64"/>
      <c r="H1182" s="64"/>
      <c r="I1182" s="2"/>
      <c r="J1182" s="2"/>
      <c r="K1182" s="2"/>
      <c r="L1182" s="2"/>
      <c r="M1182" s="2"/>
      <c r="N1182" s="2"/>
      <c r="O1182" s="2"/>
      <c r="P1182" s="66"/>
      <c r="Q1182" s="66"/>
      <c r="R1182" s="2"/>
    </row>
    <row r="1183" spans="1:18">
      <c r="A1183" s="3"/>
      <c r="B1183" s="3"/>
      <c r="C1183" s="2"/>
      <c r="D1183" s="2"/>
      <c r="E1183" s="64"/>
      <c r="F1183" s="64"/>
      <c r="G1183" s="64"/>
      <c r="H1183" s="64"/>
      <c r="I1183" s="2"/>
      <c r="J1183" s="2"/>
      <c r="K1183" s="2"/>
      <c r="L1183" s="2"/>
      <c r="M1183" s="2"/>
      <c r="N1183" s="2"/>
      <c r="O1183" s="2"/>
      <c r="P1183" s="66"/>
      <c r="Q1183" s="66"/>
      <c r="R1183" s="2"/>
    </row>
    <row r="1184" spans="1:18">
      <c r="A1184" s="3"/>
      <c r="B1184" s="3"/>
      <c r="C1184" s="2"/>
      <c r="D1184" s="2"/>
      <c r="E1184" s="64"/>
      <c r="F1184" s="64"/>
      <c r="G1184" s="64"/>
      <c r="H1184" s="64"/>
      <c r="I1184" s="2"/>
      <c r="J1184" s="2"/>
      <c r="K1184" s="2"/>
      <c r="L1184" s="2"/>
      <c r="M1184" s="2"/>
      <c r="N1184" s="2"/>
      <c r="O1184" s="2"/>
      <c r="P1184" s="66"/>
      <c r="Q1184" s="66"/>
      <c r="R1184" s="2"/>
    </row>
    <row r="1185" spans="1:18">
      <c r="A1185" s="3"/>
      <c r="B1185" s="3"/>
      <c r="C1185" s="2"/>
      <c r="D1185" s="2"/>
      <c r="E1185" s="64"/>
      <c r="F1185" s="64"/>
      <c r="G1185" s="64"/>
      <c r="H1185" s="64"/>
      <c r="I1185" s="2"/>
      <c r="J1185" s="2"/>
      <c r="K1185" s="2"/>
      <c r="L1185" s="2"/>
      <c r="M1185" s="2"/>
      <c r="N1185" s="2"/>
      <c r="O1185" s="2"/>
      <c r="P1185" s="66"/>
      <c r="Q1185" s="66"/>
      <c r="R1185" s="2"/>
    </row>
    <row r="1186" spans="1:18">
      <c r="A1186" s="3"/>
      <c r="B1186" s="3"/>
      <c r="C1186" s="2"/>
      <c r="D1186" s="2"/>
      <c r="E1186" s="64"/>
      <c r="F1186" s="64"/>
      <c r="G1186" s="64"/>
      <c r="H1186" s="64"/>
      <c r="I1186" s="2"/>
      <c r="J1186" s="2"/>
      <c r="K1186" s="2"/>
      <c r="L1186" s="2"/>
      <c r="M1186" s="2"/>
      <c r="N1186" s="2"/>
      <c r="O1186" s="2"/>
      <c r="P1186" s="66"/>
      <c r="Q1186" s="66"/>
      <c r="R1186" s="2"/>
    </row>
    <row r="1187" spans="1:18">
      <c r="A1187" s="3"/>
      <c r="B1187" s="3"/>
      <c r="C1187" s="2"/>
      <c r="D1187" s="2"/>
      <c r="E1187" s="64"/>
      <c r="F1187" s="64"/>
      <c r="G1187" s="64"/>
      <c r="H1187" s="64"/>
      <c r="I1187" s="2"/>
      <c r="J1187" s="2"/>
      <c r="K1187" s="2"/>
      <c r="L1187" s="2"/>
      <c r="M1187" s="2"/>
      <c r="N1187" s="2"/>
      <c r="O1187" s="2"/>
      <c r="P1187" s="66"/>
      <c r="Q1187" s="66"/>
      <c r="R1187" s="2"/>
    </row>
    <row r="1188" spans="1:18">
      <c r="A1188" s="3"/>
      <c r="B1188" s="3"/>
      <c r="C1188" s="2"/>
      <c r="D1188" s="2"/>
      <c r="E1188" s="64"/>
      <c r="F1188" s="64"/>
      <c r="G1188" s="64"/>
      <c r="H1188" s="64"/>
      <c r="I1188" s="2"/>
      <c r="J1188" s="2"/>
      <c r="K1188" s="2"/>
      <c r="L1188" s="2"/>
      <c r="M1188" s="2"/>
      <c r="N1188" s="2"/>
      <c r="O1188" s="2"/>
      <c r="P1188" s="66"/>
      <c r="Q1188" s="66"/>
      <c r="R1188" s="2"/>
    </row>
    <row r="1189" spans="1:18">
      <c r="A1189" s="3"/>
      <c r="B1189" s="3"/>
      <c r="C1189" s="2"/>
      <c r="D1189" s="2"/>
      <c r="E1189" s="64"/>
      <c r="F1189" s="64"/>
      <c r="G1189" s="64"/>
      <c r="H1189" s="64"/>
      <c r="I1189" s="2"/>
      <c r="J1189" s="2"/>
      <c r="K1189" s="2"/>
      <c r="L1189" s="2"/>
      <c r="M1189" s="2"/>
      <c r="N1189" s="2"/>
      <c r="O1189" s="2"/>
      <c r="P1189" s="66"/>
      <c r="Q1189" s="66"/>
      <c r="R1189" s="2"/>
    </row>
    <row r="1190" spans="1:18">
      <c r="A1190" s="3"/>
      <c r="B1190" s="3"/>
      <c r="C1190" s="2"/>
      <c r="D1190" s="2"/>
      <c r="E1190" s="64"/>
      <c r="F1190" s="64"/>
      <c r="G1190" s="64"/>
      <c r="H1190" s="64"/>
      <c r="I1190" s="2"/>
      <c r="J1190" s="2"/>
      <c r="K1190" s="2"/>
      <c r="L1190" s="2"/>
      <c r="M1190" s="2"/>
      <c r="N1190" s="2"/>
      <c r="O1190" s="2"/>
      <c r="P1190" s="66"/>
      <c r="Q1190" s="66"/>
      <c r="R1190" s="2"/>
    </row>
    <row r="1191" spans="1:18">
      <c r="A1191" s="3"/>
      <c r="B1191" s="3"/>
      <c r="C1191" s="2"/>
      <c r="D1191" s="2"/>
      <c r="E1191" s="64"/>
      <c r="F1191" s="64"/>
      <c r="G1191" s="64"/>
      <c r="H1191" s="64"/>
      <c r="I1191" s="2"/>
      <c r="J1191" s="2"/>
      <c r="K1191" s="2"/>
      <c r="L1191" s="2"/>
      <c r="M1191" s="2"/>
      <c r="N1191" s="2"/>
      <c r="O1191" s="2"/>
      <c r="P1191" s="66"/>
      <c r="Q1191" s="66"/>
      <c r="R1191" s="2"/>
    </row>
    <row r="1192" spans="1:18">
      <c r="A1192" s="3"/>
      <c r="B1192" s="3"/>
      <c r="C1192" s="2"/>
      <c r="D1192" s="2"/>
      <c r="E1192" s="64"/>
      <c r="F1192" s="64"/>
      <c r="G1192" s="64"/>
      <c r="H1192" s="64"/>
      <c r="I1192" s="2"/>
      <c r="J1192" s="2"/>
      <c r="K1192" s="2"/>
      <c r="L1192" s="2"/>
      <c r="M1192" s="2"/>
      <c r="N1192" s="2"/>
      <c r="O1192" s="2"/>
      <c r="P1192" s="66"/>
      <c r="Q1192" s="66"/>
      <c r="R1192" s="2"/>
    </row>
    <row r="1193" spans="1:18">
      <c r="A1193" s="3"/>
      <c r="B1193" s="3"/>
      <c r="C1193" s="2"/>
      <c r="D1193" s="2"/>
      <c r="E1193" s="64"/>
      <c r="F1193" s="64"/>
      <c r="G1193" s="64"/>
      <c r="H1193" s="64"/>
      <c r="I1193" s="2"/>
      <c r="J1193" s="2"/>
      <c r="K1193" s="2"/>
      <c r="L1193" s="2"/>
      <c r="M1193" s="2"/>
      <c r="N1193" s="2"/>
      <c r="O1193" s="2"/>
      <c r="P1193" s="66"/>
      <c r="Q1193" s="66"/>
      <c r="R1193" s="2"/>
    </row>
    <row r="1194" spans="1:18">
      <c r="A1194" s="3"/>
      <c r="B1194" s="3"/>
      <c r="C1194" s="2"/>
      <c r="D1194" s="2"/>
      <c r="E1194" s="64"/>
      <c r="F1194" s="64"/>
      <c r="G1194" s="64"/>
      <c r="H1194" s="64"/>
      <c r="I1194" s="2"/>
      <c r="J1194" s="2"/>
      <c r="K1194" s="2"/>
      <c r="L1194" s="2"/>
      <c r="M1194" s="2"/>
      <c r="N1194" s="2"/>
      <c r="O1194" s="2"/>
      <c r="P1194" s="66"/>
      <c r="Q1194" s="66"/>
      <c r="R1194" s="2"/>
    </row>
    <row r="1195" spans="1:18">
      <c r="A1195" s="3"/>
      <c r="B1195" s="3"/>
      <c r="C1195" s="2"/>
      <c r="D1195" s="2"/>
      <c r="E1195" s="64"/>
      <c r="F1195" s="64"/>
      <c r="G1195" s="64"/>
      <c r="H1195" s="64"/>
      <c r="I1195" s="2"/>
      <c r="J1195" s="2"/>
      <c r="K1195" s="2"/>
      <c r="L1195" s="2"/>
      <c r="M1195" s="2"/>
      <c r="N1195" s="2"/>
      <c r="O1195" s="2"/>
      <c r="P1195" s="66"/>
      <c r="Q1195" s="66"/>
      <c r="R1195" s="2"/>
    </row>
    <row r="1196" spans="1:18">
      <c r="A1196" s="3"/>
      <c r="B1196" s="3"/>
      <c r="C1196" s="2"/>
      <c r="D1196" s="2"/>
      <c r="E1196" s="64"/>
      <c r="F1196" s="64"/>
      <c r="G1196" s="64"/>
      <c r="H1196" s="64"/>
      <c r="I1196" s="2"/>
      <c r="J1196" s="2"/>
      <c r="K1196" s="2"/>
      <c r="L1196" s="2"/>
      <c r="M1196" s="2"/>
      <c r="N1196" s="2"/>
      <c r="O1196" s="2"/>
      <c r="P1196" s="66"/>
      <c r="Q1196" s="66"/>
      <c r="R1196" s="2"/>
    </row>
    <row r="1197" spans="1:18">
      <c r="A1197" s="3"/>
      <c r="B1197" s="3"/>
      <c r="C1197" s="2"/>
      <c r="D1197" s="2"/>
      <c r="E1197" s="64"/>
      <c r="F1197" s="64"/>
      <c r="G1197" s="64"/>
      <c r="H1197" s="64"/>
      <c r="I1197" s="2"/>
      <c r="J1197" s="2"/>
      <c r="K1197" s="2"/>
      <c r="L1197" s="2"/>
      <c r="M1197" s="2"/>
      <c r="N1197" s="2"/>
      <c r="O1197" s="2"/>
      <c r="P1197" s="66"/>
      <c r="Q1197" s="66"/>
      <c r="R1197" s="2"/>
    </row>
    <row r="1198" spans="1:18">
      <c r="A1198" s="3"/>
      <c r="B1198" s="3"/>
      <c r="C1198" s="2"/>
      <c r="D1198" s="2"/>
      <c r="E1198" s="64"/>
      <c r="F1198" s="64"/>
      <c r="G1198" s="64"/>
      <c r="H1198" s="64"/>
      <c r="I1198" s="2"/>
      <c r="J1198" s="2"/>
      <c r="K1198" s="2"/>
      <c r="L1198" s="2"/>
      <c r="M1198" s="2"/>
      <c r="N1198" s="2"/>
      <c r="O1198" s="2"/>
      <c r="P1198" s="66"/>
      <c r="Q1198" s="66"/>
      <c r="R1198" s="2"/>
    </row>
    <row r="1199" spans="1:18">
      <c r="A1199" s="3"/>
      <c r="B1199" s="3"/>
      <c r="C1199" s="2"/>
      <c r="D1199" s="2"/>
      <c r="E1199" s="64"/>
      <c r="F1199" s="64"/>
      <c r="G1199" s="64"/>
      <c r="H1199" s="64"/>
      <c r="I1199" s="2"/>
      <c r="J1199" s="2"/>
      <c r="K1199" s="2"/>
      <c r="L1199" s="2"/>
      <c r="M1199" s="2"/>
      <c r="N1199" s="2"/>
      <c r="O1199" s="2"/>
      <c r="P1199" s="66"/>
      <c r="Q1199" s="66"/>
      <c r="R1199" s="2"/>
    </row>
    <row r="1200" spans="1:18">
      <c r="A1200" s="3"/>
      <c r="B1200" s="3"/>
      <c r="C1200" s="2"/>
      <c r="D1200" s="2"/>
      <c r="E1200" s="64"/>
      <c r="F1200" s="64"/>
      <c r="G1200" s="64"/>
      <c r="H1200" s="64"/>
      <c r="I1200" s="2"/>
      <c r="J1200" s="2"/>
      <c r="K1200" s="2"/>
      <c r="L1200" s="2"/>
      <c r="M1200" s="2"/>
      <c r="N1200" s="2"/>
      <c r="O1200" s="2"/>
      <c r="P1200" s="66"/>
      <c r="Q1200" s="66"/>
      <c r="R1200" s="2"/>
    </row>
    <row r="1201" spans="1:18">
      <c r="A1201" s="3"/>
      <c r="B1201" s="3"/>
      <c r="C1201" s="2"/>
      <c r="D1201" s="2"/>
      <c r="E1201" s="64"/>
      <c r="F1201" s="64"/>
      <c r="G1201" s="64"/>
      <c r="H1201" s="64"/>
      <c r="I1201" s="2"/>
      <c r="J1201" s="2"/>
      <c r="K1201" s="2"/>
      <c r="L1201" s="2"/>
      <c r="M1201" s="2"/>
      <c r="N1201" s="2"/>
      <c r="O1201" s="2"/>
      <c r="P1201" s="66"/>
      <c r="Q1201" s="66"/>
      <c r="R1201" s="2"/>
    </row>
    <row r="1202" spans="1:18">
      <c r="A1202" s="3"/>
      <c r="B1202" s="3"/>
      <c r="C1202" s="2"/>
      <c r="D1202" s="2"/>
      <c r="E1202" s="64"/>
      <c r="F1202" s="64"/>
      <c r="G1202" s="64"/>
      <c r="H1202" s="64"/>
      <c r="I1202" s="2"/>
      <c r="J1202" s="2"/>
      <c r="K1202" s="2"/>
      <c r="L1202" s="2"/>
      <c r="M1202" s="2"/>
      <c r="N1202" s="2"/>
      <c r="O1202" s="2"/>
      <c r="P1202" s="66"/>
      <c r="Q1202" s="66"/>
      <c r="R1202" s="2"/>
    </row>
    <row r="1203" spans="1:18">
      <c r="A1203" s="3"/>
      <c r="B1203" s="3"/>
      <c r="C1203" s="2"/>
      <c r="D1203" s="2"/>
      <c r="E1203" s="64"/>
      <c r="F1203" s="64"/>
      <c r="G1203" s="64"/>
      <c r="H1203" s="64"/>
      <c r="I1203" s="2"/>
      <c r="J1203" s="2"/>
      <c r="K1203" s="2"/>
      <c r="L1203" s="2"/>
      <c r="M1203" s="2"/>
      <c r="N1203" s="2"/>
      <c r="O1203" s="2"/>
      <c r="P1203" s="66"/>
      <c r="Q1203" s="66"/>
      <c r="R1203" s="2"/>
    </row>
    <row r="1204" spans="1:18">
      <c r="A1204" s="3"/>
      <c r="B1204" s="3"/>
      <c r="C1204" s="2"/>
      <c r="D1204" s="2"/>
      <c r="E1204" s="64"/>
      <c r="F1204" s="64"/>
      <c r="G1204" s="64"/>
      <c r="H1204" s="64"/>
      <c r="I1204" s="2"/>
      <c r="J1204" s="2"/>
      <c r="K1204" s="2"/>
      <c r="L1204" s="2"/>
      <c r="M1204" s="2"/>
      <c r="N1204" s="2"/>
      <c r="O1204" s="2"/>
      <c r="P1204" s="66"/>
      <c r="Q1204" s="66"/>
      <c r="R1204" s="2"/>
    </row>
    <row r="1205" spans="1:18">
      <c r="A1205" s="3"/>
      <c r="B1205" s="3"/>
      <c r="C1205" s="2"/>
      <c r="D1205" s="2"/>
      <c r="E1205" s="64"/>
      <c r="F1205" s="64"/>
      <c r="G1205" s="64"/>
      <c r="H1205" s="64"/>
      <c r="I1205" s="2"/>
      <c r="J1205" s="2"/>
      <c r="K1205" s="2"/>
      <c r="L1205" s="2"/>
      <c r="M1205" s="2"/>
      <c r="N1205" s="2"/>
      <c r="O1205" s="2"/>
      <c r="P1205" s="66"/>
      <c r="Q1205" s="66"/>
      <c r="R1205" s="2"/>
    </row>
    <row r="1206" spans="1:18">
      <c r="A1206" s="3"/>
      <c r="B1206" s="3"/>
      <c r="C1206" s="2"/>
      <c r="D1206" s="2"/>
      <c r="E1206" s="64"/>
      <c r="F1206" s="64"/>
      <c r="G1206" s="64"/>
      <c r="H1206" s="64"/>
      <c r="I1206" s="2"/>
      <c r="J1206" s="2"/>
      <c r="K1206" s="2"/>
      <c r="L1206" s="2"/>
      <c r="M1206" s="2"/>
      <c r="N1206" s="2"/>
      <c r="O1206" s="2"/>
      <c r="P1206" s="66"/>
      <c r="Q1206" s="66"/>
      <c r="R1206" s="2"/>
    </row>
    <row r="1207" spans="1:18">
      <c r="A1207" s="3"/>
      <c r="B1207" s="3"/>
      <c r="C1207" s="2"/>
      <c r="D1207" s="2"/>
      <c r="E1207" s="64"/>
      <c r="F1207" s="64"/>
      <c r="G1207" s="64"/>
      <c r="H1207" s="64"/>
      <c r="I1207" s="2"/>
      <c r="J1207" s="2"/>
      <c r="K1207" s="2"/>
      <c r="L1207" s="2"/>
      <c r="M1207" s="2"/>
      <c r="N1207" s="2"/>
      <c r="O1207" s="2"/>
      <c r="P1207" s="66"/>
      <c r="Q1207" s="66"/>
      <c r="R1207" s="2"/>
    </row>
    <row r="1208" spans="1:18">
      <c r="A1208" s="3"/>
      <c r="B1208" s="3"/>
      <c r="C1208" s="2"/>
      <c r="D1208" s="2"/>
      <c r="E1208" s="64"/>
      <c r="F1208" s="64"/>
      <c r="G1208" s="64"/>
      <c r="H1208" s="64"/>
      <c r="I1208" s="2"/>
      <c r="J1208" s="2"/>
      <c r="K1208" s="2"/>
      <c r="L1208" s="2"/>
      <c r="M1208" s="2"/>
      <c r="N1208" s="2"/>
      <c r="O1208" s="2"/>
      <c r="P1208" s="66"/>
      <c r="Q1208" s="66"/>
      <c r="R1208" s="2"/>
    </row>
    <row r="1209" spans="1:18">
      <c r="A1209" s="3"/>
      <c r="B1209" s="3"/>
      <c r="C1209" s="2"/>
      <c r="D1209" s="2"/>
      <c r="E1209" s="64"/>
      <c r="F1209" s="64"/>
      <c r="G1209" s="64"/>
      <c r="H1209" s="64"/>
      <c r="I1209" s="2"/>
      <c r="J1209" s="2"/>
      <c r="K1209" s="2"/>
      <c r="L1209" s="2"/>
      <c r="M1209" s="2"/>
      <c r="N1209" s="2"/>
      <c r="O1209" s="2"/>
      <c r="P1209" s="66"/>
      <c r="Q1209" s="66"/>
      <c r="R1209" s="2"/>
    </row>
    <row r="1210" spans="1:18">
      <c r="A1210" s="3"/>
      <c r="B1210" s="3"/>
      <c r="C1210" s="2"/>
      <c r="D1210" s="2"/>
      <c r="E1210" s="64"/>
      <c r="F1210" s="64"/>
      <c r="G1210" s="64"/>
      <c r="H1210" s="64"/>
      <c r="I1210" s="2"/>
      <c r="J1210" s="2"/>
      <c r="K1210" s="2"/>
      <c r="L1210" s="2"/>
      <c r="M1210" s="2"/>
      <c r="N1210" s="2"/>
      <c r="O1210" s="2"/>
      <c r="P1210" s="66"/>
      <c r="Q1210" s="66"/>
      <c r="R1210" s="2"/>
    </row>
    <row r="1211" spans="1:18">
      <c r="A1211" s="3"/>
      <c r="B1211" s="3"/>
      <c r="C1211" s="2"/>
      <c r="D1211" s="2"/>
      <c r="E1211" s="64"/>
      <c r="F1211" s="64"/>
      <c r="G1211" s="64"/>
      <c r="H1211" s="64"/>
      <c r="I1211" s="2"/>
      <c r="J1211" s="2"/>
      <c r="K1211" s="2"/>
      <c r="L1211" s="2"/>
      <c r="M1211" s="2"/>
      <c r="N1211" s="2"/>
      <c r="O1211" s="2"/>
      <c r="P1211" s="66"/>
      <c r="Q1211" s="66"/>
      <c r="R1211" s="2"/>
    </row>
    <row r="1212" spans="1:18">
      <c r="A1212" s="3"/>
      <c r="B1212" s="3"/>
      <c r="C1212" s="2"/>
      <c r="D1212" s="2"/>
      <c r="E1212" s="64"/>
      <c r="F1212" s="64"/>
      <c r="G1212" s="64"/>
      <c r="H1212" s="64"/>
      <c r="I1212" s="2"/>
      <c r="J1212" s="2"/>
      <c r="K1212" s="2"/>
      <c r="L1212" s="2"/>
      <c r="M1212" s="2"/>
      <c r="N1212" s="2"/>
      <c r="O1212" s="2"/>
      <c r="P1212" s="66"/>
      <c r="Q1212" s="66"/>
      <c r="R1212" s="2"/>
    </row>
    <row r="1213" spans="1:18">
      <c r="A1213" s="3"/>
      <c r="B1213" s="3"/>
      <c r="C1213" s="2"/>
      <c r="D1213" s="2"/>
      <c r="E1213" s="64"/>
      <c r="F1213" s="64"/>
      <c r="G1213" s="64"/>
      <c r="H1213" s="64"/>
      <c r="I1213" s="2"/>
      <c r="J1213" s="2"/>
      <c r="K1213" s="2"/>
      <c r="L1213" s="2"/>
      <c r="M1213" s="2"/>
      <c r="N1213" s="2"/>
      <c r="O1213" s="2"/>
      <c r="P1213" s="66"/>
      <c r="Q1213" s="66"/>
      <c r="R1213" s="2"/>
    </row>
    <row r="1214" spans="1:18">
      <c r="A1214" s="3"/>
      <c r="B1214" s="3"/>
      <c r="C1214" s="2"/>
      <c r="D1214" s="2"/>
      <c r="E1214" s="64"/>
      <c r="F1214" s="64"/>
      <c r="G1214" s="64"/>
      <c r="H1214" s="64"/>
      <c r="I1214" s="2"/>
      <c r="J1214" s="2"/>
      <c r="K1214" s="2"/>
      <c r="L1214" s="2"/>
      <c r="M1214" s="2"/>
      <c r="N1214" s="2"/>
      <c r="O1214" s="2"/>
      <c r="P1214" s="66"/>
      <c r="Q1214" s="66"/>
      <c r="R1214" s="2"/>
    </row>
    <row r="1215" spans="1:18">
      <c r="A1215" s="3"/>
      <c r="B1215" s="3"/>
      <c r="C1215" s="2"/>
      <c r="D1215" s="2"/>
      <c r="E1215" s="64"/>
      <c r="F1215" s="64"/>
      <c r="G1215" s="64"/>
      <c r="H1215" s="64"/>
      <c r="I1215" s="2"/>
      <c r="J1215" s="2"/>
      <c r="K1215" s="2"/>
      <c r="L1215" s="2"/>
      <c r="M1215" s="2"/>
      <c r="N1215" s="2"/>
      <c r="O1215" s="2"/>
      <c r="P1215" s="66"/>
      <c r="Q1215" s="66"/>
      <c r="R1215" s="2"/>
    </row>
    <row r="1216" spans="1:18">
      <c r="A1216" s="3"/>
      <c r="B1216" s="3"/>
      <c r="C1216" s="2"/>
      <c r="D1216" s="2"/>
      <c r="E1216" s="64"/>
      <c r="F1216" s="64"/>
      <c r="G1216" s="64"/>
      <c r="H1216" s="64"/>
      <c r="I1216" s="2"/>
      <c r="J1216" s="2"/>
      <c r="K1216" s="2"/>
      <c r="L1216" s="2"/>
      <c r="M1216" s="2"/>
      <c r="N1216" s="2"/>
      <c r="O1216" s="2"/>
      <c r="P1216" s="66"/>
      <c r="Q1216" s="66"/>
      <c r="R1216" s="2"/>
    </row>
    <row r="1217" spans="1:18">
      <c r="A1217" s="3"/>
      <c r="B1217" s="3"/>
      <c r="C1217" s="2"/>
      <c r="D1217" s="2"/>
      <c r="E1217" s="64"/>
      <c r="F1217" s="64"/>
      <c r="G1217" s="64"/>
      <c r="H1217" s="64"/>
      <c r="I1217" s="2"/>
      <c r="J1217" s="2"/>
      <c r="K1217" s="2"/>
      <c r="L1217" s="2"/>
      <c r="M1217" s="2"/>
      <c r="N1217" s="2"/>
      <c r="O1217" s="2"/>
      <c r="P1217" s="66"/>
      <c r="Q1217" s="66"/>
      <c r="R1217" s="2"/>
    </row>
    <row r="1218" spans="1:18">
      <c r="A1218" s="3"/>
      <c r="B1218" s="3"/>
      <c r="C1218" s="2"/>
      <c r="D1218" s="2"/>
      <c r="E1218" s="64"/>
      <c r="F1218" s="64"/>
      <c r="G1218" s="64"/>
      <c r="H1218" s="64"/>
      <c r="I1218" s="2"/>
      <c r="J1218" s="2"/>
      <c r="K1218" s="2"/>
      <c r="L1218" s="2"/>
      <c r="M1218" s="2"/>
      <c r="N1218" s="2"/>
      <c r="O1218" s="2"/>
      <c r="P1218" s="66"/>
      <c r="Q1218" s="66"/>
      <c r="R1218" s="2"/>
    </row>
    <row r="1219" spans="1:18">
      <c r="A1219" s="3"/>
      <c r="B1219" s="3"/>
      <c r="C1219" s="2"/>
      <c r="D1219" s="2"/>
      <c r="E1219" s="64"/>
      <c r="F1219" s="64"/>
      <c r="G1219" s="64"/>
      <c r="H1219" s="64"/>
      <c r="I1219" s="2"/>
      <c r="J1219" s="2"/>
      <c r="K1219" s="2"/>
      <c r="L1219" s="2"/>
      <c r="M1219" s="2"/>
      <c r="N1219" s="2"/>
      <c r="O1219" s="2"/>
      <c r="P1219" s="66"/>
      <c r="Q1219" s="66"/>
      <c r="R1219" s="2"/>
    </row>
    <row r="1220" spans="1:18">
      <c r="A1220" s="3"/>
      <c r="B1220" s="3"/>
      <c r="C1220" s="2"/>
      <c r="D1220" s="2"/>
      <c r="E1220" s="64"/>
      <c r="F1220" s="64"/>
      <c r="G1220" s="64"/>
      <c r="H1220" s="64"/>
      <c r="I1220" s="2"/>
      <c r="J1220" s="2"/>
      <c r="K1220" s="2"/>
      <c r="L1220" s="2"/>
      <c r="M1220" s="2"/>
      <c r="N1220" s="2"/>
      <c r="O1220" s="2"/>
      <c r="P1220" s="66"/>
      <c r="Q1220" s="66"/>
      <c r="R1220" s="2"/>
    </row>
    <row r="1221" spans="1:18">
      <c r="A1221" s="3"/>
      <c r="B1221" s="3"/>
      <c r="C1221" s="2"/>
      <c r="D1221" s="2"/>
      <c r="E1221" s="64"/>
      <c r="F1221" s="64"/>
      <c r="G1221" s="64"/>
      <c r="H1221" s="64"/>
      <c r="I1221" s="2"/>
      <c r="J1221" s="2"/>
      <c r="K1221" s="2"/>
      <c r="L1221" s="2"/>
      <c r="M1221" s="2"/>
      <c r="N1221" s="2"/>
      <c r="O1221" s="2"/>
      <c r="P1221" s="66"/>
      <c r="Q1221" s="66"/>
      <c r="R1221" s="2"/>
    </row>
    <row r="1222" spans="1:18">
      <c r="A1222" s="3"/>
      <c r="B1222" s="3"/>
      <c r="C1222" s="2"/>
      <c r="D1222" s="2"/>
      <c r="E1222" s="64"/>
      <c r="F1222" s="64"/>
      <c r="G1222" s="64"/>
      <c r="H1222" s="64"/>
      <c r="I1222" s="2"/>
      <c r="J1222" s="2"/>
      <c r="K1222" s="2"/>
      <c r="L1222" s="2"/>
      <c r="M1222" s="2"/>
      <c r="N1222" s="2"/>
      <c r="O1222" s="2"/>
      <c r="P1222" s="66"/>
      <c r="Q1222" s="66"/>
      <c r="R1222" s="2"/>
    </row>
    <row r="1223" spans="1:18">
      <c r="A1223" s="3"/>
      <c r="B1223" s="3"/>
      <c r="C1223" s="2"/>
      <c r="D1223" s="2"/>
      <c r="E1223" s="64"/>
      <c r="F1223" s="64"/>
      <c r="G1223" s="64"/>
      <c r="H1223" s="64"/>
      <c r="I1223" s="2"/>
      <c r="J1223" s="2"/>
      <c r="K1223" s="2"/>
      <c r="L1223" s="2"/>
      <c r="M1223" s="2"/>
      <c r="N1223" s="2"/>
      <c r="O1223" s="2"/>
      <c r="P1223" s="66"/>
      <c r="Q1223" s="66"/>
      <c r="R1223" s="2"/>
    </row>
    <row r="1224" spans="1:18">
      <c r="A1224" s="3"/>
      <c r="B1224" s="3"/>
      <c r="C1224" s="2"/>
      <c r="D1224" s="2"/>
      <c r="E1224" s="64"/>
      <c r="F1224" s="64"/>
      <c r="G1224" s="64"/>
      <c r="H1224" s="64"/>
      <c r="I1224" s="2"/>
      <c r="J1224" s="2"/>
      <c r="K1224" s="2"/>
      <c r="L1224" s="2"/>
      <c r="M1224" s="2"/>
      <c r="N1224" s="2"/>
      <c r="O1224" s="2"/>
      <c r="P1224" s="66"/>
      <c r="Q1224" s="66"/>
      <c r="R1224" s="2"/>
    </row>
    <row r="1225" spans="1:18">
      <c r="A1225" s="3"/>
      <c r="B1225" s="3"/>
      <c r="C1225" s="2"/>
      <c r="D1225" s="2"/>
      <c r="E1225" s="64"/>
      <c r="F1225" s="64"/>
      <c r="G1225" s="64"/>
      <c r="H1225" s="64"/>
      <c r="I1225" s="2"/>
      <c r="J1225" s="2"/>
      <c r="K1225" s="2"/>
      <c r="L1225" s="2"/>
      <c r="M1225" s="2"/>
      <c r="N1225" s="2"/>
      <c r="O1225" s="2"/>
      <c r="P1225" s="66"/>
      <c r="Q1225" s="66"/>
      <c r="R1225" s="2"/>
    </row>
    <row r="1226" spans="1:18">
      <c r="A1226" s="3"/>
      <c r="B1226" s="3"/>
      <c r="C1226" s="2"/>
      <c r="D1226" s="2"/>
      <c r="E1226" s="64"/>
      <c r="F1226" s="64"/>
      <c r="G1226" s="64"/>
      <c r="H1226" s="64"/>
      <c r="I1226" s="2"/>
      <c r="J1226" s="2"/>
      <c r="K1226" s="2"/>
      <c r="L1226" s="2"/>
      <c r="M1226" s="2"/>
      <c r="N1226" s="2"/>
      <c r="O1226" s="2"/>
      <c r="P1226" s="66"/>
      <c r="Q1226" s="66"/>
      <c r="R1226" s="2"/>
    </row>
    <row r="1227" spans="1:18">
      <c r="A1227" s="3"/>
      <c r="B1227" s="3"/>
      <c r="C1227" s="2"/>
      <c r="D1227" s="2"/>
      <c r="E1227" s="64"/>
      <c r="F1227" s="64"/>
      <c r="G1227" s="64"/>
      <c r="H1227" s="64"/>
      <c r="I1227" s="2"/>
      <c r="J1227" s="2"/>
      <c r="K1227" s="2"/>
      <c r="L1227" s="2"/>
      <c r="M1227" s="2"/>
      <c r="N1227" s="2"/>
      <c r="O1227" s="2"/>
      <c r="P1227" s="66"/>
      <c r="Q1227" s="66"/>
      <c r="R1227" s="2"/>
    </row>
    <row r="1228" spans="1:18">
      <c r="A1228" s="3"/>
      <c r="B1228" s="3"/>
      <c r="C1228" s="2"/>
      <c r="D1228" s="2"/>
      <c r="E1228" s="64"/>
      <c r="F1228" s="64"/>
      <c r="G1228" s="64"/>
      <c r="H1228" s="64"/>
      <c r="I1228" s="2"/>
      <c r="J1228" s="2"/>
      <c r="K1228" s="2"/>
      <c r="L1228" s="2"/>
      <c r="M1228" s="2"/>
      <c r="N1228" s="2"/>
      <c r="O1228" s="2"/>
      <c r="P1228" s="66"/>
      <c r="Q1228" s="66"/>
      <c r="R1228" s="2"/>
    </row>
    <row r="1229" spans="1:18">
      <c r="A1229" s="3"/>
      <c r="B1229" s="3"/>
      <c r="C1229" s="2"/>
      <c r="D1229" s="2"/>
      <c r="E1229" s="64"/>
      <c r="F1229" s="64"/>
      <c r="G1229" s="64"/>
      <c r="H1229" s="64"/>
      <c r="I1229" s="2"/>
      <c r="J1229" s="2"/>
      <c r="K1229" s="2"/>
      <c r="L1229" s="2"/>
      <c r="M1229" s="2"/>
      <c r="N1229" s="2"/>
      <c r="O1229" s="2"/>
      <c r="P1229" s="66"/>
      <c r="Q1229" s="66"/>
      <c r="R1229" s="2"/>
    </row>
    <row r="1230" spans="1:18">
      <c r="A1230" s="3"/>
      <c r="B1230" s="3"/>
      <c r="C1230" s="2"/>
      <c r="D1230" s="2"/>
      <c r="E1230" s="64"/>
      <c r="F1230" s="64"/>
      <c r="G1230" s="64"/>
      <c r="H1230" s="64"/>
      <c r="I1230" s="2"/>
      <c r="J1230" s="2"/>
      <c r="K1230" s="2"/>
      <c r="L1230" s="2"/>
      <c r="M1230" s="2"/>
      <c r="N1230" s="2"/>
      <c r="O1230" s="2"/>
      <c r="P1230" s="66"/>
      <c r="Q1230" s="66"/>
      <c r="R1230" s="2"/>
    </row>
    <row r="1231" spans="1:18">
      <c r="A1231" s="3"/>
      <c r="B1231" s="3"/>
      <c r="C1231" s="2"/>
      <c r="D1231" s="2"/>
      <c r="E1231" s="64"/>
      <c r="F1231" s="64"/>
      <c r="G1231" s="64"/>
      <c r="H1231" s="64"/>
      <c r="I1231" s="2"/>
      <c r="J1231" s="2"/>
      <c r="K1231" s="2"/>
      <c r="L1231" s="2"/>
      <c r="M1231" s="2"/>
      <c r="N1231" s="2"/>
      <c r="O1231" s="2"/>
      <c r="P1231" s="66"/>
      <c r="Q1231" s="66"/>
      <c r="R1231" s="2"/>
    </row>
    <row r="1232" spans="1:18">
      <c r="A1232" s="3"/>
      <c r="B1232" s="3"/>
      <c r="C1232" s="2"/>
      <c r="D1232" s="2"/>
      <c r="E1232" s="64"/>
      <c r="F1232" s="64"/>
      <c r="G1232" s="64"/>
      <c r="H1232" s="64"/>
      <c r="I1232" s="2"/>
      <c r="J1232" s="2"/>
      <c r="K1232" s="2"/>
      <c r="L1232" s="2"/>
      <c r="M1232" s="2"/>
      <c r="N1232" s="2"/>
      <c r="O1232" s="2"/>
      <c r="P1232" s="66"/>
      <c r="Q1232" s="66"/>
      <c r="R1232" s="2"/>
    </row>
    <row r="1233" spans="1:18">
      <c r="A1233" s="3"/>
      <c r="B1233" s="3"/>
      <c r="C1233" s="2"/>
      <c r="D1233" s="2"/>
      <c r="E1233" s="64"/>
      <c r="F1233" s="64"/>
      <c r="G1233" s="64"/>
      <c r="H1233" s="64"/>
      <c r="I1233" s="2"/>
      <c r="J1233" s="2"/>
      <c r="K1233" s="2"/>
      <c r="L1233" s="2"/>
      <c r="M1233" s="2"/>
      <c r="N1233" s="2"/>
      <c r="O1233" s="2"/>
      <c r="P1233" s="66"/>
      <c r="Q1233" s="66"/>
      <c r="R1233" s="2"/>
    </row>
    <row r="1234" spans="1:18">
      <c r="A1234" s="3"/>
      <c r="B1234" s="3"/>
      <c r="C1234" s="2"/>
      <c r="D1234" s="2"/>
      <c r="E1234" s="64"/>
      <c r="F1234" s="64"/>
      <c r="G1234" s="64"/>
      <c r="H1234" s="64"/>
      <c r="I1234" s="2"/>
      <c r="J1234" s="2"/>
      <c r="K1234" s="2"/>
      <c r="L1234" s="2"/>
      <c r="M1234" s="2"/>
      <c r="N1234" s="2"/>
      <c r="O1234" s="2"/>
      <c r="P1234" s="66"/>
      <c r="Q1234" s="66"/>
      <c r="R1234" s="2"/>
    </row>
    <row r="1235" spans="1:18">
      <c r="A1235" s="3"/>
      <c r="B1235" s="3"/>
      <c r="C1235" s="2"/>
      <c r="D1235" s="2"/>
      <c r="E1235" s="64"/>
      <c r="F1235" s="64"/>
      <c r="G1235" s="64"/>
      <c r="H1235" s="64"/>
      <c r="I1235" s="2"/>
      <c r="J1235" s="2"/>
      <c r="K1235" s="2"/>
      <c r="L1235" s="2"/>
      <c r="M1235" s="2"/>
      <c r="N1235" s="2"/>
      <c r="O1235" s="2"/>
      <c r="P1235" s="66"/>
      <c r="Q1235" s="66"/>
      <c r="R1235" s="2"/>
    </row>
    <row r="1236" spans="1:18">
      <c r="A1236" s="3"/>
      <c r="B1236" s="3"/>
      <c r="C1236" s="2"/>
      <c r="D1236" s="2"/>
      <c r="E1236" s="64"/>
      <c r="F1236" s="64"/>
      <c r="G1236" s="64"/>
      <c r="H1236" s="64"/>
      <c r="I1236" s="2"/>
      <c r="J1236" s="2"/>
      <c r="K1236" s="2"/>
      <c r="L1236" s="2"/>
      <c r="M1236" s="2"/>
      <c r="N1236" s="2"/>
      <c r="O1236" s="2"/>
      <c r="P1236" s="66"/>
      <c r="Q1236" s="66"/>
      <c r="R1236" s="2"/>
    </row>
    <row r="1237" spans="1:18">
      <c r="A1237" s="3"/>
      <c r="B1237" s="3"/>
      <c r="C1237" s="2"/>
      <c r="D1237" s="2"/>
      <c r="E1237" s="64"/>
      <c r="F1237" s="64"/>
      <c r="G1237" s="64"/>
      <c r="H1237" s="64"/>
      <c r="I1237" s="2"/>
      <c r="J1237" s="2"/>
      <c r="K1237" s="2"/>
      <c r="L1237" s="2"/>
      <c r="M1237" s="2"/>
      <c r="N1237" s="2"/>
      <c r="O1237" s="2"/>
      <c r="P1237" s="66"/>
      <c r="Q1237" s="66"/>
      <c r="R1237" s="2"/>
    </row>
    <row r="1238" spans="1:18">
      <c r="A1238" s="3"/>
      <c r="B1238" s="3"/>
      <c r="C1238" s="2"/>
      <c r="D1238" s="2"/>
      <c r="E1238" s="64"/>
      <c r="F1238" s="64"/>
      <c r="G1238" s="64"/>
      <c r="H1238" s="64"/>
      <c r="I1238" s="2"/>
      <c r="J1238" s="2"/>
      <c r="K1238" s="2"/>
      <c r="L1238" s="2"/>
      <c r="M1238" s="2"/>
      <c r="N1238" s="2"/>
      <c r="O1238" s="2"/>
      <c r="P1238" s="66"/>
      <c r="Q1238" s="66"/>
      <c r="R1238" s="2"/>
    </row>
    <row r="1239" spans="1:18">
      <c r="A1239" s="3"/>
      <c r="B1239" s="3"/>
      <c r="C1239" s="2"/>
      <c r="D1239" s="2"/>
      <c r="E1239" s="64"/>
      <c r="F1239" s="64"/>
      <c r="G1239" s="64"/>
      <c r="H1239" s="64"/>
      <c r="I1239" s="2"/>
      <c r="J1239" s="2"/>
      <c r="K1239" s="2"/>
      <c r="L1239" s="2"/>
      <c r="M1239" s="2"/>
      <c r="N1239" s="2"/>
      <c r="O1239" s="2"/>
      <c r="P1239" s="66"/>
      <c r="Q1239" s="66"/>
      <c r="R1239" s="2"/>
    </row>
    <row r="1240" spans="1:18">
      <c r="A1240" s="3"/>
      <c r="B1240" s="3"/>
      <c r="C1240" s="2"/>
      <c r="D1240" s="2"/>
      <c r="E1240" s="64"/>
      <c r="F1240" s="64"/>
      <c r="G1240" s="64"/>
      <c r="H1240" s="64"/>
      <c r="I1240" s="2"/>
      <c r="J1240" s="2"/>
      <c r="K1240" s="2"/>
      <c r="L1240" s="2"/>
      <c r="M1240" s="2"/>
      <c r="N1240" s="2"/>
      <c r="O1240" s="2"/>
      <c r="P1240" s="66"/>
      <c r="Q1240" s="66"/>
      <c r="R1240" s="2"/>
    </row>
    <row r="1241" spans="1:18">
      <c r="A1241" s="3"/>
      <c r="B1241" s="3"/>
      <c r="C1241" s="2"/>
      <c r="D1241" s="2"/>
      <c r="E1241" s="64"/>
      <c r="F1241" s="64"/>
      <c r="G1241" s="64"/>
      <c r="H1241" s="64"/>
      <c r="I1241" s="2"/>
      <c r="J1241" s="2"/>
      <c r="K1241" s="2"/>
      <c r="L1241" s="2"/>
      <c r="M1241" s="2"/>
      <c r="N1241" s="2"/>
      <c r="O1241" s="2"/>
      <c r="P1241" s="66"/>
      <c r="Q1241" s="66"/>
      <c r="R1241" s="2"/>
    </row>
    <row r="1242" spans="1:18">
      <c r="A1242" s="3"/>
      <c r="B1242" s="3"/>
      <c r="C1242" s="2"/>
      <c r="D1242" s="2"/>
      <c r="E1242" s="64"/>
      <c r="F1242" s="64"/>
      <c r="G1242" s="64"/>
      <c r="H1242" s="64"/>
      <c r="I1242" s="2"/>
      <c r="J1242" s="2"/>
      <c r="K1242" s="2"/>
      <c r="L1242" s="2"/>
      <c r="M1242" s="2"/>
      <c r="N1242" s="2"/>
      <c r="O1242" s="2"/>
      <c r="P1242" s="66"/>
      <c r="Q1242" s="66"/>
      <c r="R1242" s="2"/>
    </row>
    <row r="1243" spans="1:18">
      <c r="A1243" s="3"/>
      <c r="B1243" s="3"/>
      <c r="C1243" s="2"/>
      <c r="D1243" s="2"/>
      <c r="E1243" s="64"/>
      <c r="F1243" s="64"/>
      <c r="G1243" s="64"/>
      <c r="H1243" s="64"/>
      <c r="I1243" s="2"/>
      <c r="J1243" s="2"/>
      <c r="K1243" s="2"/>
      <c r="L1243" s="2"/>
      <c r="M1243" s="2"/>
      <c r="N1243" s="2"/>
      <c r="O1243" s="2"/>
      <c r="P1243" s="66"/>
      <c r="Q1243" s="66"/>
      <c r="R1243" s="2"/>
    </row>
    <row r="1244" spans="1:18">
      <c r="A1244" s="3"/>
      <c r="B1244" s="3"/>
      <c r="C1244" s="2"/>
      <c r="D1244" s="2"/>
      <c r="E1244" s="64"/>
      <c r="F1244" s="64"/>
      <c r="G1244" s="64"/>
      <c r="H1244" s="64"/>
      <c r="I1244" s="2"/>
      <c r="J1244" s="2"/>
      <c r="K1244" s="2"/>
      <c r="L1244" s="2"/>
      <c r="M1244" s="2"/>
      <c r="N1244" s="2"/>
      <c r="O1244" s="2"/>
      <c r="P1244" s="66"/>
      <c r="Q1244" s="66"/>
      <c r="R1244" s="2"/>
    </row>
    <row r="1245" spans="1:18">
      <c r="A1245" s="3"/>
      <c r="B1245" s="3"/>
      <c r="C1245" s="2"/>
      <c r="D1245" s="2"/>
      <c r="E1245" s="64"/>
      <c r="F1245" s="64"/>
      <c r="G1245" s="64"/>
      <c r="H1245" s="64"/>
      <c r="I1245" s="2"/>
      <c r="J1245" s="2"/>
      <c r="K1245" s="2"/>
      <c r="L1245" s="2"/>
      <c r="M1245" s="2"/>
      <c r="N1245" s="2"/>
      <c r="O1245" s="2"/>
      <c r="P1245" s="66"/>
      <c r="Q1245" s="66"/>
      <c r="R1245" s="2"/>
    </row>
    <row r="1246" spans="1:18">
      <c r="A1246" s="3"/>
      <c r="B1246" s="3"/>
      <c r="C1246" s="2"/>
      <c r="D1246" s="2"/>
      <c r="E1246" s="64"/>
      <c r="F1246" s="64"/>
      <c r="G1246" s="64"/>
      <c r="H1246" s="64"/>
      <c r="I1246" s="2"/>
      <c r="J1246" s="2"/>
      <c r="K1246" s="2"/>
      <c r="L1246" s="2"/>
      <c r="M1246" s="2"/>
      <c r="N1246" s="2"/>
      <c r="O1246" s="2"/>
      <c r="P1246" s="66"/>
      <c r="Q1246" s="66"/>
      <c r="R1246" s="2"/>
    </row>
    <row r="1247" spans="1:18">
      <c r="A1247" s="3"/>
      <c r="B1247" s="3"/>
      <c r="C1247" s="2"/>
      <c r="D1247" s="2"/>
      <c r="E1247" s="64"/>
      <c r="F1247" s="64"/>
      <c r="G1247" s="64"/>
      <c r="H1247" s="64"/>
      <c r="I1247" s="2"/>
      <c r="J1247" s="2"/>
      <c r="K1247" s="2"/>
      <c r="L1247" s="2"/>
      <c r="M1247" s="2"/>
      <c r="N1247" s="2"/>
      <c r="O1247" s="2"/>
      <c r="P1247" s="66"/>
      <c r="Q1247" s="66"/>
      <c r="R1247" s="2"/>
    </row>
    <row r="1248" spans="1:18">
      <c r="A1248" s="3"/>
      <c r="B1248" s="3"/>
      <c r="C1248" s="2"/>
      <c r="D1248" s="2"/>
      <c r="E1248" s="64"/>
      <c r="F1248" s="64"/>
      <c r="G1248" s="64"/>
      <c r="H1248" s="64"/>
      <c r="I1248" s="2"/>
      <c r="J1248" s="2"/>
      <c r="K1248" s="2"/>
      <c r="L1248" s="2"/>
      <c r="M1248" s="2"/>
      <c r="N1248" s="2"/>
      <c r="O1248" s="2"/>
      <c r="P1248" s="66"/>
      <c r="Q1248" s="66"/>
      <c r="R1248" s="2"/>
    </row>
    <row r="1249" spans="1:18">
      <c r="A1249" s="3"/>
      <c r="B1249" s="3"/>
      <c r="C1249" s="2"/>
      <c r="D1249" s="2"/>
      <c r="E1249" s="64"/>
      <c r="F1249" s="64"/>
      <c r="G1249" s="64"/>
      <c r="H1249" s="64"/>
      <c r="I1249" s="2"/>
      <c r="J1249" s="2"/>
      <c r="K1249" s="2"/>
      <c r="L1249" s="2"/>
      <c r="M1249" s="2"/>
      <c r="N1249" s="2"/>
      <c r="O1249" s="2"/>
      <c r="P1249" s="66"/>
      <c r="Q1249" s="66"/>
      <c r="R1249" s="2"/>
    </row>
    <row r="1250" spans="1:18">
      <c r="A1250" s="3"/>
      <c r="B1250" s="3"/>
      <c r="C1250" s="2"/>
      <c r="D1250" s="2"/>
      <c r="E1250" s="64"/>
      <c r="F1250" s="64"/>
      <c r="G1250" s="64"/>
      <c r="H1250" s="64"/>
      <c r="I1250" s="2"/>
      <c r="J1250" s="2"/>
      <c r="K1250" s="2"/>
      <c r="L1250" s="2"/>
      <c r="M1250" s="2"/>
      <c r="N1250" s="2"/>
      <c r="O1250" s="2"/>
      <c r="P1250" s="66"/>
      <c r="Q1250" s="66"/>
      <c r="R1250" s="2"/>
    </row>
    <row r="1251" spans="1:18">
      <c r="A1251" s="3"/>
      <c r="B1251" s="3"/>
      <c r="C1251" s="2"/>
      <c r="D1251" s="2"/>
      <c r="E1251" s="64"/>
      <c r="F1251" s="64"/>
      <c r="G1251" s="64"/>
      <c r="H1251" s="64"/>
      <c r="I1251" s="2"/>
      <c r="J1251" s="2"/>
      <c r="K1251" s="2"/>
      <c r="L1251" s="2"/>
      <c r="M1251" s="2"/>
      <c r="N1251" s="2"/>
      <c r="O1251" s="2"/>
      <c r="P1251" s="66"/>
      <c r="Q1251" s="66"/>
      <c r="R1251" s="2"/>
    </row>
    <row r="1252" spans="1:18">
      <c r="A1252" s="3"/>
      <c r="B1252" s="3"/>
      <c r="C1252" s="2"/>
      <c r="D1252" s="2"/>
      <c r="E1252" s="64"/>
      <c r="F1252" s="64"/>
      <c r="G1252" s="64"/>
      <c r="H1252" s="64"/>
      <c r="I1252" s="2"/>
      <c r="J1252" s="2"/>
      <c r="K1252" s="2"/>
      <c r="L1252" s="2"/>
      <c r="M1252" s="2"/>
      <c r="N1252" s="2"/>
      <c r="O1252" s="2"/>
      <c r="P1252" s="66"/>
      <c r="Q1252" s="66"/>
      <c r="R1252" s="2"/>
    </row>
    <row r="1253" spans="1:18">
      <c r="A1253" s="3"/>
      <c r="B1253" s="3"/>
      <c r="C1253" s="2"/>
      <c r="D1253" s="2"/>
      <c r="E1253" s="64"/>
      <c r="F1253" s="64"/>
      <c r="G1253" s="64"/>
      <c r="H1253" s="64"/>
      <c r="I1253" s="2"/>
      <c r="J1253" s="2"/>
      <c r="K1253" s="2"/>
      <c r="L1253" s="2"/>
      <c r="M1253" s="2"/>
      <c r="N1253" s="2"/>
      <c r="O1253" s="2"/>
      <c r="P1253" s="66"/>
      <c r="Q1253" s="66"/>
      <c r="R1253" s="2"/>
    </row>
    <row r="1254" spans="1:18">
      <c r="A1254" s="3"/>
      <c r="B1254" s="3"/>
      <c r="C1254" s="2"/>
      <c r="D1254" s="2"/>
      <c r="E1254" s="64"/>
      <c r="F1254" s="64"/>
      <c r="G1254" s="64"/>
      <c r="H1254" s="64"/>
      <c r="I1254" s="2"/>
      <c r="J1254" s="2"/>
      <c r="K1254" s="2"/>
      <c r="L1254" s="2"/>
      <c r="M1254" s="2"/>
      <c r="N1254" s="2"/>
      <c r="O1254" s="2"/>
      <c r="P1254" s="66"/>
      <c r="Q1254" s="66"/>
      <c r="R1254" s="2"/>
    </row>
    <row r="1255" spans="1:18">
      <c r="A1255" s="3"/>
      <c r="B1255" s="3"/>
      <c r="C1255" s="2"/>
      <c r="D1255" s="2"/>
      <c r="E1255" s="64"/>
      <c r="F1255" s="64"/>
      <c r="G1255" s="64"/>
      <c r="H1255" s="64"/>
      <c r="I1255" s="2"/>
      <c r="J1255" s="2"/>
      <c r="K1255" s="2"/>
      <c r="L1255" s="2"/>
      <c r="M1255" s="2"/>
      <c r="N1255" s="2"/>
      <c r="O1255" s="2"/>
      <c r="P1255" s="66"/>
      <c r="Q1255" s="66"/>
      <c r="R1255" s="2"/>
    </row>
    <row r="1256" spans="1:18">
      <c r="A1256" s="3"/>
      <c r="B1256" s="3"/>
      <c r="C1256" s="2"/>
      <c r="D1256" s="2"/>
      <c r="E1256" s="64"/>
      <c r="F1256" s="64"/>
      <c r="G1256" s="64"/>
      <c r="H1256" s="64"/>
      <c r="I1256" s="2"/>
      <c r="J1256" s="2"/>
      <c r="K1256" s="2"/>
      <c r="L1256" s="2"/>
      <c r="M1256" s="2"/>
      <c r="N1256" s="2"/>
      <c r="O1256" s="2"/>
      <c r="P1256" s="66"/>
      <c r="Q1256" s="66"/>
      <c r="R1256" s="2"/>
    </row>
    <row r="1257" spans="1:18">
      <c r="A1257" s="3"/>
      <c r="B1257" s="3"/>
      <c r="C1257" s="2"/>
      <c r="D1257" s="2"/>
      <c r="E1257" s="64"/>
      <c r="F1257" s="64"/>
      <c r="G1257" s="64"/>
      <c r="H1257" s="64"/>
      <c r="I1257" s="2"/>
      <c r="J1257" s="2"/>
      <c r="K1257" s="2"/>
      <c r="L1257" s="2"/>
      <c r="M1257" s="2"/>
      <c r="N1257" s="2"/>
      <c r="O1257" s="2"/>
      <c r="P1257" s="66"/>
      <c r="Q1257" s="66"/>
      <c r="R1257" s="2"/>
    </row>
    <row r="1258" spans="1:18">
      <c r="A1258" s="3"/>
      <c r="B1258" s="3"/>
      <c r="C1258" s="2"/>
      <c r="D1258" s="2"/>
      <c r="E1258" s="64"/>
      <c r="F1258" s="64"/>
      <c r="G1258" s="64"/>
      <c r="H1258" s="64"/>
      <c r="I1258" s="2"/>
      <c r="J1258" s="2"/>
      <c r="K1258" s="2"/>
      <c r="L1258" s="2"/>
      <c r="M1258" s="2"/>
      <c r="N1258" s="2"/>
      <c r="O1258" s="2"/>
      <c r="P1258" s="66"/>
      <c r="Q1258" s="66"/>
      <c r="R1258" s="2"/>
    </row>
    <row r="1259" spans="1:18">
      <c r="A1259" s="3"/>
      <c r="B1259" s="3"/>
      <c r="C1259" s="2"/>
      <c r="D1259" s="2"/>
      <c r="E1259" s="64"/>
      <c r="F1259" s="64"/>
      <c r="G1259" s="64"/>
      <c r="H1259" s="64"/>
      <c r="I1259" s="2"/>
      <c r="J1259" s="2"/>
      <c r="K1259" s="2"/>
      <c r="L1259" s="2"/>
      <c r="M1259" s="2"/>
      <c r="N1259" s="2"/>
      <c r="O1259" s="2"/>
      <c r="P1259" s="66"/>
      <c r="Q1259" s="66"/>
      <c r="R1259" s="2"/>
    </row>
    <row r="1260" spans="1:18">
      <c r="A1260" s="3"/>
      <c r="B1260" s="3"/>
      <c r="C1260" s="2"/>
      <c r="D1260" s="2"/>
      <c r="E1260" s="64"/>
      <c r="F1260" s="64"/>
      <c r="G1260" s="64"/>
      <c r="H1260" s="64"/>
      <c r="I1260" s="2"/>
      <c r="J1260" s="2"/>
      <c r="K1260" s="2"/>
      <c r="L1260" s="2"/>
      <c r="M1260" s="2"/>
      <c r="N1260" s="2"/>
      <c r="O1260" s="2"/>
      <c r="P1260" s="66"/>
      <c r="Q1260" s="66"/>
      <c r="R1260" s="2"/>
    </row>
    <row r="1261" spans="1:18">
      <c r="A1261" s="3"/>
      <c r="B1261" s="3"/>
      <c r="C1261" s="2"/>
      <c r="D1261" s="2"/>
      <c r="E1261" s="64"/>
      <c r="F1261" s="64"/>
      <c r="G1261" s="64"/>
      <c r="H1261" s="64"/>
      <c r="I1261" s="2"/>
      <c r="J1261" s="2"/>
      <c r="K1261" s="2"/>
      <c r="L1261" s="2"/>
      <c r="M1261" s="2"/>
      <c r="N1261" s="2"/>
      <c r="O1261" s="2"/>
      <c r="P1261" s="66"/>
      <c r="Q1261" s="66"/>
      <c r="R1261" s="2"/>
    </row>
    <row r="1262" spans="1:18">
      <c r="A1262" s="3"/>
      <c r="B1262" s="3"/>
      <c r="C1262" s="2"/>
      <c r="D1262" s="2"/>
      <c r="E1262" s="64"/>
      <c r="F1262" s="64"/>
      <c r="G1262" s="64"/>
      <c r="H1262" s="64"/>
      <c r="I1262" s="2"/>
      <c r="J1262" s="2"/>
      <c r="K1262" s="2"/>
      <c r="L1262" s="2"/>
      <c r="M1262" s="2"/>
      <c r="N1262" s="2"/>
      <c r="O1262" s="2"/>
      <c r="P1262" s="66"/>
      <c r="Q1262" s="66"/>
      <c r="R1262" s="2"/>
    </row>
    <row r="1263" spans="1:18">
      <c r="A1263" s="3"/>
      <c r="B1263" s="3"/>
      <c r="C1263" s="2"/>
      <c r="D1263" s="2"/>
      <c r="E1263" s="64"/>
      <c r="F1263" s="64"/>
      <c r="G1263" s="64"/>
      <c r="H1263" s="64"/>
      <c r="I1263" s="2"/>
      <c r="J1263" s="2"/>
      <c r="K1263" s="2"/>
      <c r="L1263" s="2"/>
      <c r="M1263" s="2"/>
      <c r="N1263" s="2"/>
      <c r="O1263" s="2"/>
      <c r="P1263" s="66"/>
      <c r="Q1263" s="66"/>
      <c r="R1263" s="2"/>
    </row>
    <row r="1264" spans="1:18">
      <c r="A1264" s="3"/>
      <c r="B1264" s="3"/>
      <c r="C1264" s="2"/>
      <c r="D1264" s="2"/>
      <c r="E1264" s="64"/>
      <c r="F1264" s="64"/>
      <c r="G1264" s="64"/>
      <c r="H1264" s="64"/>
      <c r="I1264" s="2"/>
      <c r="J1264" s="2"/>
      <c r="K1264" s="2"/>
      <c r="L1264" s="2"/>
      <c r="M1264" s="2"/>
      <c r="N1264" s="2"/>
      <c r="O1264" s="2"/>
      <c r="P1264" s="66"/>
      <c r="Q1264" s="66"/>
      <c r="R1264" s="2"/>
    </row>
    <row r="1265" spans="1:18">
      <c r="A1265" s="3"/>
      <c r="B1265" s="3"/>
      <c r="C1265" s="2"/>
      <c r="D1265" s="2"/>
      <c r="E1265" s="64"/>
      <c r="F1265" s="64"/>
      <c r="G1265" s="64"/>
      <c r="H1265" s="64"/>
      <c r="I1265" s="2"/>
      <c r="J1265" s="2"/>
      <c r="K1265" s="2"/>
      <c r="L1265" s="2"/>
      <c r="M1265" s="2"/>
      <c r="N1265" s="2"/>
      <c r="O1265" s="2"/>
      <c r="P1265" s="66"/>
      <c r="Q1265" s="66"/>
      <c r="R1265" s="2"/>
    </row>
    <row r="1266" spans="1:18">
      <c r="A1266" s="3"/>
      <c r="B1266" s="3"/>
      <c r="C1266" s="2"/>
      <c r="D1266" s="2"/>
      <c r="E1266" s="64"/>
      <c r="F1266" s="64"/>
      <c r="G1266" s="64"/>
      <c r="H1266" s="64"/>
      <c r="I1266" s="2"/>
      <c r="J1266" s="2"/>
      <c r="K1266" s="2"/>
      <c r="L1266" s="2"/>
      <c r="M1266" s="2"/>
      <c r="N1266" s="2"/>
      <c r="O1266" s="2"/>
      <c r="P1266" s="66"/>
      <c r="Q1266" s="66"/>
      <c r="R1266" s="2"/>
    </row>
    <row r="1267" spans="1:18">
      <c r="A1267" s="3"/>
      <c r="B1267" s="3"/>
      <c r="C1267" s="2"/>
      <c r="D1267" s="2"/>
      <c r="E1267" s="64"/>
      <c r="F1267" s="64"/>
      <c r="G1267" s="64"/>
      <c r="H1267" s="64"/>
      <c r="I1267" s="2"/>
      <c r="J1267" s="2"/>
      <c r="K1267" s="2"/>
      <c r="L1267" s="2"/>
      <c r="M1267" s="2"/>
      <c r="N1267" s="2"/>
      <c r="O1267" s="2"/>
      <c r="P1267" s="66"/>
      <c r="Q1267" s="66"/>
      <c r="R1267" s="2"/>
    </row>
    <row r="1268" spans="1:18">
      <c r="A1268" s="3"/>
      <c r="B1268" s="3"/>
      <c r="C1268" s="2"/>
      <c r="D1268" s="2"/>
      <c r="E1268" s="64"/>
      <c r="F1268" s="64"/>
      <c r="G1268" s="64"/>
      <c r="H1268" s="64"/>
      <c r="I1268" s="2"/>
      <c r="J1268" s="2"/>
      <c r="K1268" s="2"/>
      <c r="L1268" s="2"/>
      <c r="M1268" s="2"/>
      <c r="N1268" s="2"/>
      <c r="O1268" s="2"/>
      <c r="P1268" s="66"/>
      <c r="Q1268" s="66"/>
      <c r="R1268" s="2"/>
    </row>
    <row r="1269" spans="1:18">
      <c r="A1269" s="3"/>
      <c r="B1269" s="3"/>
      <c r="C1269" s="2"/>
      <c r="D1269" s="2"/>
      <c r="E1269" s="64"/>
      <c r="F1269" s="64"/>
      <c r="G1269" s="64"/>
      <c r="H1269" s="64"/>
      <c r="I1269" s="2"/>
      <c r="J1269" s="2"/>
      <c r="K1269" s="2"/>
      <c r="L1269" s="2"/>
      <c r="M1269" s="2"/>
      <c r="N1269" s="2"/>
      <c r="O1269" s="2"/>
      <c r="P1269" s="66"/>
      <c r="Q1269" s="66"/>
      <c r="R1269" s="2"/>
    </row>
    <row r="1270" spans="1:18">
      <c r="A1270" s="3"/>
      <c r="B1270" s="3"/>
      <c r="C1270" s="2"/>
      <c r="D1270" s="2"/>
      <c r="E1270" s="64"/>
      <c r="F1270" s="64"/>
      <c r="G1270" s="64"/>
      <c r="H1270" s="64"/>
      <c r="I1270" s="2"/>
      <c r="J1270" s="2"/>
      <c r="K1270" s="2"/>
      <c r="L1270" s="2"/>
      <c r="M1270" s="2"/>
      <c r="N1270" s="2"/>
      <c r="O1270" s="2"/>
      <c r="P1270" s="66"/>
      <c r="Q1270" s="66"/>
      <c r="R1270" s="2"/>
    </row>
    <row r="1271" spans="1:18">
      <c r="A1271" s="3"/>
      <c r="B1271" s="3"/>
      <c r="C1271" s="2"/>
      <c r="D1271" s="2"/>
      <c r="E1271" s="64"/>
      <c r="F1271" s="64"/>
      <c r="G1271" s="64"/>
      <c r="H1271" s="64"/>
      <c r="I1271" s="2"/>
      <c r="J1271" s="2"/>
      <c r="K1271" s="2"/>
      <c r="L1271" s="2"/>
      <c r="M1271" s="2"/>
      <c r="N1271" s="2"/>
      <c r="O1271" s="2"/>
      <c r="P1271" s="66"/>
      <c r="Q1271" s="66"/>
      <c r="R1271" s="2"/>
    </row>
    <row r="1272" spans="1:18">
      <c r="A1272" s="3"/>
      <c r="B1272" s="3"/>
      <c r="C1272" s="2"/>
      <c r="D1272" s="2"/>
      <c r="E1272" s="64"/>
      <c r="F1272" s="64"/>
      <c r="G1272" s="64"/>
      <c r="H1272" s="64"/>
      <c r="I1272" s="2"/>
      <c r="J1272" s="2"/>
      <c r="K1272" s="2"/>
      <c r="L1272" s="2"/>
      <c r="M1272" s="2"/>
      <c r="N1272" s="2"/>
      <c r="O1272" s="2"/>
      <c r="P1272" s="66"/>
      <c r="Q1272" s="66"/>
      <c r="R1272" s="2"/>
    </row>
    <row r="1273" spans="1:18">
      <c r="A1273" s="3"/>
      <c r="B1273" s="3"/>
      <c r="C1273" s="2"/>
      <c r="D1273" s="2"/>
      <c r="E1273" s="64"/>
      <c r="F1273" s="64"/>
      <c r="G1273" s="64"/>
      <c r="H1273" s="64"/>
      <c r="I1273" s="2"/>
      <c r="J1273" s="2"/>
      <c r="K1273" s="2"/>
      <c r="L1273" s="2"/>
      <c r="M1273" s="2"/>
      <c r="N1273" s="2"/>
      <c r="O1273" s="2"/>
      <c r="P1273" s="66"/>
      <c r="Q1273" s="66"/>
      <c r="R1273" s="2"/>
    </row>
    <row r="1274" spans="1:18">
      <c r="A1274" s="3"/>
      <c r="B1274" s="3"/>
      <c r="C1274" s="2"/>
      <c r="D1274" s="2"/>
      <c r="E1274" s="64"/>
      <c r="F1274" s="64"/>
      <c r="G1274" s="64"/>
      <c r="H1274" s="64"/>
      <c r="I1274" s="2"/>
      <c r="J1274" s="2"/>
      <c r="K1274" s="2"/>
      <c r="L1274" s="2"/>
      <c r="M1274" s="2"/>
      <c r="N1274" s="2"/>
      <c r="O1274" s="2"/>
      <c r="P1274" s="66"/>
      <c r="Q1274" s="66"/>
      <c r="R1274" s="2"/>
    </row>
    <row r="1275" spans="1:18">
      <c r="A1275" s="3"/>
      <c r="B1275" s="3"/>
      <c r="C1275" s="2"/>
      <c r="D1275" s="2"/>
      <c r="E1275" s="64"/>
      <c r="F1275" s="64"/>
      <c r="G1275" s="64"/>
      <c r="H1275" s="64"/>
      <c r="I1275" s="2"/>
      <c r="J1275" s="2"/>
      <c r="K1275" s="2"/>
      <c r="L1275" s="2"/>
      <c r="M1275" s="2"/>
      <c r="N1275" s="2"/>
      <c r="O1275" s="2"/>
      <c r="P1275" s="66"/>
      <c r="Q1275" s="66"/>
      <c r="R1275" s="2"/>
    </row>
    <row r="1276" spans="1:18">
      <c r="A1276" s="3"/>
      <c r="B1276" s="3"/>
      <c r="C1276" s="2"/>
      <c r="D1276" s="2"/>
      <c r="E1276" s="64"/>
      <c r="F1276" s="64"/>
      <c r="G1276" s="64"/>
      <c r="H1276" s="64"/>
      <c r="I1276" s="2"/>
      <c r="J1276" s="2"/>
      <c r="K1276" s="2"/>
      <c r="L1276" s="2"/>
      <c r="M1276" s="2"/>
      <c r="N1276" s="2"/>
      <c r="O1276" s="2"/>
      <c r="P1276" s="66"/>
      <c r="Q1276" s="66"/>
      <c r="R1276" s="2"/>
    </row>
    <row r="1277" spans="1:18">
      <c r="A1277" s="3"/>
      <c r="B1277" s="3"/>
      <c r="C1277" s="2"/>
      <c r="D1277" s="2"/>
      <c r="E1277" s="64"/>
      <c r="F1277" s="64"/>
      <c r="G1277" s="64"/>
      <c r="H1277" s="64"/>
      <c r="I1277" s="2"/>
      <c r="J1277" s="2"/>
      <c r="K1277" s="2"/>
      <c r="L1277" s="2"/>
      <c r="M1277" s="2"/>
      <c r="N1277" s="2"/>
      <c r="O1277" s="2"/>
      <c r="P1277" s="66"/>
      <c r="Q1277" s="66"/>
      <c r="R1277" s="2"/>
    </row>
    <row r="1278" spans="1:18">
      <c r="A1278" s="3"/>
      <c r="B1278" s="3"/>
      <c r="C1278" s="2"/>
      <c r="D1278" s="2"/>
      <c r="E1278" s="64"/>
      <c r="F1278" s="64"/>
      <c r="G1278" s="64"/>
      <c r="H1278" s="64"/>
      <c r="I1278" s="2"/>
      <c r="J1278" s="2"/>
      <c r="K1278" s="2"/>
      <c r="L1278" s="2"/>
      <c r="M1278" s="2"/>
      <c r="N1278" s="2"/>
      <c r="O1278" s="2"/>
      <c r="P1278" s="66"/>
      <c r="Q1278" s="66"/>
      <c r="R1278" s="2"/>
    </row>
    <row r="1279" spans="1:18">
      <c r="A1279" s="3"/>
      <c r="B1279" s="3"/>
      <c r="C1279" s="2"/>
      <c r="D1279" s="2"/>
      <c r="E1279" s="64"/>
      <c r="F1279" s="64"/>
      <c r="G1279" s="64"/>
      <c r="H1279" s="64"/>
      <c r="I1279" s="2"/>
      <c r="J1279" s="2"/>
      <c r="K1279" s="2"/>
      <c r="L1279" s="2"/>
      <c r="M1279" s="2"/>
      <c r="N1279" s="2"/>
      <c r="O1279" s="2"/>
      <c r="P1279" s="66"/>
      <c r="Q1279" s="66"/>
      <c r="R1279" s="2"/>
    </row>
    <row r="1280" spans="1:18">
      <c r="A1280" s="3"/>
      <c r="B1280" s="3"/>
      <c r="C1280" s="2"/>
      <c r="D1280" s="2"/>
      <c r="E1280" s="64"/>
      <c r="F1280" s="64"/>
      <c r="G1280" s="64"/>
      <c r="H1280" s="64"/>
      <c r="I1280" s="2"/>
      <c r="J1280" s="2"/>
      <c r="K1280" s="2"/>
      <c r="L1280" s="2"/>
      <c r="M1280" s="2"/>
      <c r="N1280" s="2"/>
      <c r="O1280" s="2"/>
      <c r="P1280" s="66"/>
      <c r="Q1280" s="66"/>
      <c r="R1280" s="2"/>
    </row>
    <row r="1281" spans="1:18">
      <c r="A1281" s="3"/>
      <c r="B1281" s="3"/>
      <c r="C1281" s="2"/>
      <c r="D1281" s="2"/>
      <c r="E1281" s="64"/>
      <c r="F1281" s="64"/>
      <c r="G1281" s="64"/>
      <c r="H1281" s="64"/>
      <c r="I1281" s="2"/>
      <c r="J1281" s="2"/>
      <c r="K1281" s="2"/>
      <c r="L1281" s="2"/>
      <c r="M1281" s="2"/>
      <c r="N1281" s="2"/>
      <c r="O1281" s="2"/>
      <c r="P1281" s="66"/>
      <c r="Q1281" s="66"/>
      <c r="R1281" s="2"/>
    </row>
    <row r="1282" spans="1:18">
      <c r="A1282" s="3"/>
      <c r="B1282" s="3"/>
      <c r="C1282" s="2"/>
      <c r="D1282" s="2"/>
      <c r="E1282" s="64"/>
      <c r="F1282" s="64"/>
      <c r="G1282" s="64"/>
      <c r="H1282" s="64"/>
      <c r="I1282" s="2"/>
      <c r="L1282" s="2"/>
      <c r="M1282" s="2"/>
      <c r="N1282" s="2"/>
    </row>
    <row r="1283" spans="1:18">
      <c r="A1283" s="3"/>
      <c r="B1283" s="3"/>
      <c r="C1283" s="2"/>
      <c r="D1283" s="2"/>
      <c r="E1283" s="64"/>
      <c r="F1283" s="64"/>
      <c r="G1283" s="64"/>
      <c r="H1283" s="64"/>
      <c r="I1283" s="2"/>
      <c r="L1283" s="2"/>
      <c r="M1283" s="2"/>
      <c r="N1283" s="2"/>
    </row>
    <row r="1284" spans="1:18">
      <c r="A1284" s="3"/>
      <c r="B1284" s="3"/>
      <c r="C1284" s="2"/>
      <c r="D1284" s="2"/>
      <c r="E1284" s="64"/>
      <c r="F1284" s="64"/>
      <c r="G1284" s="64"/>
      <c r="H1284" s="64"/>
      <c r="I1284" s="2"/>
      <c r="L1284" s="2"/>
      <c r="M1284" s="2"/>
      <c r="N1284" s="2"/>
    </row>
    <row r="1285" spans="1:18">
      <c r="A1285" s="3"/>
      <c r="B1285" s="3"/>
      <c r="C1285" s="2"/>
      <c r="D1285" s="2"/>
      <c r="E1285" s="64"/>
      <c r="F1285" s="64"/>
      <c r="G1285" s="64"/>
      <c r="H1285" s="64"/>
      <c r="I1285" s="2"/>
      <c r="L1285" s="2"/>
      <c r="M1285" s="2"/>
      <c r="N1285" s="2"/>
    </row>
    <row r="1286" spans="1:18">
      <c r="A1286" s="3"/>
      <c r="B1286" s="3"/>
      <c r="C1286" s="2"/>
      <c r="D1286" s="2"/>
      <c r="E1286" s="64"/>
      <c r="F1286" s="64"/>
      <c r="G1286" s="64"/>
      <c r="H1286" s="64"/>
      <c r="I1286" s="2"/>
      <c r="L1286" s="2"/>
      <c r="M1286" s="2"/>
      <c r="N1286" s="2"/>
    </row>
    <row r="1287" spans="1:18">
      <c r="A1287" s="3"/>
      <c r="B1287" s="3"/>
      <c r="C1287" s="2"/>
      <c r="D1287" s="2"/>
      <c r="E1287" s="64"/>
      <c r="F1287" s="64"/>
      <c r="G1287" s="64"/>
      <c r="H1287" s="64"/>
      <c r="I1287" s="2"/>
      <c r="L1287" s="2"/>
      <c r="M1287" s="2"/>
      <c r="N1287" s="2"/>
    </row>
    <row r="1288" spans="1:18">
      <c r="A1288" s="3"/>
      <c r="B1288" s="3"/>
      <c r="C1288" s="2"/>
      <c r="D1288" s="2"/>
      <c r="E1288" s="64"/>
      <c r="F1288" s="64"/>
      <c r="G1288" s="64"/>
      <c r="H1288" s="64"/>
      <c r="I1288" s="2"/>
      <c r="L1288" s="2"/>
      <c r="M1288" s="2"/>
      <c r="N1288" s="2"/>
    </row>
    <row r="1289" spans="1:18">
      <c r="A1289" s="3"/>
      <c r="B1289" s="3"/>
      <c r="C1289" s="2"/>
      <c r="D1289" s="2"/>
      <c r="E1289" s="64"/>
      <c r="F1289" s="64"/>
      <c r="G1289" s="64"/>
      <c r="H1289" s="64"/>
      <c r="I1289" s="2"/>
      <c r="L1289" s="2"/>
      <c r="M1289" s="2"/>
      <c r="N1289" s="2"/>
    </row>
    <row r="1290" spans="1:18">
      <c r="A1290" s="3"/>
      <c r="B1290" s="3"/>
      <c r="C1290" s="2"/>
      <c r="D1290" s="2"/>
      <c r="E1290" s="64"/>
      <c r="F1290" s="64"/>
      <c r="G1290" s="64"/>
      <c r="H1290" s="64"/>
      <c r="I1290" s="2"/>
      <c r="L1290" s="2"/>
      <c r="M1290" s="2"/>
      <c r="N1290" s="2"/>
    </row>
    <row r="1291" spans="1:18">
      <c r="A1291" s="3"/>
      <c r="B1291" s="3"/>
      <c r="C1291" s="2"/>
      <c r="D1291" s="2"/>
      <c r="E1291" s="64"/>
      <c r="F1291" s="64"/>
      <c r="G1291" s="64"/>
      <c r="H1291" s="64"/>
      <c r="I1291" s="2"/>
      <c r="L1291" s="2"/>
      <c r="M1291" s="2"/>
      <c r="N1291" s="2"/>
    </row>
    <row r="1292" spans="1:18">
      <c r="A1292" s="3"/>
      <c r="B1292" s="3"/>
      <c r="C1292" s="2"/>
      <c r="D1292" s="2"/>
      <c r="E1292" s="64"/>
      <c r="F1292" s="64"/>
      <c r="G1292" s="64"/>
      <c r="H1292" s="64"/>
      <c r="I1292" s="2"/>
      <c r="L1292" s="2"/>
      <c r="M1292" s="2"/>
      <c r="N1292" s="2"/>
    </row>
    <row r="1293" spans="1:18">
      <c r="A1293" s="3"/>
      <c r="B1293" s="3"/>
      <c r="C1293" s="2"/>
      <c r="D1293" s="2"/>
      <c r="E1293" s="64"/>
      <c r="F1293" s="64"/>
      <c r="G1293" s="64"/>
      <c r="H1293" s="64"/>
      <c r="I1293" s="2"/>
      <c r="L1293" s="2"/>
      <c r="M1293" s="2"/>
      <c r="N1293" s="2"/>
    </row>
    <row r="1294" spans="1:18">
      <c r="A1294" s="3"/>
      <c r="B1294" s="3"/>
      <c r="C1294" s="2"/>
      <c r="D1294" s="2"/>
      <c r="E1294" s="64"/>
      <c r="F1294" s="64"/>
      <c r="G1294" s="64"/>
      <c r="H1294" s="64"/>
      <c r="I1294" s="2"/>
      <c r="L1294" s="2"/>
      <c r="M1294" s="2"/>
      <c r="N1294" s="2"/>
    </row>
    <row r="1295" spans="1:18">
      <c r="A1295" s="3"/>
      <c r="B1295" s="3"/>
      <c r="C1295" s="2"/>
      <c r="D1295" s="2"/>
      <c r="E1295" s="64"/>
      <c r="F1295" s="64"/>
      <c r="G1295" s="64"/>
      <c r="H1295" s="64"/>
      <c r="I1295" s="2"/>
      <c r="L1295" s="2"/>
      <c r="M1295" s="2"/>
      <c r="N1295" s="2"/>
    </row>
    <row r="1296" spans="1:18">
      <c r="A1296" s="3"/>
      <c r="B1296" s="3"/>
      <c r="C1296" s="2"/>
      <c r="D1296" s="2"/>
      <c r="E1296" s="64"/>
      <c r="F1296" s="64"/>
      <c r="G1296" s="64"/>
      <c r="H1296" s="64"/>
      <c r="I1296" s="2"/>
      <c r="L1296" s="2"/>
      <c r="M1296" s="2"/>
      <c r="N1296" s="2"/>
    </row>
    <row r="1297" spans="1:14">
      <c r="A1297" s="3"/>
      <c r="B1297" s="3"/>
      <c r="C1297" s="2"/>
      <c r="D1297" s="2"/>
      <c r="E1297" s="64"/>
      <c r="F1297" s="64"/>
      <c r="G1297" s="64"/>
      <c r="H1297" s="64"/>
      <c r="I1297" s="2"/>
      <c r="L1297" s="2"/>
      <c r="M1297" s="2"/>
      <c r="N1297" s="2"/>
    </row>
    <row r="1298" spans="1:14">
      <c r="A1298" s="3"/>
      <c r="B1298" s="3"/>
      <c r="C1298" s="2"/>
      <c r="D1298" s="2"/>
      <c r="E1298" s="64"/>
      <c r="F1298" s="64"/>
      <c r="G1298" s="64"/>
      <c r="H1298" s="64"/>
      <c r="I1298" s="2"/>
      <c r="L1298" s="2"/>
      <c r="M1298" s="2"/>
      <c r="N1298" s="2"/>
    </row>
    <row r="1299" spans="1:14">
      <c r="A1299" s="3"/>
      <c r="B1299" s="3"/>
      <c r="C1299" s="2"/>
      <c r="D1299" s="2"/>
      <c r="E1299" s="64"/>
      <c r="F1299" s="64"/>
      <c r="G1299" s="64"/>
      <c r="H1299" s="64"/>
      <c r="I1299" s="2"/>
      <c r="L1299" s="2"/>
      <c r="M1299" s="2"/>
      <c r="N1299" s="2"/>
    </row>
    <row r="1300" spans="1:14">
      <c r="A1300" s="3"/>
      <c r="B1300" s="3"/>
      <c r="C1300" s="2"/>
      <c r="D1300" s="2"/>
      <c r="E1300" s="64"/>
      <c r="F1300" s="64"/>
      <c r="G1300" s="64"/>
      <c r="H1300" s="64"/>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Sheet1">
    <tabColor theme="5" tint="0.59999389629810485"/>
  </sheetPr>
  <dimension ref="A1:AAY764"/>
  <sheetViews>
    <sheetView showGridLines="0" tabSelected="1" topLeftCell="A424" zoomScaleNormal="100" workbookViewId="0">
      <selection activeCell="B447" sqref="B447"/>
    </sheetView>
  </sheetViews>
  <sheetFormatPr defaultColWidth="9" defaultRowHeight="14.25" outlineLevelRow="3" outlineLevelCol="2"/>
  <cols>
    <col min="1" max="1" width="1.5" customWidth="1"/>
    <col min="2" max="2" width="56.625" customWidth="1"/>
    <col min="3" max="3" width="2.375" style="45" customWidth="1"/>
    <col min="4" max="4" width="2.375" style="239" customWidth="1" outlineLevel="1"/>
    <col min="5" max="5" width="5.625" style="43" customWidth="1" outlineLevel="1"/>
    <col min="6" max="6" width="5" style="43" customWidth="1" outlineLevel="1"/>
    <col min="7" max="8" width="9.125" style="45" customWidth="1" outlineLevel="1"/>
    <col min="9" max="9" width="2.375" style="777" customWidth="1"/>
    <col min="10" max="701" width="2.375" hidden="1" customWidth="1" outlineLevel="1"/>
    <col min="702" max="702" width="2.375" style="52" hidden="1" customWidth="1" outlineLevel="1"/>
    <col min="703" max="703" width="2.375" style="52" customWidth="1" collapsed="1"/>
    <col min="704" max="704" width="2.375" customWidth="1"/>
    <col min="705" max="705" width="0.375" customWidth="1"/>
    <col min="706" max="706" width="1.75" style="166" customWidth="1" outlineLevel="1"/>
    <col min="707" max="707" width="5" style="523" customWidth="1" outlineLevel="2"/>
    <col min="708" max="708" width="2.25" style="165" customWidth="1" outlineLevel="2"/>
    <col min="709" max="709" width="7.375" customWidth="1" outlineLevel="2"/>
    <col min="710" max="710" width="8.375" style="23" customWidth="1" outlineLevel="2"/>
    <col min="711" max="711" width="12.25" style="42" customWidth="1" outlineLevel="2"/>
    <col min="712" max="712" width="5.75" style="23" customWidth="1" outlineLevel="1"/>
    <col min="713" max="713" width="52.125" customWidth="1"/>
    <col min="714" max="714" width="4.5" customWidth="1" outlineLevel="1"/>
    <col min="715" max="715" width="18.25" style="23" customWidth="1"/>
  </cols>
  <sheetData>
    <row r="1" spans="1:727" ht="6" customHeight="1">
      <c r="A1" s="171"/>
      <c r="B1" s="202" t="s">
        <v>0</v>
      </c>
      <c r="C1" s="203"/>
      <c r="D1" s="228"/>
      <c r="E1" s="204"/>
      <c r="F1" s="205"/>
      <c r="G1" s="206"/>
      <c r="H1" s="209"/>
      <c r="I1" s="244"/>
      <c r="J1" s="207"/>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AAA1" s="192"/>
      <c r="AAD1" s="90"/>
      <c r="AAE1" s="871" t="s">
        <v>74</v>
      </c>
      <c r="AAF1" s="871"/>
      <c r="AAG1" s="871"/>
      <c r="AAH1" s="871"/>
      <c r="AAI1" s="871"/>
      <c r="AAJ1" s="871"/>
      <c r="AAK1" s="871"/>
      <c r="AAL1" s="90"/>
      <c r="AAM1"/>
    </row>
    <row r="2" spans="1:727" ht="17.25" customHeight="1">
      <c r="A2" s="895"/>
      <c r="B2" s="897" t="s">
        <v>35</v>
      </c>
      <c r="C2" s="888" t="str">
        <f>S.General.RulemakingTitle</f>
        <v>Incorporate Lane Regional Air Protection Agency Rules into State Implementation Plan</v>
      </c>
      <c r="D2" s="888"/>
      <c r="E2" s="888"/>
      <c r="F2" s="888"/>
      <c r="G2" s="888"/>
      <c r="H2" s="888"/>
      <c r="I2" s="244"/>
      <c r="J2" s="215" t="s">
        <v>85</v>
      </c>
      <c r="K2" s="2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AAD2" s="90"/>
      <c r="AAE2" s="871"/>
      <c r="AAF2" s="871"/>
      <c r="AAG2" s="871"/>
      <c r="AAH2" s="871"/>
      <c r="AAI2" s="871"/>
      <c r="AAJ2" s="871"/>
      <c r="AAK2" s="871"/>
      <c r="AAL2" s="90"/>
      <c r="AAM2"/>
    </row>
    <row r="3" spans="1:727" ht="18" customHeight="1">
      <c r="A3" s="895"/>
      <c r="B3" s="897"/>
      <c r="C3" s="888"/>
      <c r="D3" s="888"/>
      <c r="E3" s="888"/>
      <c r="F3" s="888"/>
      <c r="G3" s="888"/>
      <c r="H3" s="888"/>
      <c r="I3" s="244"/>
      <c r="J3" s="776">
        <v>0</v>
      </c>
      <c r="K3" s="35"/>
      <c r="N3" s="52"/>
      <c r="O3" s="875" t="s">
        <v>29</v>
      </c>
      <c r="P3" s="876"/>
      <c r="Q3" s="764"/>
      <c r="R3" s="873" t="s">
        <v>28</v>
      </c>
      <c r="S3" s="874"/>
      <c r="T3" s="765"/>
      <c r="U3" s="883" t="s">
        <v>27</v>
      </c>
      <c r="V3" s="884"/>
      <c r="W3" s="765"/>
      <c r="X3" s="765"/>
      <c r="Y3" s="766"/>
      <c r="Z3" s="766"/>
      <c r="AA3" s="766"/>
      <c r="AB3" s="766"/>
      <c r="AC3" s="766"/>
      <c r="AD3" s="766"/>
      <c r="AE3" s="766"/>
      <c r="AF3" s="766"/>
      <c r="AG3" s="766"/>
      <c r="AH3" s="766"/>
      <c r="AI3" s="766"/>
      <c r="AJ3" s="766"/>
      <c r="AK3" s="766"/>
      <c r="AL3" s="766"/>
      <c r="AM3" s="875" t="s">
        <v>29</v>
      </c>
      <c r="AN3" s="876"/>
      <c r="AO3" s="767"/>
      <c r="AP3" s="873" t="s">
        <v>28</v>
      </c>
      <c r="AQ3" s="874"/>
      <c r="AR3" s="767"/>
      <c r="AS3" s="883" t="s">
        <v>27</v>
      </c>
      <c r="AT3" s="884"/>
      <c r="BO3" s="877" t="s">
        <v>29</v>
      </c>
      <c r="BP3" s="878"/>
      <c r="BQ3" s="768"/>
      <c r="BR3" s="879" t="s">
        <v>28</v>
      </c>
      <c r="BS3" s="880"/>
      <c r="BT3" s="768"/>
      <c r="BU3" s="869" t="s">
        <v>27</v>
      </c>
      <c r="BV3" s="870"/>
      <c r="BW3" s="769"/>
      <c r="BX3" s="769"/>
      <c r="BY3" s="769"/>
      <c r="BZ3" s="769"/>
      <c r="CA3" s="769"/>
      <c r="CB3" s="769"/>
      <c r="CC3" s="769"/>
      <c r="CD3" s="769"/>
      <c r="CE3" s="769"/>
      <c r="CF3" s="769"/>
      <c r="CG3" s="769"/>
      <c r="CH3" s="769"/>
      <c r="CI3" s="769"/>
      <c r="CJ3" s="769"/>
      <c r="CK3" s="769"/>
      <c r="CL3" s="769"/>
      <c r="CM3" s="769"/>
      <c r="CN3" s="769"/>
      <c r="CO3" s="769"/>
      <c r="CP3" s="877" t="s">
        <v>29</v>
      </c>
      <c r="CQ3" s="878"/>
      <c r="CR3" s="768"/>
      <c r="CS3" s="879" t="s">
        <v>28</v>
      </c>
      <c r="CT3" s="880"/>
      <c r="CU3" s="768"/>
      <c r="CV3" s="869" t="s">
        <v>27</v>
      </c>
      <c r="CW3" s="870"/>
      <c r="CX3" s="769"/>
      <c r="CY3" s="769"/>
      <c r="CZ3" s="769"/>
      <c r="DA3" s="769"/>
      <c r="DB3" s="769"/>
      <c r="DC3" s="769"/>
      <c r="DD3" s="769"/>
      <c r="DE3" s="769"/>
      <c r="DF3" s="769"/>
      <c r="DG3" s="769"/>
      <c r="DH3" s="769"/>
      <c r="DI3" s="769"/>
      <c r="DJ3" s="769"/>
      <c r="DK3" s="769"/>
      <c r="DL3" s="769"/>
      <c r="DM3" s="769"/>
      <c r="DN3" s="769"/>
      <c r="DO3" s="769"/>
      <c r="DP3" s="769"/>
      <c r="AAA3" s="192"/>
      <c r="AAD3" s="90"/>
      <c r="AAE3" s="518" t="s">
        <v>217</v>
      </c>
      <c r="AAF3" s="167" t="s">
        <v>56</v>
      </c>
      <c r="AAG3" s="59"/>
      <c r="AAH3" s="59"/>
      <c r="AAI3" s="872" t="s">
        <v>0</v>
      </c>
      <c r="AAJ3" s="89"/>
      <c r="AAK3" s="493" t="str">
        <f>"Last row = "&amp;ROW(S.General.LastCellSchedule)</f>
        <v>Last row = 763</v>
      </c>
      <c r="AAL3" s="90"/>
      <c r="AAM3"/>
    </row>
    <row r="4" spans="1:727" ht="25.5" customHeight="1">
      <c r="A4" s="171" t="s">
        <v>0</v>
      </c>
      <c r="B4" s="119" t="s">
        <v>31</v>
      </c>
      <c r="C4" s="164"/>
      <c r="D4" s="229" t="s">
        <v>0</v>
      </c>
      <c r="E4" s="896" t="s">
        <v>0</v>
      </c>
      <c r="F4" s="896"/>
      <c r="G4" s="899" t="s">
        <v>0</v>
      </c>
      <c r="H4" s="899"/>
      <c r="I4" s="244"/>
      <c r="J4" s="243" t="e">
        <f>#REF!</f>
        <v>#REF!</v>
      </c>
      <c r="K4" s="243" t="str">
        <f ca="1">IF(WEEKDAY(K$7)=2,K7,"")</f>
        <v/>
      </c>
      <c r="L4" s="243" t="str">
        <f t="shared" ref="L4:BW4" ca="1" si="0">IF(WEEKDAY(L$7)=2,L7,"")</f>
        <v/>
      </c>
      <c r="M4" s="243" t="str">
        <f t="shared" ca="1" si="0"/>
        <v/>
      </c>
      <c r="N4" s="243" t="str">
        <f t="shared" ca="1" si="0"/>
        <v/>
      </c>
      <c r="O4" s="243" t="str">
        <f t="shared" ca="1" si="0"/>
        <v/>
      </c>
      <c r="P4" s="243" t="str">
        <f t="shared" ca="1" si="0"/>
        <v/>
      </c>
      <c r="Q4" s="243">
        <f t="shared" ca="1" si="0"/>
        <v>41582</v>
      </c>
      <c r="R4" s="243" t="str">
        <f t="shared" ca="1" si="0"/>
        <v/>
      </c>
      <c r="S4" s="243" t="str">
        <f t="shared" ca="1" si="0"/>
        <v/>
      </c>
      <c r="T4" s="243" t="str">
        <f t="shared" ca="1" si="0"/>
        <v/>
      </c>
      <c r="U4" s="243" t="str">
        <f t="shared" ca="1" si="0"/>
        <v/>
      </c>
      <c r="V4" s="243" t="str">
        <f t="shared" ca="1" si="0"/>
        <v/>
      </c>
      <c r="W4" s="243" t="str">
        <f t="shared" ca="1" si="0"/>
        <v/>
      </c>
      <c r="X4" s="243">
        <f t="shared" ca="1" si="0"/>
        <v>41589</v>
      </c>
      <c r="Y4" s="243" t="str">
        <f t="shared" ca="1" si="0"/>
        <v/>
      </c>
      <c r="Z4" s="243" t="str">
        <f t="shared" ca="1" si="0"/>
        <v/>
      </c>
      <c r="AA4" s="243" t="str">
        <f t="shared" ca="1" si="0"/>
        <v/>
      </c>
      <c r="AB4" s="243" t="str">
        <f t="shared" ca="1" si="0"/>
        <v/>
      </c>
      <c r="AC4" s="243" t="str">
        <f t="shared" ca="1" si="0"/>
        <v/>
      </c>
      <c r="AD4" s="243" t="str">
        <f t="shared" ca="1" si="0"/>
        <v/>
      </c>
      <c r="AE4" s="243">
        <f t="shared" ca="1" si="0"/>
        <v>41596</v>
      </c>
      <c r="AF4" s="243" t="str">
        <f t="shared" ca="1" si="0"/>
        <v/>
      </c>
      <c r="AG4" s="243" t="str">
        <f t="shared" ca="1" si="0"/>
        <v/>
      </c>
      <c r="AH4" s="243" t="str">
        <f t="shared" ca="1" si="0"/>
        <v/>
      </c>
      <c r="AI4" s="243" t="str">
        <f t="shared" ca="1" si="0"/>
        <v/>
      </c>
      <c r="AJ4" s="243" t="str">
        <f t="shared" ca="1" si="0"/>
        <v/>
      </c>
      <c r="AK4" s="243" t="str">
        <f t="shared" ca="1" si="0"/>
        <v/>
      </c>
      <c r="AL4" s="243">
        <f t="shared" ca="1" si="0"/>
        <v>41603</v>
      </c>
      <c r="AM4" s="243" t="str">
        <f t="shared" ca="1" si="0"/>
        <v/>
      </c>
      <c r="AN4" s="243" t="str">
        <f t="shared" ca="1" si="0"/>
        <v/>
      </c>
      <c r="AO4" s="243" t="str">
        <f t="shared" ca="1" si="0"/>
        <v/>
      </c>
      <c r="AP4" s="243" t="str">
        <f t="shared" ca="1" si="0"/>
        <v/>
      </c>
      <c r="AQ4" s="243" t="str">
        <f t="shared" ca="1" si="0"/>
        <v/>
      </c>
      <c r="AR4" s="243" t="str">
        <f t="shared" ca="1" si="0"/>
        <v/>
      </c>
      <c r="AS4" s="243">
        <f t="shared" ca="1" si="0"/>
        <v>41610</v>
      </c>
      <c r="AT4" s="243" t="str">
        <f t="shared" ca="1" si="0"/>
        <v/>
      </c>
      <c r="AU4" s="243" t="str">
        <f t="shared" ca="1" si="0"/>
        <v/>
      </c>
      <c r="AV4" s="243" t="str">
        <f t="shared" ca="1" si="0"/>
        <v/>
      </c>
      <c r="AW4" s="243" t="str">
        <f t="shared" ca="1" si="0"/>
        <v/>
      </c>
      <c r="AX4" s="243" t="str">
        <f t="shared" ca="1" si="0"/>
        <v/>
      </c>
      <c r="AY4" s="243" t="str">
        <f t="shared" ca="1" si="0"/>
        <v/>
      </c>
      <c r="AZ4" s="243">
        <f t="shared" ca="1" si="0"/>
        <v>41617</v>
      </c>
      <c r="BA4" s="243" t="str">
        <f t="shared" ca="1" si="0"/>
        <v/>
      </c>
      <c r="BB4" s="243" t="str">
        <f t="shared" ca="1" si="0"/>
        <v/>
      </c>
      <c r="BC4" s="243" t="str">
        <f t="shared" ca="1" si="0"/>
        <v/>
      </c>
      <c r="BD4" s="243" t="str">
        <f t="shared" ca="1" si="0"/>
        <v/>
      </c>
      <c r="BE4" s="243" t="str">
        <f t="shared" ca="1" si="0"/>
        <v/>
      </c>
      <c r="BF4" s="243" t="str">
        <f t="shared" ca="1" si="0"/>
        <v/>
      </c>
      <c r="BG4" s="243">
        <f t="shared" ca="1" si="0"/>
        <v>41624</v>
      </c>
      <c r="BH4" s="243" t="str">
        <f t="shared" ca="1" si="0"/>
        <v/>
      </c>
      <c r="BI4" s="243" t="str">
        <f t="shared" ca="1" si="0"/>
        <v/>
      </c>
      <c r="BJ4" s="243" t="str">
        <f t="shared" ca="1" si="0"/>
        <v/>
      </c>
      <c r="BK4" s="243" t="str">
        <f t="shared" ca="1" si="0"/>
        <v/>
      </c>
      <c r="BL4" s="243" t="str">
        <f t="shared" ca="1" si="0"/>
        <v/>
      </c>
      <c r="BM4" s="243" t="str">
        <f t="shared" ca="1" si="0"/>
        <v/>
      </c>
      <c r="BN4" s="243">
        <f t="shared" ca="1" si="0"/>
        <v>41631</v>
      </c>
      <c r="BO4" s="243" t="str">
        <f t="shared" ca="1" si="0"/>
        <v/>
      </c>
      <c r="BP4" s="243" t="str">
        <f t="shared" ca="1" si="0"/>
        <v/>
      </c>
      <c r="BQ4" s="243" t="str">
        <f t="shared" ca="1" si="0"/>
        <v/>
      </c>
      <c r="BR4" s="243" t="str">
        <f t="shared" ca="1" si="0"/>
        <v/>
      </c>
      <c r="BS4" s="243" t="str">
        <f t="shared" ca="1" si="0"/>
        <v/>
      </c>
      <c r="BT4" s="243" t="str">
        <f t="shared" ca="1" si="0"/>
        <v/>
      </c>
      <c r="BU4" s="243">
        <f t="shared" ca="1" si="0"/>
        <v>41638</v>
      </c>
      <c r="BV4" s="243" t="str">
        <f t="shared" ca="1" si="0"/>
        <v/>
      </c>
      <c r="BW4" s="243" t="str">
        <f t="shared" ca="1" si="0"/>
        <v/>
      </c>
      <c r="BX4" s="243" t="str">
        <f t="shared" ref="BX4:DP4" ca="1" si="1">IF(WEEKDAY(BX$7)=2,BX7,"")</f>
        <v/>
      </c>
      <c r="BY4" s="243" t="str">
        <f t="shared" ca="1" si="1"/>
        <v/>
      </c>
      <c r="BZ4" s="243" t="str">
        <f t="shared" ca="1" si="1"/>
        <v/>
      </c>
      <c r="CA4" s="243" t="str">
        <f t="shared" ca="1" si="1"/>
        <v/>
      </c>
      <c r="CB4" s="243">
        <f t="shared" ca="1" si="1"/>
        <v>41645</v>
      </c>
      <c r="CC4" s="243" t="str">
        <f t="shared" ca="1" si="1"/>
        <v/>
      </c>
      <c r="CD4" s="243" t="str">
        <f t="shared" ca="1" si="1"/>
        <v/>
      </c>
      <c r="CE4" s="243" t="str">
        <f t="shared" ca="1" si="1"/>
        <v/>
      </c>
      <c r="CF4" s="243" t="str">
        <f t="shared" ca="1" si="1"/>
        <v/>
      </c>
      <c r="CG4" s="243" t="str">
        <f t="shared" ca="1" si="1"/>
        <v/>
      </c>
      <c r="CH4" s="243" t="str">
        <f t="shared" ca="1" si="1"/>
        <v/>
      </c>
      <c r="CI4" s="243">
        <f t="shared" ca="1" si="1"/>
        <v>41652</v>
      </c>
      <c r="CJ4" s="243" t="str">
        <f t="shared" ca="1" si="1"/>
        <v/>
      </c>
      <c r="CK4" s="243" t="str">
        <f t="shared" ca="1" si="1"/>
        <v/>
      </c>
      <c r="CL4" s="243" t="str">
        <f t="shared" ca="1" si="1"/>
        <v/>
      </c>
      <c r="CM4" s="243" t="str">
        <f t="shared" ca="1" si="1"/>
        <v/>
      </c>
      <c r="CN4" s="243" t="str">
        <f t="shared" ca="1" si="1"/>
        <v/>
      </c>
      <c r="CO4" s="243" t="str">
        <f t="shared" ca="1" si="1"/>
        <v/>
      </c>
      <c r="CP4" s="243">
        <f t="shared" ca="1" si="1"/>
        <v>41659</v>
      </c>
      <c r="CQ4" s="243" t="str">
        <f t="shared" ca="1" si="1"/>
        <v/>
      </c>
      <c r="CR4" s="243" t="str">
        <f t="shared" ca="1" si="1"/>
        <v/>
      </c>
      <c r="CS4" s="243" t="str">
        <f t="shared" ca="1" si="1"/>
        <v/>
      </c>
      <c r="CT4" s="243" t="str">
        <f t="shared" ca="1" si="1"/>
        <v/>
      </c>
      <c r="CU4" s="243" t="str">
        <f t="shared" ca="1" si="1"/>
        <v/>
      </c>
      <c r="CV4" s="243" t="str">
        <f t="shared" ca="1" si="1"/>
        <v/>
      </c>
      <c r="CW4" s="243">
        <f t="shared" ca="1" si="1"/>
        <v>41666</v>
      </c>
      <c r="CX4" s="243" t="str">
        <f t="shared" ca="1" si="1"/>
        <v/>
      </c>
      <c r="CY4" s="243" t="str">
        <f t="shared" ca="1" si="1"/>
        <v/>
      </c>
      <c r="CZ4" s="243" t="str">
        <f t="shared" ca="1" si="1"/>
        <v/>
      </c>
      <c r="DA4" s="243" t="str">
        <f t="shared" ca="1" si="1"/>
        <v/>
      </c>
      <c r="DB4" s="243" t="str">
        <f t="shared" ca="1" si="1"/>
        <v/>
      </c>
      <c r="DC4" s="243" t="str">
        <f t="shared" ca="1" si="1"/>
        <v/>
      </c>
      <c r="DD4" s="243">
        <f t="shared" ca="1" si="1"/>
        <v>41673</v>
      </c>
      <c r="DE4" s="243" t="str">
        <f t="shared" ca="1" si="1"/>
        <v/>
      </c>
      <c r="DF4" s="243" t="str">
        <f t="shared" ca="1" si="1"/>
        <v/>
      </c>
      <c r="DG4" s="243" t="str">
        <f t="shared" ca="1" si="1"/>
        <v/>
      </c>
      <c r="DH4" s="243" t="str">
        <f t="shared" ca="1" si="1"/>
        <v/>
      </c>
      <c r="DI4" s="243" t="str">
        <f t="shared" ca="1" si="1"/>
        <v/>
      </c>
      <c r="DJ4" s="243" t="str">
        <f t="shared" ca="1" si="1"/>
        <v/>
      </c>
      <c r="DK4" s="243">
        <f t="shared" ca="1" si="1"/>
        <v>41680</v>
      </c>
      <c r="DL4" s="243" t="str">
        <f t="shared" ca="1" si="1"/>
        <v/>
      </c>
      <c r="DM4" s="243" t="str">
        <f t="shared" ca="1" si="1"/>
        <v/>
      </c>
      <c r="DN4" s="243" t="str">
        <f t="shared" ca="1" si="1"/>
        <v/>
      </c>
      <c r="DO4" s="243" t="str">
        <f t="shared" ca="1" si="1"/>
        <v/>
      </c>
      <c r="DP4" s="243" t="str">
        <f t="shared" ca="1" si="1"/>
        <v/>
      </c>
      <c r="AAA4" s="192"/>
      <c r="AAD4" s="90"/>
      <c r="AAE4" s="519" t="s">
        <v>22</v>
      </c>
      <c r="AAF4" s="190" t="s">
        <v>52</v>
      </c>
      <c r="AAG4" s="72"/>
      <c r="AAH4" s="281">
        <v>2</v>
      </c>
      <c r="AAI4" s="872"/>
      <c r="AAJ4" s="163"/>
      <c r="AAK4" s="491"/>
      <c r="AAL4" s="90"/>
      <c r="AAM4"/>
    </row>
    <row r="5" spans="1:727" s="23" customFormat="1" ht="14.25" customHeight="1">
      <c r="A5" s="171"/>
      <c r="B5" s="570" t="str">
        <f ca="1">"Today "&amp;TEXT(TODAY(),"mm/dd/yy")</f>
        <v>Today 10/28/13</v>
      </c>
      <c r="C5" s="100" t="s">
        <v>0</v>
      </c>
      <c r="D5" s="237"/>
      <c r="E5" s="848" t="s">
        <v>225</v>
      </c>
      <c r="F5" s="848"/>
      <c r="G5" s="848" t="s">
        <v>12</v>
      </c>
      <c r="H5" s="848"/>
      <c r="I5" s="244"/>
      <c r="J5" s="195"/>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s="52"/>
      <c r="AAA5" s="192"/>
      <c r="AAD5" s="90"/>
      <c r="AAE5" s="519" t="s">
        <v>63</v>
      </c>
      <c r="AAF5" s="190" t="s">
        <v>52</v>
      </c>
      <c r="AAG5" s="90"/>
      <c r="AAH5" s="90"/>
      <c r="AAI5" s="72"/>
      <c r="AAJ5" s="81"/>
      <c r="AAK5" s="71"/>
      <c r="AAL5" s="90"/>
    </row>
    <row r="6" spans="1:727" s="552" customFormat="1" ht="27.75" customHeight="1">
      <c r="A6" s="545"/>
      <c r="B6" s="546" t="s">
        <v>0</v>
      </c>
      <c r="C6" s="547" t="s">
        <v>0</v>
      </c>
      <c r="D6" s="547"/>
      <c r="E6" s="559" t="s">
        <v>0</v>
      </c>
      <c r="F6" s="560" t="s">
        <v>226</v>
      </c>
      <c r="G6" s="548" t="s">
        <v>474</v>
      </c>
      <c r="H6" s="548" t="s">
        <v>227</v>
      </c>
      <c r="I6" s="549"/>
      <c r="J6" s="550"/>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551"/>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s="52"/>
      <c r="AAA6" s="770"/>
      <c r="AAD6" s="553"/>
      <c r="AAE6" s="554" t="s">
        <v>63</v>
      </c>
      <c r="AAF6" s="555" t="s">
        <v>52</v>
      </c>
      <c r="AAG6" s="553"/>
      <c r="AAH6" s="553"/>
      <c r="AAI6" s="556"/>
      <c r="AAJ6" s="557"/>
      <c r="AAK6" s="756" t="s">
        <v>0</v>
      </c>
      <c r="AAL6" s="553"/>
    </row>
    <row r="7" spans="1:727" s="23" customFormat="1" ht="20.25" customHeight="1">
      <c r="A7" s="171"/>
      <c r="B7" s="569" t="s">
        <v>12</v>
      </c>
      <c r="C7" s="900" t="s">
        <v>0</v>
      </c>
      <c r="D7" s="900"/>
      <c r="E7" s="900"/>
      <c r="F7" s="566">
        <f ca="1">NETWORKDAYS(TODAY(),S.Overview.BANNER.End)</f>
        <v>111</v>
      </c>
      <c r="G7" s="567">
        <v>41572</v>
      </c>
      <c r="H7" s="568">
        <f>AAH7</f>
        <v>41729</v>
      </c>
      <c r="I7" s="244"/>
      <c r="J7" s="210">
        <f ca="1">TODAY()+J3</f>
        <v>41575</v>
      </c>
      <c r="K7" s="210">
        <f ca="1">J$7+1</f>
        <v>41576</v>
      </c>
      <c r="L7" s="210">
        <f t="shared" ref="L7:BW7" ca="1" si="2">K$7+1</f>
        <v>41577</v>
      </c>
      <c r="M7" s="210">
        <f t="shared" ca="1" si="2"/>
        <v>41578</v>
      </c>
      <c r="N7" s="210">
        <f t="shared" ca="1" si="2"/>
        <v>41579</v>
      </c>
      <c r="O7" s="210">
        <f t="shared" ca="1" si="2"/>
        <v>41580</v>
      </c>
      <c r="P7" s="210">
        <f t="shared" ca="1" si="2"/>
        <v>41581</v>
      </c>
      <c r="Q7" s="210">
        <f t="shared" ca="1" si="2"/>
        <v>41582</v>
      </c>
      <c r="R7" s="210">
        <f t="shared" ca="1" si="2"/>
        <v>41583</v>
      </c>
      <c r="S7" s="210">
        <f t="shared" ca="1" si="2"/>
        <v>41584</v>
      </c>
      <c r="T7" s="210">
        <f t="shared" ca="1" si="2"/>
        <v>41585</v>
      </c>
      <c r="U7" s="210">
        <f t="shared" ca="1" si="2"/>
        <v>41586</v>
      </c>
      <c r="V7" s="210">
        <f t="shared" ca="1" si="2"/>
        <v>41587</v>
      </c>
      <c r="W7" s="210">
        <f t="shared" ca="1" si="2"/>
        <v>41588</v>
      </c>
      <c r="X7" s="210">
        <f t="shared" ca="1" si="2"/>
        <v>41589</v>
      </c>
      <c r="Y7" s="210">
        <f t="shared" ca="1" si="2"/>
        <v>41590</v>
      </c>
      <c r="Z7" s="210">
        <f t="shared" ca="1" si="2"/>
        <v>41591</v>
      </c>
      <c r="AA7" s="210">
        <f t="shared" ca="1" si="2"/>
        <v>41592</v>
      </c>
      <c r="AB7" s="210">
        <f t="shared" ca="1" si="2"/>
        <v>41593</v>
      </c>
      <c r="AC7" s="210">
        <f t="shared" ca="1" si="2"/>
        <v>41594</v>
      </c>
      <c r="AD7" s="210">
        <f t="shared" ca="1" si="2"/>
        <v>41595</v>
      </c>
      <c r="AE7" s="210">
        <f t="shared" ca="1" si="2"/>
        <v>41596</v>
      </c>
      <c r="AF7" s="210">
        <f t="shared" ca="1" si="2"/>
        <v>41597</v>
      </c>
      <c r="AG7" s="210">
        <f t="shared" ca="1" si="2"/>
        <v>41598</v>
      </c>
      <c r="AH7" s="210">
        <f t="shared" ca="1" si="2"/>
        <v>41599</v>
      </c>
      <c r="AI7" s="210">
        <f t="shared" ca="1" si="2"/>
        <v>41600</v>
      </c>
      <c r="AJ7" s="210">
        <f t="shared" ca="1" si="2"/>
        <v>41601</v>
      </c>
      <c r="AK7" s="210">
        <f t="shared" ca="1" si="2"/>
        <v>41602</v>
      </c>
      <c r="AL7" s="210">
        <f t="shared" ca="1" si="2"/>
        <v>41603</v>
      </c>
      <c r="AM7" s="210">
        <f t="shared" ca="1" si="2"/>
        <v>41604</v>
      </c>
      <c r="AN7" s="210">
        <f t="shared" ca="1" si="2"/>
        <v>41605</v>
      </c>
      <c r="AO7" s="210">
        <f t="shared" ca="1" si="2"/>
        <v>41606</v>
      </c>
      <c r="AP7" s="210">
        <f t="shared" ca="1" si="2"/>
        <v>41607</v>
      </c>
      <c r="AQ7" s="210">
        <f t="shared" ca="1" si="2"/>
        <v>41608</v>
      </c>
      <c r="AR7" s="210">
        <f t="shared" ca="1" si="2"/>
        <v>41609</v>
      </c>
      <c r="AS7" s="210">
        <f t="shared" ca="1" si="2"/>
        <v>41610</v>
      </c>
      <c r="AT7" s="210">
        <f t="shared" ca="1" si="2"/>
        <v>41611</v>
      </c>
      <c r="AU7" s="210">
        <f t="shared" ca="1" si="2"/>
        <v>41612</v>
      </c>
      <c r="AV7" s="210">
        <f t="shared" ca="1" si="2"/>
        <v>41613</v>
      </c>
      <c r="AW7" s="210">
        <f t="shared" ca="1" si="2"/>
        <v>41614</v>
      </c>
      <c r="AX7" s="210">
        <f t="shared" ca="1" si="2"/>
        <v>41615</v>
      </c>
      <c r="AY7" s="210">
        <f t="shared" ca="1" si="2"/>
        <v>41616</v>
      </c>
      <c r="AZ7" s="210">
        <f t="shared" ca="1" si="2"/>
        <v>41617</v>
      </c>
      <c r="BA7" s="210">
        <f t="shared" ca="1" si="2"/>
        <v>41618</v>
      </c>
      <c r="BB7" s="210">
        <f t="shared" ca="1" si="2"/>
        <v>41619</v>
      </c>
      <c r="BC7" s="210">
        <f t="shared" ca="1" si="2"/>
        <v>41620</v>
      </c>
      <c r="BD7" s="210">
        <f t="shared" ca="1" si="2"/>
        <v>41621</v>
      </c>
      <c r="BE7" s="210">
        <f t="shared" ca="1" si="2"/>
        <v>41622</v>
      </c>
      <c r="BF7" s="210">
        <f t="shared" ca="1" si="2"/>
        <v>41623</v>
      </c>
      <c r="BG7" s="210">
        <f t="shared" ca="1" si="2"/>
        <v>41624</v>
      </c>
      <c r="BH7" s="210">
        <f t="shared" ca="1" si="2"/>
        <v>41625</v>
      </c>
      <c r="BI7" s="210">
        <f t="shared" ca="1" si="2"/>
        <v>41626</v>
      </c>
      <c r="BJ7" s="210">
        <f t="shared" ca="1" si="2"/>
        <v>41627</v>
      </c>
      <c r="BK7" s="210">
        <f t="shared" ca="1" si="2"/>
        <v>41628</v>
      </c>
      <c r="BL7" s="210">
        <f t="shared" ca="1" si="2"/>
        <v>41629</v>
      </c>
      <c r="BM7" s="210">
        <f t="shared" ca="1" si="2"/>
        <v>41630</v>
      </c>
      <c r="BN7" s="210">
        <f t="shared" ca="1" si="2"/>
        <v>41631</v>
      </c>
      <c r="BO7" s="210">
        <f t="shared" ca="1" si="2"/>
        <v>41632</v>
      </c>
      <c r="BP7" s="210">
        <f t="shared" ca="1" si="2"/>
        <v>41633</v>
      </c>
      <c r="BQ7" s="210">
        <f t="shared" ca="1" si="2"/>
        <v>41634</v>
      </c>
      <c r="BR7" s="210">
        <f t="shared" ca="1" si="2"/>
        <v>41635</v>
      </c>
      <c r="BS7" s="210">
        <f t="shared" ca="1" si="2"/>
        <v>41636</v>
      </c>
      <c r="BT7" s="210">
        <f t="shared" ca="1" si="2"/>
        <v>41637</v>
      </c>
      <c r="BU7" s="210">
        <f t="shared" ca="1" si="2"/>
        <v>41638</v>
      </c>
      <c r="BV7" s="210">
        <f t="shared" ca="1" si="2"/>
        <v>41639</v>
      </c>
      <c r="BW7" s="210">
        <f t="shared" ca="1" si="2"/>
        <v>41640</v>
      </c>
      <c r="BX7" s="210">
        <f t="shared" ref="BX7:DP7" ca="1" si="3">BW$7+1</f>
        <v>41641</v>
      </c>
      <c r="BY7" s="210">
        <f t="shared" ca="1" si="3"/>
        <v>41642</v>
      </c>
      <c r="BZ7" s="210">
        <f t="shared" ca="1" si="3"/>
        <v>41643</v>
      </c>
      <c r="CA7" s="210">
        <f t="shared" ca="1" si="3"/>
        <v>41644</v>
      </c>
      <c r="CB7" s="210">
        <f t="shared" ca="1" si="3"/>
        <v>41645</v>
      </c>
      <c r="CC7" s="210">
        <f t="shared" ca="1" si="3"/>
        <v>41646</v>
      </c>
      <c r="CD7" s="210">
        <f t="shared" ca="1" si="3"/>
        <v>41647</v>
      </c>
      <c r="CE7" s="210">
        <f t="shared" ca="1" si="3"/>
        <v>41648</v>
      </c>
      <c r="CF7" s="210">
        <f t="shared" ca="1" si="3"/>
        <v>41649</v>
      </c>
      <c r="CG7" s="210">
        <f t="shared" ca="1" si="3"/>
        <v>41650</v>
      </c>
      <c r="CH7" s="210">
        <f t="shared" ca="1" si="3"/>
        <v>41651</v>
      </c>
      <c r="CI7" s="210">
        <f t="shared" ca="1" si="3"/>
        <v>41652</v>
      </c>
      <c r="CJ7" s="210">
        <f t="shared" ca="1" si="3"/>
        <v>41653</v>
      </c>
      <c r="CK7" s="210">
        <f t="shared" ca="1" si="3"/>
        <v>41654</v>
      </c>
      <c r="CL7" s="210">
        <f t="shared" ca="1" si="3"/>
        <v>41655</v>
      </c>
      <c r="CM7" s="210">
        <f t="shared" ca="1" si="3"/>
        <v>41656</v>
      </c>
      <c r="CN7" s="210">
        <f t="shared" ca="1" si="3"/>
        <v>41657</v>
      </c>
      <c r="CO7" s="210">
        <f t="shared" ca="1" si="3"/>
        <v>41658</v>
      </c>
      <c r="CP7" s="210">
        <f t="shared" ca="1" si="3"/>
        <v>41659</v>
      </c>
      <c r="CQ7" s="210">
        <f t="shared" ca="1" si="3"/>
        <v>41660</v>
      </c>
      <c r="CR7" s="210">
        <f t="shared" ca="1" si="3"/>
        <v>41661</v>
      </c>
      <c r="CS7" s="210">
        <f t="shared" ca="1" si="3"/>
        <v>41662</v>
      </c>
      <c r="CT7" s="210">
        <f t="shared" ca="1" si="3"/>
        <v>41663</v>
      </c>
      <c r="CU7" s="210">
        <f t="shared" ca="1" si="3"/>
        <v>41664</v>
      </c>
      <c r="CV7" s="210">
        <f t="shared" ca="1" si="3"/>
        <v>41665</v>
      </c>
      <c r="CW7" s="210">
        <f t="shared" ca="1" si="3"/>
        <v>41666</v>
      </c>
      <c r="CX7" s="210">
        <f t="shared" ca="1" si="3"/>
        <v>41667</v>
      </c>
      <c r="CY7" s="210">
        <f t="shared" ca="1" si="3"/>
        <v>41668</v>
      </c>
      <c r="CZ7" s="210">
        <f t="shared" ca="1" si="3"/>
        <v>41669</v>
      </c>
      <c r="DA7" s="210">
        <f t="shared" ca="1" si="3"/>
        <v>41670</v>
      </c>
      <c r="DB7" s="210">
        <f t="shared" ca="1" si="3"/>
        <v>41671</v>
      </c>
      <c r="DC7" s="210">
        <f t="shared" ca="1" si="3"/>
        <v>41672</v>
      </c>
      <c r="DD7" s="210">
        <f t="shared" ca="1" si="3"/>
        <v>41673</v>
      </c>
      <c r="DE7" s="210">
        <f t="shared" ca="1" si="3"/>
        <v>41674</v>
      </c>
      <c r="DF7" s="210">
        <f t="shared" ca="1" si="3"/>
        <v>41675</v>
      </c>
      <c r="DG7" s="210">
        <f t="shared" ca="1" si="3"/>
        <v>41676</v>
      </c>
      <c r="DH7" s="210">
        <f t="shared" ca="1" si="3"/>
        <v>41677</v>
      </c>
      <c r="DI7" s="210">
        <f t="shared" ca="1" si="3"/>
        <v>41678</v>
      </c>
      <c r="DJ7" s="210">
        <f t="shared" ca="1" si="3"/>
        <v>41679</v>
      </c>
      <c r="DK7" s="210">
        <f t="shared" ca="1" si="3"/>
        <v>41680</v>
      </c>
      <c r="DL7" s="210">
        <f t="shared" ca="1" si="3"/>
        <v>41681</v>
      </c>
      <c r="DM7" s="210">
        <f t="shared" ca="1" si="3"/>
        <v>41682</v>
      </c>
      <c r="DN7" s="210">
        <f t="shared" ca="1" si="3"/>
        <v>41683</v>
      </c>
      <c r="DO7" s="210">
        <f t="shared" ca="1" si="3"/>
        <v>41684</v>
      </c>
      <c r="DP7" s="210">
        <f t="shared" ca="1" si="3"/>
        <v>41685</v>
      </c>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s="52"/>
      <c r="AAA7" s="192"/>
      <c r="AAB7"/>
      <c r="AAC7"/>
      <c r="AAD7" s="90"/>
      <c r="AAE7" s="519" t="s">
        <v>63</v>
      </c>
      <c r="AAF7" s="190" t="s">
        <v>52</v>
      </c>
      <c r="AAG7" s="553"/>
      <c r="AAH7" s="73">
        <f>WORKDAY(S.Overview.BANNER.Start,S.General.DaysRecommended,S.DDL_DEQClosed)</f>
        <v>41729</v>
      </c>
      <c r="AAI7" s="749" t="s">
        <v>0</v>
      </c>
      <c r="AAJ7" s="557"/>
      <c r="AAK7" s="71" t="s">
        <v>0</v>
      </c>
      <c r="AAL7" s="90"/>
      <c r="AAS7" s="889"/>
      <c r="AAT7" s="889"/>
      <c r="AAU7" s="889"/>
      <c r="AAV7" s="889"/>
      <c r="AAW7" s="889"/>
      <c r="AAX7" s="889"/>
      <c r="AAY7" s="889"/>
    </row>
    <row r="8" spans="1:727" ht="6" customHeight="1">
      <c r="A8" s="200"/>
      <c r="B8" s="120"/>
      <c r="C8" s="112"/>
      <c r="D8" s="230"/>
      <c r="E8" s="113"/>
      <c r="F8" s="113"/>
      <c r="G8" s="112"/>
      <c r="H8" s="112"/>
      <c r="I8" s="244"/>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AAA8" s="192"/>
      <c r="AAD8" s="90"/>
      <c r="AAE8" s="519" t="s">
        <v>17</v>
      </c>
      <c r="AAF8" s="190" t="s">
        <v>52</v>
      </c>
      <c r="AAG8" s="71"/>
      <c r="AAH8" s="71"/>
      <c r="AAI8" s="71"/>
      <c r="AAJ8" s="186"/>
      <c r="AAK8" s="71"/>
      <c r="AAL8" s="90"/>
      <c r="AAM8"/>
    </row>
    <row r="9" spans="1:727" s="23" customFormat="1" ht="38.25" customHeight="1">
      <c r="A9" s="200"/>
      <c r="B9" s="95"/>
      <c r="C9" s="96"/>
      <c r="D9" s="231"/>
      <c r="E9" s="97"/>
      <c r="F9" s="97"/>
      <c r="G9" s="96"/>
      <c r="H9" s="96"/>
      <c r="I9" s="244"/>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s="52"/>
      <c r="AAA9" s="192"/>
      <c r="AAD9" s="90"/>
      <c r="AAE9" s="519">
        <v>0</v>
      </c>
      <c r="AAF9" s="190" t="s">
        <v>52</v>
      </c>
      <c r="AAG9" s="71"/>
      <c r="AAH9" s="73">
        <v>1</v>
      </c>
      <c r="AAI9" s="71" t="s">
        <v>0</v>
      </c>
      <c r="AAJ9" s="186"/>
      <c r="AAK9" s="757" t="s">
        <v>0</v>
      </c>
      <c r="AAL9" s="90"/>
    </row>
    <row r="10" spans="1:727" s="23" customFormat="1" ht="14.25" customHeight="1" thickBot="1">
      <c r="A10" s="200"/>
      <c r="B10" s="95"/>
      <c r="C10" s="96"/>
      <c r="D10" s="886" t="s">
        <v>477</v>
      </c>
      <c r="E10" s="886"/>
      <c r="F10" s="97"/>
      <c r="G10" s="96"/>
      <c r="H10" s="96"/>
      <c r="I10" s="244"/>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s="52"/>
      <c r="AAA10" s="192"/>
      <c r="AAB10"/>
      <c r="AAC10"/>
      <c r="AAD10" s="90"/>
      <c r="AAE10" s="519">
        <v>0</v>
      </c>
      <c r="AAF10" s="190" t="s">
        <v>52</v>
      </c>
      <c r="AAG10" s="71"/>
      <c r="AAH10" s="71"/>
      <c r="AAI10" s="71"/>
      <c r="AAJ10" s="186"/>
      <c r="AAK10" s="71" t="s">
        <v>0</v>
      </c>
      <c r="AAL10" s="90"/>
    </row>
    <row r="11" spans="1:727" s="23" customFormat="1" ht="6.75" customHeight="1" thickTop="1" thickBot="1">
      <c r="A11" s="200"/>
      <c r="B11" s="460"/>
      <c r="C11" s="458"/>
      <c r="D11" s="742"/>
      <c r="E11" s="743"/>
      <c r="F11" s="751"/>
      <c r="G11" s="751"/>
      <c r="H11" s="751"/>
      <c r="I11" s="459"/>
      <c r="J11" s="193"/>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s="52"/>
      <c r="AAA11" s="192"/>
      <c r="AAD11" s="90"/>
      <c r="AAE11" s="519">
        <v>0</v>
      </c>
      <c r="AAF11" s="190" t="s">
        <v>52</v>
      </c>
      <c r="AAG11" s="90"/>
      <c r="AAH11" s="72"/>
      <c r="AAI11" s="72"/>
      <c r="AAJ11" s="488"/>
      <c r="AAK11" s="71"/>
      <c r="AAL11" s="90"/>
      <c r="AAM11" s="23" t="s">
        <v>353</v>
      </c>
    </row>
    <row r="12" spans="1:727" s="23" customFormat="1" ht="15" customHeight="1" thickBot="1">
      <c r="A12" s="200"/>
      <c r="B12" s="462" t="str">
        <f>AAK12</f>
        <v xml:space="preserve">PERMANENT Rulemaking </v>
      </c>
      <c r="C12" s="723" t="s">
        <v>480</v>
      </c>
      <c r="D12" s="839"/>
      <c r="E12" s="837">
        <f>AAJ12</f>
        <v>84</v>
      </c>
      <c r="I12" s="459"/>
      <c r="J12" s="193"/>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s="52"/>
      <c r="AAA12" s="192"/>
      <c r="AAD12" s="90"/>
      <c r="AAE12" s="520">
        <v>1</v>
      </c>
      <c r="AAF12" s="190" t="s">
        <v>52</v>
      </c>
      <c r="AAG12" s="39"/>
      <c r="AAH12" s="39"/>
      <c r="AAI12" s="39"/>
      <c r="AAJ12" s="189">
        <f>IF(S.General.RuleType="P",84,56)</f>
        <v>84</v>
      </c>
      <c r="AAK12" s="78" t="str">
        <f>IF(S.General.RuleType="P","PERMANENT Rulemaking ","TEMPORARY Rulemaking")</f>
        <v xml:space="preserve">PERMANENT Rulemaking </v>
      </c>
      <c r="AAL12" s="90"/>
    </row>
    <row r="13" spans="1:727" s="23" customFormat="1" ht="6.75" customHeight="1" thickBot="1">
      <c r="A13" s="200"/>
      <c r="B13" s="460"/>
      <c r="C13" s="458"/>
      <c r="D13" s="823"/>
      <c r="E13" s="824"/>
      <c r="F13" s="374"/>
      <c r="G13" s="374"/>
      <c r="H13" s="374"/>
      <c r="I13" s="459"/>
      <c r="J13" s="193"/>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s="52"/>
      <c r="AAA13" s="192"/>
      <c r="AAD13" s="90"/>
      <c r="AAE13" s="519">
        <v>0</v>
      </c>
      <c r="AAF13" s="190" t="s">
        <v>52</v>
      </c>
      <c r="AAG13" s="90"/>
      <c r="AAH13" s="72"/>
      <c r="AAI13" s="72"/>
      <c r="AAJ13" s="488"/>
      <c r="AAK13" s="39"/>
      <c r="AAL13" s="90"/>
    </row>
    <row r="14" spans="1:727" s="23" customFormat="1" ht="15" customHeight="1" thickBot="1">
      <c r="A14" s="200"/>
      <c r="B14" s="361" t="s">
        <v>479</v>
      </c>
      <c r="C14" s="723">
        <v>1</v>
      </c>
      <c r="D14" s="839"/>
      <c r="E14" s="837">
        <f>AAJ14</f>
        <v>0</v>
      </c>
      <c r="F14"/>
      <c r="G14"/>
      <c r="H14"/>
      <c r="I14" s="459"/>
      <c r="J14" s="193"/>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s="52"/>
      <c r="AAA14" s="192"/>
      <c r="AAD14" s="90"/>
      <c r="AAE14" s="520">
        <v>1</v>
      </c>
      <c r="AAF14" s="190" t="s">
        <v>52</v>
      </c>
      <c r="AAG14" s="39"/>
      <c r="AAH14" s="39"/>
      <c r="AAI14" s="39"/>
      <c r="AAJ14" s="189">
        <f>IF(S.General.Complexity=1,0,IF(S.General.Complexity=2,14,21))</f>
        <v>0</v>
      </c>
      <c r="AAK14" s="71"/>
      <c r="AAL14" s="90"/>
    </row>
    <row r="15" spans="1:727" s="23" customFormat="1" ht="6.75" customHeight="1" thickBot="1">
      <c r="A15" s="200"/>
      <c r="B15" s="460"/>
      <c r="C15" s="458"/>
      <c r="D15" s="823"/>
      <c r="E15" s="824"/>
      <c r="F15" s="374"/>
      <c r="G15" s="374"/>
      <c r="H15" s="374"/>
      <c r="I15" s="459"/>
      <c r="J15" s="193"/>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s="52"/>
      <c r="AAA15" s="192"/>
      <c r="AAD15" s="90"/>
      <c r="AAE15" s="519">
        <v>0</v>
      </c>
      <c r="AAF15" s="190" t="s">
        <v>52</v>
      </c>
      <c r="AAG15" s="90"/>
      <c r="AAH15" s="72"/>
      <c r="AAI15" s="72"/>
      <c r="AAJ15" s="488"/>
      <c r="AAK15" s="39"/>
      <c r="AAL15" s="90"/>
    </row>
    <row r="16" spans="1:727" s="23" customFormat="1" ht="15" customHeight="1" thickBot="1">
      <c r="A16" s="171"/>
      <c r="B16" s="466" t="str">
        <f t="shared" ref="B16:B29" si="4">AAK16</f>
        <v>Advisory Committee - not involved</v>
      </c>
      <c r="C16" s="724" t="s">
        <v>303</v>
      </c>
      <c r="D16" s="839"/>
      <c r="E16" s="837">
        <f>AAJ16</f>
        <v>0</v>
      </c>
      <c r="F16" s="457">
        <f ca="1">IF(YEAR(H16)&gt;2000,NETWORKDAYS(TODAY(),H16,S.DDL_DEQClosed),0)</f>
        <v>0</v>
      </c>
      <c r="G16" s="429">
        <f>AAG16</f>
        <v>0</v>
      </c>
      <c r="H16" s="400">
        <f>AAH16</f>
        <v>0</v>
      </c>
      <c r="I16" s="459"/>
      <c r="J16" s="193"/>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s="52"/>
      <c r="AAA16" s="192"/>
      <c r="AAB16"/>
      <c r="AAC16"/>
      <c r="AAD16" s="90"/>
      <c r="AAE16" s="520">
        <v>1</v>
      </c>
      <c r="AAF16" s="90" t="s">
        <v>0</v>
      </c>
      <c r="AAG16" s="73">
        <f>IF(S.AC.CommitteeInvolved="N",,S.Planning.AddConcepToPlanDate)</f>
        <v>0</v>
      </c>
      <c r="AAH16" s="73">
        <f>IF(S.AC.CommitteeInvolved="N",,S.Overview.BANNER.End)</f>
        <v>0</v>
      </c>
      <c r="AAI16" s="61" t="s">
        <v>0</v>
      </c>
      <c r="AAJ16" s="489">
        <f>IF(S.AC.CommitteeInvolved="N",0,IF(S.General.Complexity=1,14,IF(S.General.Complexity=2,21,42)))</f>
        <v>0</v>
      </c>
      <c r="AAK16" s="78" t="str">
        <f>IF(S.AC.CommitteeInvolved="Y","Advisory Committee","Advisory Committee - not involved")</f>
        <v>Advisory Committee - not involved</v>
      </c>
      <c r="AAL16" s="90"/>
    </row>
    <row r="17" spans="1:717" s="23" customFormat="1" ht="6" customHeight="1" thickBot="1">
      <c r="A17" s="171"/>
      <c r="B17" s="465"/>
      <c r="C17" s="467"/>
      <c r="D17" s="824"/>
      <c r="E17" s="825"/>
      <c r="F17" s="463"/>
      <c r="G17" s="391"/>
      <c r="H17" s="468"/>
      <c r="I17" s="459"/>
      <c r="J17" s="193"/>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s="52"/>
      <c r="AAA17" s="192"/>
      <c r="AAB17"/>
      <c r="AAC17"/>
      <c r="AAD17" s="90"/>
      <c r="AAE17" s="519">
        <v>0</v>
      </c>
      <c r="AAF17" s="190" t="s">
        <v>52</v>
      </c>
      <c r="AAG17" s="77"/>
      <c r="AAH17" s="72"/>
      <c r="AAI17" s="122"/>
      <c r="AAJ17" s="188"/>
      <c r="AAK17" s="78"/>
      <c r="AAL17" s="90"/>
    </row>
    <row r="18" spans="1:717" ht="15" customHeight="1" thickBot="1">
      <c r="A18" s="171"/>
      <c r="B18" s="462" t="str">
        <f t="shared" si="4"/>
        <v>Fees - not involved</v>
      </c>
      <c r="C18" s="724" t="s">
        <v>303</v>
      </c>
      <c r="D18" s="840"/>
      <c r="E18" s="837">
        <f>AAJ18</f>
        <v>0</v>
      </c>
      <c r="F18" s="457">
        <f ca="1">IF(YEAR(H18)&gt;2000,NETWORKDAYS(TODAY(),H18,S.DDL_DEQClosed),0)</f>
        <v>0</v>
      </c>
      <c r="G18" s="429">
        <f>AAG18</f>
        <v>0</v>
      </c>
      <c r="H18" s="469">
        <f>AAH18</f>
        <v>0</v>
      </c>
      <c r="I18" s="459"/>
      <c r="J18" s="193"/>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AAA18" s="192"/>
      <c r="AAD18" s="90"/>
      <c r="AAE18" s="520">
        <v>1</v>
      </c>
      <c r="AAF18" s="90" t="s">
        <v>0</v>
      </c>
      <c r="AAG18" s="73">
        <f>IF(S.Fee.Involved="N",,S.Overview.BANNER.Start)</f>
        <v>0</v>
      </c>
      <c r="AAH18" s="73">
        <f>IF(S.Fee.Involved="N",,S.Fee.BANNER.End)</f>
        <v>0</v>
      </c>
      <c r="AAI18" s="77"/>
      <c r="AAJ18" s="489">
        <f>IF(S.Fee.Involved="N",0,14)</f>
        <v>0</v>
      </c>
      <c r="AAK18" s="76" t="str">
        <f>IF(AND(S.Fee.Involved="Y",S.General.RuleType="T"),"Fees Involved - no action required for TEMPORARY rules",IF(S.Fee.Involved="Y","Fees Involved","Fees - not involved"))</f>
        <v>Fees - not involved</v>
      </c>
      <c r="AAL18" s="90"/>
      <c r="AAM18"/>
    </row>
    <row r="19" spans="1:717" s="23" customFormat="1" ht="15" customHeight="1" thickBot="1">
      <c r="A19" s="171"/>
      <c r="B19" s="287" t="str">
        <f t="shared" si="4"/>
        <v>-blank-</v>
      </c>
      <c r="C19" s="724" t="s">
        <v>303</v>
      </c>
      <c r="D19" s="789" t="str">
        <f>HYPERLINK("\\deqhq1\Rule_Resources\i\3-FeeApproval.pdf","i")</f>
        <v>i</v>
      </c>
      <c r="E19" s="838">
        <f>AAJ19</f>
        <v>0</v>
      </c>
      <c r="F19" s="517"/>
      <c r="G19" s="517"/>
      <c r="H19" s="517"/>
      <c r="I19" s="459"/>
      <c r="J19" s="193"/>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s="52"/>
      <c r="AAA19" s="192"/>
      <c r="AAB19"/>
      <c r="AAC19"/>
      <c r="AAD19" s="90"/>
      <c r="AAE19" s="519">
        <f>IF(S.Fee.Involved="Y",1,0)</f>
        <v>0</v>
      </c>
      <c r="AAF19" s="190" t="s">
        <v>52</v>
      </c>
      <c r="AAG19" s="77"/>
      <c r="AAH19" s="77" t="s">
        <v>0</v>
      </c>
      <c r="AAI19" s="77"/>
      <c r="AAJ19" s="489">
        <f>IF(S.Fee.Involved="N",0,IF(S.Fee.DASApprovalRequired="N",0,21))</f>
        <v>0</v>
      </c>
      <c r="AAK19" s="76" t="str">
        <f>IF(S.Fee.Involved="N","-blank-",IF(AND(C19="Y",S.Fee.Involved="Y"),"DAS - Fee approval required","DAS - Fee approval NOT required"))</f>
        <v>-blank-</v>
      </c>
      <c r="AAL19" s="90"/>
    </row>
    <row r="20" spans="1:717" s="23" customFormat="1" ht="6" customHeight="1" thickBot="1">
      <c r="A20" s="171"/>
      <c r="B20" s="465"/>
      <c r="C20" s="467"/>
      <c r="D20" s="824"/>
      <c r="E20" s="825"/>
      <c r="F20" s="463"/>
      <c r="G20" s="391"/>
      <c r="H20" s="468"/>
      <c r="I20" s="459"/>
      <c r="J20" s="193"/>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s="52"/>
      <c r="AAA20" s="192"/>
      <c r="AAD20" s="90"/>
      <c r="AAE20" s="519">
        <v>0</v>
      </c>
      <c r="AAF20" s="190" t="s">
        <v>52</v>
      </c>
      <c r="AAG20" s="77"/>
      <c r="AAH20" s="72"/>
      <c r="AAI20" s="122"/>
      <c r="AAJ20" s="188"/>
      <c r="AAK20" s="78"/>
      <c r="AAL20" s="90"/>
    </row>
    <row r="21" spans="1:717" s="23" customFormat="1" ht="15" customHeight="1" thickBot="1">
      <c r="A21" s="200"/>
      <c r="B21" s="462" t="str">
        <f>AAK21</f>
        <v>State Implementation Plan (AQ rules)</v>
      </c>
      <c r="C21" s="724" t="s">
        <v>17</v>
      </c>
      <c r="D21" s="839"/>
      <c r="E21" s="837">
        <f>AAJ21</f>
        <v>14</v>
      </c>
      <c r="I21" s="459"/>
      <c r="J21" s="193"/>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s="52"/>
      <c r="AAA21" s="192"/>
      <c r="AAB21"/>
      <c r="AAC21"/>
      <c r="AAD21" s="90"/>
      <c r="AAE21" s="520">
        <v>1</v>
      </c>
      <c r="AAF21" s="190" t="s">
        <v>52</v>
      </c>
      <c r="AAG21" s="61"/>
      <c r="AAH21" s="61"/>
      <c r="AAI21" s="61"/>
      <c r="AAJ21" s="489">
        <f>IF(S.SIP.Involved="N",0,IF(S.General.Complexity=1,14,112))</f>
        <v>14</v>
      </c>
      <c r="AAK21" s="76"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AL21" s="90"/>
    </row>
    <row r="22" spans="1:717" s="23" customFormat="1" ht="15" customHeight="1">
      <c r="A22" s="171"/>
      <c r="B22" s="287" t="str">
        <f>AAK22</f>
        <v xml:space="preserve">EPA - submit SIP Development Plan 6 months before comment period opens </v>
      </c>
      <c r="C22"/>
      <c r="D22" s="826" t="s">
        <v>0</v>
      </c>
      <c r="E22" s="825"/>
      <c r="F22" s="457">
        <f ca="1">IF(S.SIP.Involved="N",0,IF(S.General.Complexity=1,0,NETWORKDAYS(TODAY(),H22,S.DDL_DEQClosed)))</f>
        <v>0</v>
      </c>
      <c r="G22" s="741" t="s">
        <v>0</v>
      </c>
      <c r="H22" s="355">
        <f>AAH22</f>
        <v>0</v>
      </c>
      <c r="I22" s="459"/>
      <c r="J22" s="193"/>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s="52"/>
      <c r="AAA22" s="192"/>
      <c r="AAD22" s="90"/>
      <c r="AAE22" s="520">
        <f>IF(AND(S.General.Complexity&gt;1,S.SIP.Involved="Y"),1,0)</f>
        <v>0</v>
      </c>
      <c r="AAF22" s="77"/>
      <c r="AAG22" s="61"/>
      <c r="AAH22" s="73">
        <f>IF(S.SIP.Involved="N",,IF(S.General.Complexity=1,,IF(S.Notice.Involved="N","ERROR",WORKDAY(DATE(YEAR(S.Notice.OpenComment),MONTH(S.Notice.OpenComment)-6,DAY(S.Notice.OpenComment+1)),-1,S.DDL_DEQClosed))))</f>
        <v>0</v>
      </c>
      <c r="AAI22" s="61"/>
      <c r="AAJ22" s="188"/>
      <c r="AAK22" s="76" t="str">
        <f>IF(S.SIP.Involved="N","-blank-",IF(ISERROR(H22)=TRUE,"ERROR - Must enter 'Y' to involve public notice and hearing below","EPA - submit SIP Development Plan 6 months before comment period opens "))</f>
        <v xml:space="preserve">EPA - submit SIP Development Plan 6 months before comment period opens </v>
      </c>
      <c r="AAL22" s="90"/>
    </row>
    <row r="23" spans="1:717" s="23" customFormat="1" ht="15" customHeight="1">
      <c r="A23" s="200"/>
      <c r="B23" s="287" t="str">
        <f>AAK23</f>
        <v>EPA- submit Notice Packet 45 days before comment period opens</v>
      </c>
      <c r="C23"/>
      <c r="D23" s="824"/>
      <c r="E23" s="825"/>
      <c r="F23" s="457">
        <f ca="1">IF(S.SIP.Involved="N",0,IF(H23="ERROR",0,NETWORKDAYS(TODAY(),H23,S.DDL_DEQClosed)))</f>
        <v>2</v>
      </c>
      <c r="H23" s="355">
        <f>AAH23</f>
        <v>41576</v>
      </c>
      <c r="I23" s="459"/>
      <c r="J23" s="193"/>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s="52"/>
      <c r="AAA23" s="192"/>
      <c r="AAD23" s="90"/>
      <c r="AAE23" s="520">
        <f>IF(S.SIP.Involved="Y",1,0)</f>
        <v>1</v>
      </c>
      <c r="AAF23" s="191" t="s">
        <v>0</v>
      </c>
      <c r="AAG23" s="77"/>
      <c r="AAH23" s="73">
        <f>IF(S.SIP.Involved="N",,IF(S.Notice.Involved="N","ERROR",WORKDAY(S.Notice.OpenComment-44,-1,S.DDL_DEQClosed)))</f>
        <v>41576</v>
      </c>
      <c r="AAI23" s="61"/>
      <c r="AAJ23" s="61"/>
      <c r="AAK23" s="76" t="str">
        <f>IF(S.SIP.Involved="N","-blank-",IF(ISERROR(H23)=TRUE,"ERROR - Must enter 'Y' to involve public notice and hearing below","EPA- submit Notice Packet 45 days before comment period opens"))</f>
        <v>EPA- submit Notice Packet 45 days before comment period opens</v>
      </c>
      <c r="AAL23" s="90"/>
    </row>
    <row r="24" spans="1:717" s="23" customFormat="1" ht="6" customHeight="1" thickBot="1">
      <c r="A24" s="171"/>
      <c r="B24" s="461"/>
      <c r="C24" s="461"/>
      <c r="D24" s="824"/>
      <c r="E24" s="825"/>
      <c r="F24" s="463"/>
      <c r="G24" s="391"/>
      <c r="H24" s="464"/>
      <c r="I24" s="459"/>
      <c r="J24" s="193"/>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s="52"/>
      <c r="AAA24" s="192"/>
      <c r="AAB24"/>
      <c r="AAC24"/>
      <c r="AAD24" s="90"/>
      <c r="AAE24" s="519">
        <v>0</v>
      </c>
      <c r="AAF24" s="190" t="s">
        <v>52</v>
      </c>
      <c r="AAG24" s="90"/>
      <c r="AAH24" s="90"/>
      <c r="AAI24" s="122"/>
      <c r="AAJ24" s="188"/>
      <c r="AAK24" s="91"/>
      <c r="AAL24" s="90"/>
    </row>
    <row r="25" spans="1:717" s="23" customFormat="1" ht="15" customHeight="1" thickBot="1">
      <c r="A25" s="171"/>
      <c r="B25" s="538" t="str">
        <f t="shared" si="4"/>
        <v>Public Notice</v>
      </c>
      <c r="C25" s="724" t="s">
        <v>17</v>
      </c>
      <c r="D25" s="839"/>
      <c r="E25" s="837">
        <f>AAJ25</f>
        <v>7</v>
      </c>
      <c r="F25" s="517"/>
      <c r="G25" s="517"/>
      <c r="H25" s="517"/>
      <c r="I25" s="459" t="s">
        <v>0</v>
      </c>
      <c r="J25" s="193"/>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s="52"/>
      <c r="AAA25" s="192"/>
      <c r="AAB25"/>
      <c r="AAC25"/>
      <c r="AAD25" s="90"/>
      <c r="AAE25" s="519">
        <v>1</v>
      </c>
      <c r="AAF25" s="190" t="s">
        <v>52</v>
      </c>
      <c r="AAG25" s="61"/>
      <c r="AAH25" s="61"/>
      <c r="AAI25" s="72"/>
      <c r="AAJ25" s="489">
        <f>IF(S.Notice.Involved="N",0,IF(S.General.Complexity=1,7,IF(S.General.Complexity=2,14,21)))</f>
        <v>7</v>
      </c>
      <c r="AAK25" s="76" t="str">
        <f>IF(S.General.RuleType="T","Public Notice - not required for TEMPORARY rules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AL25" s="90"/>
      <c r="AAN25" s="147"/>
      <c r="AAO25" s="147"/>
    </row>
    <row r="26" spans="1:717" s="23" customFormat="1" ht="15" customHeight="1">
      <c r="A26" s="171" t="s">
        <v>0</v>
      </c>
      <c r="B26" s="287" t="str">
        <f t="shared" si="4"/>
        <v>EMT - preview period open a minimum of 7 workdays</v>
      </c>
      <c r="C26" s="287"/>
      <c r="D26" s="827"/>
      <c r="E26" s="825"/>
      <c r="F26" s="457">
        <f t="shared" ref="F26" ca="1" si="5">IF(YEAR(H26)&gt;2000,NETWORKDAYS(TODAY(),H26,S.DDL_DEQClosed),0)</f>
        <v>22</v>
      </c>
      <c r="G26" s="469">
        <f>AAG26</f>
        <v>41596</v>
      </c>
      <c r="H26" s="424">
        <f t="shared" ref="H26" si="6">AAH26</f>
        <v>41605</v>
      </c>
      <c r="I26" s="459"/>
      <c r="J26" s="193"/>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s="52"/>
      <c r="AAA26" s="192" t="s">
        <v>0</v>
      </c>
      <c r="AAD26" s="90"/>
      <c r="AAE26" s="519">
        <f>IF(S.Notice.Involved="Y",1,0)</f>
        <v>1</v>
      </c>
      <c r="AAF26" s="90" t="s">
        <v>0</v>
      </c>
      <c r="AAG26" s="73">
        <f>IF(S.Notice.Involved="N",,S.Notice.PreviewBegin)</f>
        <v>41596</v>
      </c>
      <c r="AAH26" s="73">
        <f>IF(S.Notice.Involved="N",,S.Notice.PreviewEnd)</f>
        <v>41605</v>
      </c>
      <c r="AAI26" s="79" t="s">
        <v>0</v>
      </c>
      <c r="AAJ26" s="490"/>
      <c r="AAK26" s="76" t="str">
        <f>IF(S.Notice.Involved="Y","EMT - preview period open a minimum of 7 workdays","-blank-")</f>
        <v>EMT - preview period open a minimum of 7 workdays</v>
      </c>
      <c r="AAL26" s="90"/>
    </row>
    <row r="27" spans="1:717" s="23" customFormat="1" ht="15" customHeight="1">
      <c r="A27" s="171"/>
      <c r="B27" s="778" t="str">
        <f>AAK27</f>
        <v>this is Andy's and JoanieS's review period</v>
      </c>
      <c r="C27" s="472"/>
      <c r="D27" s="828"/>
      <c r="E27" s="829"/>
      <c r="F27" s="473"/>
      <c r="G27" s="474"/>
      <c r="H27" s="475"/>
      <c r="I27" s="459"/>
      <c r="J27" s="193"/>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s="52"/>
      <c r="AAA27" s="192"/>
      <c r="AAD27" s="90"/>
      <c r="AAE27" s="519">
        <f>IF(S.Notice.Involved="Y",1,0)</f>
        <v>1</v>
      </c>
      <c r="AAF27" s="190" t="s">
        <v>52</v>
      </c>
      <c r="AAG27" s="77"/>
      <c r="AAH27" s="77"/>
      <c r="AAI27" s="72"/>
      <c r="AAJ27" s="187"/>
      <c r="AAK27" s="76" t="str">
        <f>IF(S.Notice.Involved="Y","this is "&amp;S.Staff.DA&amp;"'s and "&amp;S.Staff.CheifPublicAffairsOfficer&amp;"'s review period","-blank-")</f>
        <v>this is Andy's and JoanieS's review period</v>
      </c>
      <c r="AAL27" s="90"/>
    </row>
    <row r="28" spans="1:717" s="23" customFormat="1" ht="15" customHeight="1">
      <c r="A28" s="171" t="s">
        <v>0</v>
      </c>
      <c r="B28" s="287" t="str">
        <f t="shared" ref="B28" si="7">AAK28</f>
        <v>Rule publication - submit at least 5 workdays BEFORE Open comment</v>
      </c>
      <c r="C28" s="287"/>
      <c r="D28" s="827"/>
      <c r="E28" s="825"/>
      <c r="F28" s="457">
        <f t="shared" ref="F28:F30" ca="1" si="8">IF(YEAR(H28)&gt;2000,NETWORKDAYS(TODAY(),H28,S.DDL_DEQClosed),0)</f>
        <v>33</v>
      </c>
      <c r="G28" s="469">
        <f>AAG28</f>
        <v>41614</v>
      </c>
      <c r="H28" s="424">
        <f t="shared" ref="H28:H30" si="9">AAH28</f>
        <v>41621</v>
      </c>
      <c r="I28" s="459"/>
      <c r="J28" s="193"/>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s="52"/>
      <c r="AAA28" s="192" t="s">
        <v>0</v>
      </c>
      <c r="AAD28" s="90"/>
      <c r="AAE28" s="519">
        <f>IF(S.Notice.Involved="Y",1,0)</f>
        <v>1</v>
      </c>
      <c r="AAF28" s="90" t="s">
        <v>0</v>
      </c>
      <c r="AAG28" s="73">
        <f>IF(S.Notice.Involved="N",,S.Notice.EMAIL.RulePublication)</f>
        <v>41614</v>
      </c>
      <c r="AAH28" s="73">
        <f>IF(S.Notice.Involved="N",,MIN(S.Notice.SubmitToSOS,S.Notice.OpenComment))</f>
        <v>41621</v>
      </c>
      <c r="AAI28" s="79" t="s">
        <v>0</v>
      </c>
      <c r="AAJ28" s="490"/>
      <c r="AAK28" s="76" t="str">
        <f>IF(S.Notice.Involved="Y","Rule publication - submit at least 5 workdays BEFORE Open comment","-blank-")</f>
        <v>Rule publication - submit at least 5 workdays BEFORE Open comment</v>
      </c>
      <c r="AAL28" s="90"/>
    </row>
    <row r="29" spans="1:717" s="23" customFormat="1" ht="15" customHeight="1">
      <c r="A29" s="171" t="s">
        <v>0</v>
      </c>
      <c r="B29" s="287" t="str">
        <f t="shared" si="4"/>
        <v>SOS - submit on workday no later than 15th of month BEFORE Bulletin</v>
      </c>
      <c r="C29" s="287"/>
      <c r="D29" s="827"/>
      <c r="E29" s="830"/>
      <c r="F29" s="457">
        <f t="shared" ca="1" si="8"/>
        <v>33</v>
      </c>
      <c r="G29" s="533" t="s">
        <v>0</v>
      </c>
      <c r="H29" s="400">
        <f t="shared" si="9"/>
        <v>41621</v>
      </c>
      <c r="I29" s="459"/>
      <c r="J29" s="193"/>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s="52"/>
      <c r="AAA29" s="192"/>
      <c r="AAB29"/>
      <c r="AAC29"/>
      <c r="AAD29" s="90"/>
      <c r="AAE29" s="519">
        <f>IF(S.Notice.Involved="Y",1,0)</f>
        <v>1</v>
      </c>
      <c r="AAF29" s="90" t="s">
        <v>0</v>
      </c>
      <c r="AAG29" s="61"/>
      <c r="AAH29" s="73">
        <f>IF(S.Notice.Involved="N",,VLOOKUP(S.Notice.InOregonBulletin,VL_Bulletin,2,FALSE))</f>
        <v>41621</v>
      </c>
      <c r="AAI29" s="79" t="s">
        <v>0</v>
      </c>
      <c r="AAJ29" s="490"/>
      <c r="AAK29" s="76" t="str">
        <f>IF(S.Notice.Involved="Y","SOS - submit on workday no later than 15th of month BEFORE Bulletin","-blank")</f>
        <v>SOS - submit on workday no later than 15th of month BEFORE Bulletin</v>
      </c>
      <c r="AAL29" s="90"/>
    </row>
    <row r="30" spans="1:717" s="23" customFormat="1" ht="15" customHeight="1">
      <c r="A30" s="171" t="s">
        <v>0</v>
      </c>
      <c r="B30" s="287" t="str">
        <f t="shared" ref="B30" si="10">AAK30</f>
        <v xml:space="preserve">SOS - Oregon Bulletin always publishes on the 1st of month </v>
      </c>
      <c r="C30" s="287"/>
      <c r="D30" s="827"/>
      <c r="E30" s="830"/>
      <c r="F30" s="457">
        <f t="shared" ca="1" si="8"/>
        <v>44</v>
      </c>
      <c r="G30" s="533" t="s">
        <v>353</v>
      </c>
      <c r="H30" s="747">
        <f t="shared" si="9"/>
        <v>41640</v>
      </c>
      <c r="I30" s="459"/>
      <c r="J30" s="193"/>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s="52"/>
      <c r="AAA30" s="192"/>
      <c r="AAB30"/>
      <c r="AAC30"/>
      <c r="AAD30" s="90"/>
      <c r="AAE30" s="519">
        <f>IF(S.Notice.Involved="Y",1,0)</f>
        <v>1</v>
      </c>
      <c r="AAF30" s="90" t="s">
        <v>0</v>
      </c>
      <c r="AAG30" s="61"/>
      <c r="AAH30" s="73">
        <f>IF(S.Notice.Involved="N",,IF(S.General.Complexity=1,VLOOKUP(S.EQC.Meeting-60,S.DDL_Bulletin,TRUE),VLOOKUP(S.EQC.Meeting-90,S.DDL_Bulletin,TRUE)))</f>
        <v>41640</v>
      </c>
      <c r="AAI30" s="183" t="str">
        <f>IF(S.Notice.InOregonBulletin&gt;=S.EQC.SubmitStaffRpt-25,"Select earlier date to publish in Oregon Bulletin.","")</f>
        <v/>
      </c>
      <c r="AAJ30" s="491"/>
      <c r="AAK30" s="76" t="str">
        <f>IF(S.Notice.Involved="Y","SOS - Oregon Bulletin always publishes on the 1st of month ","-blank-")</f>
        <v xml:space="preserve">SOS - Oregon Bulletin always publishes on the 1st of month </v>
      </c>
      <c r="AAL30" s="90"/>
    </row>
    <row r="31" spans="1:717" s="23" customFormat="1" ht="15" customHeight="1">
      <c r="A31" s="171"/>
      <c r="B31" s="287" t="str">
        <f>AAK31</f>
        <v>-blank-</v>
      </c>
      <c r="C31" s="356"/>
      <c r="D31" s="831"/>
      <c r="E31" s="824"/>
      <c r="F31" s="457">
        <f ca="1">IF(YEAR(H31)&gt;2000,NETWORKDAYS(TODAY(),H31,S.DDL_DEQClosed),0)</f>
        <v>0</v>
      </c>
      <c r="G31" s="533" t="s">
        <v>0</v>
      </c>
      <c r="H31" s="400">
        <f>AAH31</f>
        <v>0</v>
      </c>
      <c r="I31" s="459" t="s">
        <v>0</v>
      </c>
      <c r="J31" s="193"/>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s="52"/>
      <c r="AAA31" s="192"/>
      <c r="AAB31"/>
      <c r="AAC31"/>
      <c r="AAD31" s="90"/>
      <c r="AAE31" s="519">
        <f>IF(AND(S.Fee.Involved="Y",S.Notice.Involved="Y"),1,0)</f>
        <v>0</v>
      </c>
      <c r="AAF31" s="90" t="s">
        <v>0</v>
      </c>
      <c r="AAG31" s="61"/>
      <c r="AAH31" s="73">
        <f>IF(S.Fee.Involved="N",,IF(S.Notice.Involved="N",,IF(S.Fee.DASApprovalRequired="Y",WORKDAY(S.Notice.OpenComment-29,-1,S.DDL_DEQClosed),S.Notice.SubmitToSOS)))</f>
        <v>0</v>
      </c>
      <c r="AAI31" s="72"/>
      <c r="AAJ31" s="491"/>
      <c r="AAK31" s="76" t="str">
        <f>IF(S.Fee.Involved="N","-blank-",IF(S.Fee.DASApprovalRequired="Y","DAS - submit Part 1, about 30 days BEFORE SOS submittal","DAS - email notification BEFORE Oregon Bulletin publication"))</f>
        <v>-blank-</v>
      </c>
      <c r="AAL31" s="90"/>
      <c r="AAN31" s="147"/>
      <c r="AAO31" s="147"/>
    </row>
    <row r="32" spans="1:717" s="23" customFormat="1" ht="15" customHeight="1">
      <c r="A32" s="171"/>
      <c r="B32" s="462" t="str">
        <f>AAK32</f>
        <v>Public Comment and Testimony</v>
      </c>
      <c r="D32" s="832"/>
      <c r="E32" s="832"/>
      <c r="F32" s="529"/>
      <c r="G32" s="536"/>
      <c r="H32" s="529"/>
      <c r="I32" s="530"/>
      <c r="J32" s="193"/>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s="52"/>
      <c r="AAA32" s="192"/>
      <c r="AAB32"/>
      <c r="AAC32"/>
      <c r="AAD32" s="90"/>
      <c r="AAE32" s="519">
        <v>1</v>
      </c>
      <c r="AAF32" s="190" t="s">
        <v>52</v>
      </c>
      <c r="AAG32" s="72"/>
      <c r="AAH32" s="61"/>
      <c r="AAI32" s="61"/>
      <c r="AAJ32" s="490"/>
      <c r="AAK32" s="76" t="str">
        <f>IF(S.Notice.Involved="N","Public Comment and Testimony - not involved","Public Comment and Testimony")</f>
        <v>Public Comment and Testimony</v>
      </c>
      <c r="AAL32" s="90"/>
      <c r="AAM32" s="184" t="s">
        <v>0</v>
      </c>
    </row>
    <row r="33" spans="1:715" s="23" customFormat="1" ht="15" customHeight="1" thickBot="1">
      <c r="A33" s="171"/>
      <c r="B33" s="371" t="str">
        <f>AAK33</f>
        <v xml:space="preserve">Open public comment </v>
      </c>
      <c r="C33" s="472"/>
      <c r="D33" s="828"/>
      <c r="E33" s="833"/>
      <c r="F33" s="457">
        <f ca="1">IF(YEAR(H33)&gt;2000,NETWORKDAYS(TODAY(),H33,S.DDL_DEQClosed),0)</f>
        <v>33</v>
      </c>
      <c r="G33" s="533" t="s">
        <v>0</v>
      </c>
      <c r="H33" s="400">
        <f>AAH33</f>
        <v>41621</v>
      </c>
      <c r="I33" s="459"/>
      <c r="J33" s="193"/>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s="52"/>
      <c r="AAA33" s="192" t="s">
        <v>0</v>
      </c>
      <c r="AAD33" s="90"/>
      <c r="AAE33" s="519">
        <f>IF(S.Notice.Involved="Y",1,0)</f>
        <v>1</v>
      </c>
      <c r="AAF33" s="90" t="s">
        <v>0</v>
      </c>
      <c r="AAG33" s="61"/>
      <c r="AAH33" s="73">
        <f>IF(S.Notice.Involved="N",,S.Notice.SubmitToSOS)</f>
        <v>41621</v>
      </c>
      <c r="AAI33" s="72"/>
      <c r="AAJ33" s="188"/>
      <c r="AAK33" s="92" t="str">
        <f>IF(S.Notice.Involved="N","-blank-","Open public comment ")</f>
        <v xml:space="preserve">Open public comment </v>
      </c>
      <c r="AAL33" s="90"/>
    </row>
    <row r="34" spans="1:715" ht="15" customHeight="1" thickBot="1">
      <c r="A34" s="171"/>
      <c r="B34" s="483" t="str">
        <f>AAK34</f>
        <v>Hold 1st hearing at least 30 days AFTER open comment</v>
      </c>
      <c r="C34" s="724" t="s">
        <v>17</v>
      </c>
      <c r="D34" s="892">
        <f>AAJ34</f>
        <v>0</v>
      </c>
      <c r="E34" s="893"/>
      <c r="F34" s="457">
        <f ca="1">IF(YEAR(H34)&gt;2000,NETWORKDAYS(TODAY(),H34,S.DDL_DEQClosed),0)</f>
        <v>52</v>
      </c>
      <c r="G34" s="533" t="s">
        <v>0</v>
      </c>
      <c r="H34" s="400">
        <f>AAH34</f>
        <v>41652</v>
      </c>
      <c r="I34" s="459"/>
      <c r="J34" s="193"/>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AAA34" s="192"/>
      <c r="AAD34" s="90"/>
      <c r="AAE34" s="519">
        <f>IF(S.Notice.Involved="N",0,IF(S.Hearing.1stInvolve="Y",1,0))</f>
        <v>1</v>
      </c>
      <c r="AAF34" s="90" t="s">
        <v>0</v>
      </c>
      <c r="AAG34" s="61"/>
      <c r="AAH34" s="73">
        <f>IF(S.Notice.Involved="N",,IF(S.Hearing.1stInvolve="N",,IF(S.SIP.Involved="N",WORKDAY(S.Notice.InOregonBulletin+13,1,S.DDL_DEQClosed),WORKDAY(S.Notice.OpenComment+29,1,S.DDL_DEQClosed))))</f>
        <v>41652</v>
      </c>
      <c r="AAI34" s="72"/>
      <c r="AAJ34" s="489">
        <f>IF(S.Notice.Involved="N",,IF(S.Hearing.1stInvolve="N",,IF(S.General.Complexity=1,0,IF(S.General.Complexity=2,7,14))))</f>
        <v>0</v>
      </c>
      <c r="AAK34" s="76" t="str">
        <f>IF(AND(S.Notice.Involved="N",S.Hearing.1stInvolve="N"),"-blank-",IF(S.SIP.Involved="Y","Hold 1st hearing at least 30 days AFTER open comment",IF(AND(S.Notice.Involved="Y",S.Hearing.1stInvolve="N"),"No public hearing involved",IF(AND(S.Notice.Involved="N",S.Hearing.1stInvolve="Y"),"ERROR: All hearings must be noticed","Hold 1st hearing no earlier than 15th of month AFTER Bulletin"))))</f>
        <v>Hold 1st hearing at least 30 days AFTER open comment</v>
      </c>
      <c r="AAL34" s="90"/>
      <c r="AAM34"/>
    </row>
    <row r="35" spans="1:715" ht="15" customHeight="1">
      <c r="A35" s="171"/>
      <c r="B35" s="371" t="str">
        <f>AAK35</f>
        <v>Close public comment - best practice, 3 days after last hearing</v>
      </c>
      <c r="C35" s="472"/>
      <c r="D35" s="834"/>
      <c r="E35" s="835"/>
      <c r="F35" s="457">
        <f ca="1">IF(YEAR(H35)&gt;2000,NETWORKDAYS(TODAY(),H35,S.DDL_DEQClosed),0)</f>
        <v>55</v>
      </c>
      <c r="G35" s="533" t="s">
        <v>0</v>
      </c>
      <c r="H35" s="400">
        <f>AAH35</f>
        <v>41655</v>
      </c>
      <c r="I35" s="459"/>
      <c r="J35" s="193"/>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AAA35" s="192"/>
      <c r="AAD35" s="90"/>
      <c r="AAE35" s="519">
        <f>IF(S.Notice.Involved="Y",1,0)</f>
        <v>1</v>
      </c>
      <c r="AAF35" s="90" t="s">
        <v>0</v>
      </c>
      <c r="AAG35" s="61"/>
      <c r="AAH35" s="73">
        <f>IF(AAE35=0,,IF(S.Notice.Involved="N",S.Overview.BANNER.Start,WORKDAY(S.Notice.LastHearingDate+2,1,S.DDL_DEQClosed)))</f>
        <v>41655</v>
      </c>
      <c r="AAI35" s="72"/>
      <c r="AAJ35" s="188"/>
      <c r="AAK35" s="92" t="str">
        <f>IF(S.Notice.Involved="N","-blank-","Close public comment - best practice, 3 days after last hearing")</f>
        <v>Close public comment - best practice, 3 days after last hearing</v>
      </c>
      <c r="AAL35" s="90"/>
      <c r="AAM35"/>
    </row>
    <row r="36" spans="1:715" s="23" customFormat="1" ht="15" customHeight="1">
      <c r="A36" s="171"/>
      <c r="B36" s="539" t="s">
        <v>224</v>
      </c>
      <c r="C36" s="472"/>
      <c r="D36" s="471"/>
      <c r="E36" s="375"/>
      <c r="F36" s="473"/>
      <c r="G36" s="474"/>
      <c r="H36" s="475"/>
      <c r="I36" s="459"/>
      <c r="J36" s="193"/>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s="52"/>
      <c r="AAA36" s="192"/>
      <c r="AAB36"/>
      <c r="AAC36"/>
      <c r="AAD36" s="90"/>
      <c r="AAE36" s="519">
        <v>1</v>
      </c>
      <c r="AAF36" s="190" t="s">
        <v>52</v>
      </c>
      <c r="AAG36" s="77"/>
      <c r="AAH36" s="77"/>
      <c r="AAI36" s="72"/>
      <c r="AAJ36" s="187"/>
      <c r="AAK36" s="93"/>
      <c r="AAL36" s="90"/>
    </row>
    <row r="37" spans="1:715" s="23" customFormat="1" ht="15" customHeight="1" thickBot="1">
      <c r="A37" s="200"/>
      <c r="B37" s="540" t="str">
        <f t="shared" ref="B37:B43" si="11">AAK37</f>
        <v>Involvement before Rulemaking Action Item</v>
      </c>
      <c r="C37" s="537"/>
      <c r="D37" s="476"/>
      <c r="E37" s="477"/>
      <c r="F37" s="456"/>
      <c r="G37" s="816" t="s">
        <v>73</v>
      </c>
      <c r="H37" s="816" t="s">
        <v>72</v>
      </c>
      <c r="I37" s="459"/>
      <c r="J37" s="194"/>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s="52"/>
      <c r="AAA37" s="192"/>
      <c r="AAB37"/>
      <c r="AAC37"/>
      <c r="AAD37" s="90"/>
      <c r="AAE37" s="520">
        <v>1</v>
      </c>
      <c r="AAF37" s="190" t="s">
        <v>52</v>
      </c>
      <c r="AAG37" s="61"/>
      <c r="AAH37" s="61"/>
      <c r="AAI37" s="72"/>
      <c r="AAJ37" s="188"/>
      <c r="AAK37" s="80" t="str">
        <f>IF(OR(S.EQC.DirReport="Y",S.EQC.InfoItem="Y",S.EQC.FacHearing="Y"),"Involvement before Rulemaking Action Item","No EQC involvement before Action Item meeting")</f>
        <v>Involvement before Rulemaking Action Item</v>
      </c>
      <c r="AAL37" s="90"/>
      <c r="AAM37" s="52"/>
    </row>
    <row r="38" spans="1:715" s="23" customFormat="1" ht="15" customHeight="1" thickBot="1">
      <c r="A38" s="200"/>
      <c r="B38" s="516" t="str">
        <f t="shared" si="11"/>
        <v>Director's Report - some material comes from monthly status report</v>
      </c>
      <c r="C38" s="725" t="s">
        <v>17</v>
      </c>
      <c r="D38" s="790" t="str">
        <f>HYPERLINK("http://deqsps/groups/eqc/docs/EQCDeadlines.docx","i")</f>
        <v>i</v>
      </c>
      <c r="E38" s="532"/>
      <c r="F38" s="457">
        <f ca="1">IF(S.EQC.DirReport="N",,NETWORKDAYS(TODAY(),H38,S.DDL_DEQClosed))</f>
        <v>31</v>
      </c>
      <c r="G38" s="815">
        <v>41619</v>
      </c>
      <c r="H38" s="815">
        <v>41619</v>
      </c>
      <c r="I38" s="459" t="s">
        <v>476</v>
      </c>
      <c r="J38" s="194"/>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s="52"/>
      <c r="AAA38" s="192"/>
      <c r="AAB38"/>
      <c r="AAC38"/>
      <c r="AAD38" s="90"/>
      <c r="AAE38" s="520">
        <f>IF(S.EQC.DirReport="Y",1,0)</f>
        <v>1</v>
      </c>
      <c r="AAF38" s="191" t="s">
        <v>0</v>
      </c>
      <c r="AAG38" s="73">
        <f>IF(S.EQC.DirReport="Y",VLOOKUP(S.EQC.Meeting,VL_EQCActivities,6,FALSE),)</f>
        <v>41619</v>
      </c>
      <c r="AAH38" s="73">
        <f>IF(S.EQC.DirReport="Y",G38,)</f>
        <v>41619</v>
      </c>
      <c r="AAI38" s="183" t="str">
        <f>IF(OR(G38&gt;=S.EQC.Meeting,H38&gt;=S.EQC.Meeting),"Must be less than H13","")</f>
        <v/>
      </c>
      <c r="AAJ38" s="188"/>
      <c r="AAK38" s="80" t="str">
        <f>IF(S.EQC.DirReport="N","-blank-","Director's Report - some material comes from monthly status report")</f>
        <v>Director's Report - some material comes from monthly status report</v>
      </c>
      <c r="AAL38" s="90"/>
    </row>
    <row r="39" spans="1:715" s="23" customFormat="1" ht="15" customHeight="1" thickBot="1">
      <c r="A39" s="200"/>
      <c r="B39" s="516" t="str">
        <f t="shared" si="11"/>
        <v>-blank-</v>
      </c>
      <c r="C39" s="724" t="s">
        <v>303</v>
      </c>
      <c r="D39" s="790" t="str">
        <f>HYPERLINK("http://deqsps/groups/eqc/docs/EQCDeadlines.docx","i")</f>
        <v>i</v>
      </c>
      <c r="E39" s="836">
        <f>AAJ39</f>
        <v>0</v>
      </c>
      <c r="F39" s="457">
        <f ca="1">IF(S.EQC.InfoItem="N",,NETWORKDAYS(TODAY(),H39,S.DDL_DEQClosed))</f>
        <v>0</v>
      </c>
      <c r="G39" s="815">
        <f t="shared" ref="G39:G40" si="12">AAG39</f>
        <v>0</v>
      </c>
      <c r="H39" s="815">
        <v>41507</v>
      </c>
      <c r="I39" s="459"/>
      <c r="J39" s="194"/>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s="52"/>
      <c r="AAA39" s="192"/>
      <c r="AAB39"/>
      <c r="AAC39"/>
      <c r="AAD39" s="90"/>
      <c r="AAE39" s="520">
        <f>IF(S.EQC.InfoItem="Y",1,0)</f>
        <v>0</v>
      </c>
      <c r="AAF39" s="191" t="s">
        <v>0</v>
      </c>
      <c r="AAG39" s="73">
        <f>IF(S.EQC.InfoItem="Y",VLOOKUP(S.EQC.Meeting,VL_EQCActivities,6,FALSE),)</f>
        <v>0</v>
      </c>
      <c r="AAH39" s="73">
        <f>IF(S.EQC.InfoItem="Y",G39,)</f>
        <v>0</v>
      </c>
      <c r="AAI39" s="183" t="str">
        <f>IF(OR(G39&gt;=S.EQC.Meeting,H39&gt;=S.EQC.Meeting),"Must be less than H13","")</f>
        <v/>
      </c>
      <c r="AAJ39" s="489">
        <f>IF(S.EQC.InfoItem="Y",15,0)</f>
        <v>0</v>
      </c>
      <c r="AAK39" s="80" t="str">
        <f>IF(S.EQC.InfoItem="N","-blank-","Information Item - a presentation to update the EQC")</f>
        <v>-blank-</v>
      </c>
      <c r="AAL39" s="90"/>
    </row>
    <row r="40" spans="1:715" s="23" customFormat="1" ht="15" customHeight="1" thickBot="1">
      <c r="A40" s="200"/>
      <c r="B40" s="290" t="str">
        <f t="shared" si="11"/>
        <v>-blank-</v>
      </c>
      <c r="C40" s="726" t="s">
        <v>303</v>
      </c>
      <c r="D40" s="531"/>
      <c r="E40" s="532"/>
      <c r="F40" s="457">
        <f ca="1">IF(S.EQC.FacHearing="N",,NETWORKDAYS(TODAY(),H40,S.DDL_DEQClosed))</f>
        <v>0</v>
      </c>
      <c r="G40" s="815">
        <f t="shared" si="12"/>
        <v>0</v>
      </c>
      <c r="H40" s="815">
        <v>41444</v>
      </c>
      <c r="I40" s="459"/>
      <c r="J40" s="194"/>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s="52"/>
      <c r="AAA40" s="192"/>
      <c r="AAB40"/>
      <c r="AAC40"/>
      <c r="AAD40" s="90"/>
      <c r="AAE40" s="520">
        <f>IF(AND(S.Hearing.1stInvolve,S.EQC.FacHearing="Y"),1,0)</f>
        <v>0</v>
      </c>
      <c r="AAF40" s="191" t="s">
        <v>0</v>
      </c>
      <c r="AAG40" s="73">
        <f>IF(S.EQC.FacHearing="Y",VLOOKUP(S.EQC.Meeting,VL_EQCActivities,6,FALSE),)</f>
        <v>0</v>
      </c>
      <c r="AAH40" s="73">
        <f>IF(S.EQC.FacHearing="Y",G40,)</f>
        <v>0</v>
      </c>
      <c r="AAI40" s="183" t="str">
        <f>IF(OR(G40&gt;=S.EQC.Meeting,H40&gt;=S.EQC.Meeting),"Must be less than H13","")</f>
        <v/>
      </c>
      <c r="AAJ40" s="188"/>
      <c r="AAK40" s="80" t="str">
        <f>IF(S.EQC.FacHearing="N","-blank-",IF(AND(S.EQC.FacHearing="Y",S.Hearing.1stInvolve="N"),"ERROR: No hearings selected above","Facilitated Hearing"))</f>
        <v>-blank-</v>
      </c>
      <c r="AAL40" s="90"/>
    </row>
    <row r="41" spans="1:715" s="23" customFormat="1" ht="8.25" customHeight="1">
      <c r="A41" s="171"/>
      <c r="B41" s="539" t="s">
        <v>0</v>
      </c>
      <c r="C41" s="472"/>
      <c r="D41" s="471"/>
      <c r="E41" s="375"/>
      <c r="F41" s="473"/>
      <c r="G41" s="474"/>
      <c r="H41" s="475"/>
      <c r="I41" s="459"/>
      <c r="J41" s="193"/>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ZZ41" s="52"/>
      <c r="AAA41" s="192"/>
      <c r="AAD41" s="90"/>
      <c r="AAE41" s="519">
        <v>1</v>
      </c>
      <c r="AAF41" s="190" t="s">
        <v>52</v>
      </c>
      <c r="AAG41" s="77"/>
      <c r="AAH41" s="77"/>
      <c r="AAI41" s="72"/>
      <c r="AAJ41" s="187"/>
      <c r="AAK41" s="93"/>
      <c r="AAL41" s="90"/>
    </row>
    <row r="42" spans="1:715" s="23" customFormat="1" ht="15" customHeight="1">
      <c r="A42" s="171"/>
      <c r="B42" s="761" t="str">
        <f t="shared" si="11"/>
        <v>Rule publication - submit PERMANENT staff report</v>
      </c>
      <c r="C42" s="478"/>
      <c r="D42" s="52"/>
      <c r="E42" s="753"/>
      <c r="F42" s="457">
        <f ca="1">IF(YEAR(H42)&gt;2000,NETWORKDAYS(TODAY(),H42,S.DDL_DEQClosed),0)</f>
        <v>69</v>
      </c>
      <c r="G42" s="533" t="s">
        <v>0</v>
      </c>
      <c r="H42" s="451">
        <f>AAH42</f>
        <v>41676</v>
      </c>
      <c r="I42" s="459"/>
      <c r="J42" s="193"/>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s="52"/>
      <c r="AAA42" s="192"/>
      <c r="AAB42"/>
      <c r="AAC42"/>
      <c r="AAD42" s="90"/>
      <c r="AAE42" s="519">
        <v>1</v>
      </c>
      <c r="AAF42" s="90" t="s">
        <v>0</v>
      </c>
      <c r="AAG42" s="61"/>
      <c r="AAH42" s="73">
        <f>VLOOKUP(S.EQC.Meeting,VL_EQCActivities,2,FALSE)</f>
        <v>41676</v>
      </c>
      <c r="AAI42" s="72"/>
      <c r="AAJ42" s="188"/>
      <c r="AAK42" s="80" t="str">
        <f>IF(S.General.RuleType="P","Rule publication - submit PERMANENT staff report","Rule publication - submit TEMPORARY staff report")</f>
        <v>Rule publication - submit PERMANENT staff report</v>
      </c>
      <c r="AAL42" s="90"/>
    </row>
    <row r="43" spans="1:715" s="240" customFormat="1" ht="15" customHeight="1">
      <c r="A43" s="253"/>
      <c r="B43" s="891" t="str">
        <f t="shared" si="11"/>
        <v>EQC meeting - PERMANENT Rulemaking Action Item</v>
      </c>
      <c r="C43" s="891"/>
      <c r="D43" s="754"/>
      <c r="E43" s="755"/>
      <c r="F43" s="457">
        <f ca="1">IF(YEAR(H43)&gt;2000,NETWORKDAYS(TODAY(),H43,S.DDL_DEQClosed),0)</f>
        <v>97</v>
      </c>
      <c r="G43" s="534" t="s">
        <v>0</v>
      </c>
      <c r="H43" s="748">
        <v>41717</v>
      </c>
      <c r="I43" s="479"/>
      <c r="J43" s="282"/>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c r="DK43" s="283"/>
      <c r="DL43" s="283"/>
      <c r="DM43" s="283"/>
      <c r="DN43" s="283"/>
      <c r="DO43" s="283"/>
      <c r="DP43" s="28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s="52"/>
      <c r="AAA43" s="771" t="s">
        <v>0</v>
      </c>
      <c r="AAD43" s="90"/>
      <c r="AAE43" s="519">
        <v>1</v>
      </c>
      <c r="AAF43" s="90"/>
      <c r="AAG43" s="284"/>
      <c r="AAH43" s="73">
        <f>VLOOKUP(WORKDAY(S.Planning.AddConcepToPlanDate+S.General.DaysRecommended,1,S.DDL_DEQClosed),VL_EQCActivities,5,TRUE)</f>
        <v>41717</v>
      </c>
      <c r="AAI43" s="750" t="s">
        <v>0</v>
      </c>
      <c r="AAJ43" s="492"/>
      <c r="AAK43" s="80" t="str">
        <f>IF(S.General.RuleType="P","EQC meeting - PERMANENT Rulemaking Action Item","EQC meeting - TEMPORARY Rulemaking Action Item")</f>
        <v>EQC meeting - PERMANENT Rulemaking Action Item</v>
      </c>
      <c r="AAL43" s="90"/>
    </row>
    <row r="44" spans="1:715" s="23" customFormat="1" ht="15" customHeight="1" thickBot="1">
      <c r="A44" s="171"/>
      <c r="B44" s="752" t="s">
        <v>481</v>
      </c>
      <c r="C44" s="472"/>
      <c r="D44" s="887">
        <v>0</v>
      </c>
      <c r="E44" s="887">
        <f>S.General.DaysRecommended</f>
        <v>105</v>
      </c>
      <c r="F44" s="473"/>
      <c r="G44" s="474"/>
      <c r="H44" s="475"/>
      <c r="I44" s="459"/>
      <c r="J44" s="193"/>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s="52"/>
      <c r="AAA44" s="192"/>
      <c r="AAD44" s="90"/>
      <c r="AAE44" s="519">
        <v>1</v>
      </c>
      <c r="AAF44" s="190" t="s">
        <v>52</v>
      </c>
      <c r="AAG44" s="77"/>
      <c r="AAH44" s="77"/>
      <c r="AAI44" s="72"/>
      <c r="AAJ44" s="489">
        <f>D44</f>
        <v>0</v>
      </c>
      <c r="AAK44" s="93"/>
      <c r="AAL44" s="90"/>
    </row>
    <row r="45" spans="1:715" s="23" customFormat="1" ht="15" customHeight="1" thickTop="1">
      <c r="A45" s="171"/>
      <c r="B45" s="752" t="s">
        <v>478</v>
      </c>
      <c r="C45" s="472"/>
      <c r="D45" s="885">
        <f>AAJ45</f>
        <v>105</v>
      </c>
      <c r="E45" s="885">
        <f>S.General.DaysRecommended</f>
        <v>105</v>
      </c>
      <c r="F45" s="473"/>
      <c r="G45" s="474"/>
      <c r="H45" s="475"/>
      <c r="I45" s="459"/>
      <c r="J45" s="193"/>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s="52"/>
      <c r="AAA45" s="192"/>
      <c r="AAD45" s="90"/>
      <c r="AAE45" s="519">
        <v>1</v>
      </c>
      <c r="AAF45" s="190" t="s">
        <v>52</v>
      </c>
      <c r="AAG45" s="77"/>
      <c r="AAH45" s="77"/>
      <c r="AAI45" s="72"/>
      <c r="AAJ45" s="189">
        <f>SUM(AAJ11:AAJ44)</f>
        <v>105</v>
      </c>
      <c r="AAK45" s="93"/>
      <c r="AAL45" s="90"/>
    </row>
    <row r="46" spans="1:715" s="23" customFormat="1" ht="15" customHeight="1">
      <c r="A46" s="171"/>
      <c r="B46" s="539" t="s">
        <v>236</v>
      </c>
      <c r="C46" s="472"/>
      <c r="D46" s="471"/>
      <c r="E46" s="375" t="s">
        <v>0</v>
      </c>
      <c r="F46" s="473"/>
      <c r="G46" s="535"/>
      <c r="H46" s="475"/>
      <c r="I46" s="459"/>
      <c r="J46" s="193"/>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s="52"/>
      <c r="AAA46" s="192"/>
      <c r="AAB46"/>
      <c r="AAC46"/>
      <c r="AAD46" s="90"/>
      <c r="AAE46" s="519">
        <v>1</v>
      </c>
      <c r="AAF46" s="190" t="s">
        <v>52</v>
      </c>
      <c r="AAG46" s="90"/>
      <c r="AAH46" s="79"/>
      <c r="AAI46" s="61"/>
      <c r="AAJ46" s="490"/>
      <c r="AAK46" s="93"/>
      <c r="AAL46" s="90"/>
    </row>
    <row r="47" spans="1:715" s="23" customFormat="1" ht="15" customHeight="1">
      <c r="A47" s="171"/>
      <c r="B47" s="287" t="s">
        <v>62</v>
      </c>
      <c r="C47" s="356"/>
      <c r="D47" s="480"/>
      <c r="E47" s="348"/>
      <c r="F47" s="457">
        <f ca="1">IF(YEAR(H47)&gt;2000,NETWORKDAYS(TODAY(),H47,S.DDL_DEQClosed),0)</f>
        <v>99</v>
      </c>
      <c r="G47" s="533" t="s">
        <v>0</v>
      </c>
      <c r="H47" s="400">
        <f>AAH47</f>
        <v>41719</v>
      </c>
      <c r="I47" s="459"/>
      <c r="J47" s="193"/>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s="52"/>
      <c r="AAA47" s="192"/>
      <c r="AAB47"/>
      <c r="AAC47"/>
      <c r="AAD47" s="90"/>
      <c r="AAE47" s="519">
        <v>1</v>
      </c>
      <c r="AAF47" s="90" t="s">
        <v>0</v>
      </c>
      <c r="AAG47" s="61"/>
      <c r="AAH47" s="73">
        <f>WORKDAY(S.EQC.Meeting+1,1,S.DDL_DEQClosed)</f>
        <v>41719</v>
      </c>
      <c r="AAI47" s="61"/>
      <c r="AAJ47" s="490"/>
      <c r="AAK47" s="77"/>
      <c r="AAL47" s="90"/>
    </row>
    <row r="48" spans="1:715" s="23" customFormat="1" ht="15" customHeight="1" thickBot="1">
      <c r="A48" s="171" t="s">
        <v>0</v>
      </c>
      <c r="B48" s="287" t="str">
        <f>AAK48</f>
        <v>DAS - fees not involved</v>
      </c>
      <c r="C48" s="356"/>
      <c r="D48" s="480"/>
      <c r="E48" s="348"/>
      <c r="F48" s="457">
        <f ca="1">IF(S.Fee.Involved="N",,NETWORKDAYS(TODAY(),H48,S.DDL_DEQClosed))</f>
        <v>0</v>
      </c>
      <c r="G48" s="533" t="s">
        <v>0</v>
      </c>
      <c r="H48" s="400">
        <f>AAH48</f>
        <v>41722</v>
      </c>
      <c r="I48" s="459"/>
      <c r="J48" s="193"/>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s="52"/>
      <c r="AAA48" s="192"/>
      <c r="AAB48"/>
      <c r="AAC48"/>
      <c r="AAD48" s="90"/>
      <c r="AAE48" s="519">
        <f>IF(S.Fee.Involved="Y",1,0)</f>
        <v>0</v>
      </c>
      <c r="AAF48" s="90" t="s">
        <v>0</v>
      </c>
      <c r="AAG48" s="90" t="s">
        <v>0</v>
      </c>
      <c r="AAH48" s="73">
        <f>WORKDAY(S.EQC.Meeting+5,0,S.DDL_DEQClosed)</f>
        <v>41722</v>
      </c>
      <c r="AAI48" s="61"/>
      <c r="AAJ48" s="490"/>
      <c r="AAK48" s="76" t="str">
        <f>IF(S.Fee.Involved="N","DAS - fees not involved",IF(S.Fee.DASApprovalRequired="Y","DAS - submit Part 2 within ten days after EQC rulemaking action","DAS - email notification within 10 days after EQC rulemaking action"))</f>
        <v>DAS - fees not involved</v>
      </c>
      <c r="AAL48" s="90"/>
    </row>
    <row r="49" spans="1:715" ht="15" customHeight="1" thickBot="1">
      <c r="A49" s="171"/>
      <c r="B49" s="541" t="s">
        <v>492</v>
      </c>
      <c r="C49" s="724" t="s">
        <v>17</v>
      </c>
      <c r="D49" s="472"/>
      <c r="E49" s="348"/>
      <c r="F49" s="457">
        <f ca="1">IF(YEAR(H49)&gt;2000,NETWORKDAYS(TODAY(),H49,S.DDL_DEQClosed),0)</f>
        <v>99</v>
      </c>
      <c r="G49" s="533" t="s">
        <v>0</v>
      </c>
      <c r="H49" s="400">
        <f>AAH49</f>
        <v>41719</v>
      </c>
      <c r="I49" s="459"/>
      <c r="J49" s="194"/>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AAA49" s="192"/>
      <c r="AAD49" s="90"/>
      <c r="AAE49" s="519">
        <v>1</v>
      </c>
      <c r="AAF49" s="90"/>
      <c r="AAG49" s="90" t="s">
        <v>0</v>
      </c>
      <c r="AAH49" s="73">
        <f>S.PostEQC.FileRuleWithSOS</f>
        <v>41719</v>
      </c>
      <c r="AAI49" s="73">
        <f>S.EQC.Meeting+10</f>
        <v>41727</v>
      </c>
      <c r="AAJ49" s="54"/>
      <c r="AAK49" s="39"/>
      <c r="AAL49" s="90"/>
      <c r="AAM49"/>
    </row>
    <row r="50" spans="1:715" s="23" customFormat="1" ht="15" customHeight="1">
      <c r="A50" s="171"/>
      <c r="B50" s="287" t="str">
        <f>AAK50</f>
        <v>EPA - goal to submit SIP within 60 days of adoption</v>
      </c>
      <c r="C50" s="480"/>
      <c r="D50" s="361"/>
      <c r="E50" s="348"/>
      <c r="F50" s="457">
        <f ca="1">IF(S.SIP.Involved="N",,NETWORKDAYS(TODAY(),H50,S.DDL_DEQClosed))</f>
        <v>140</v>
      </c>
      <c r="G50" s="470" t="s">
        <v>0</v>
      </c>
      <c r="H50" s="400">
        <f>AAH50</f>
        <v>41778</v>
      </c>
      <c r="I50" s="459" t="s">
        <v>0</v>
      </c>
      <c r="J50" s="193"/>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s="52"/>
      <c r="AAA50" s="192" t="s">
        <v>0</v>
      </c>
      <c r="AAB50" s="23" t="s">
        <v>0</v>
      </c>
      <c r="AAC50"/>
      <c r="AAD50" s="90"/>
      <c r="AAE50" s="520">
        <f>IF(S.SIP.Involved="Y",1,0)</f>
        <v>1</v>
      </c>
      <c r="AAF50" s="90"/>
      <c r="AAG50" s="61"/>
      <c r="AAH50" s="73">
        <f>IF(S.SIP.Involved="N",,WORKDAY(S.EQC.Meeting+59,1,S.DDL_DEQClosed))</f>
        <v>41778</v>
      </c>
      <c r="AAI50" s="61"/>
      <c r="AAJ50" s="490"/>
      <c r="AAK50" s="76" t="str">
        <f>IF(S.SIP.Involved="Y","EPA - goal to submit SIP within 60 days of adoption","EPA - SIP not involved")</f>
        <v>EPA - goal to submit SIP within 60 days of adoption</v>
      </c>
      <c r="AAL50" s="90"/>
    </row>
    <row r="51" spans="1:715" ht="6.75" customHeight="1">
      <c r="A51" s="171"/>
      <c r="B51" s="435"/>
      <c r="C51" s="409"/>
      <c r="D51" s="430"/>
      <c r="E51" s="436"/>
      <c r="F51" s="436"/>
      <c r="G51" s="481"/>
      <c r="H51" s="409"/>
      <c r="I51" s="459"/>
      <c r="J51" s="224"/>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AAA51" s="192"/>
      <c r="AAD51" s="90"/>
      <c r="AAE51" s="519">
        <v>0</v>
      </c>
      <c r="AAF51" s="190" t="s">
        <v>52</v>
      </c>
      <c r="AAG51" s="71"/>
      <c r="AAH51" s="71"/>
      <c r="AAI51" s="61"/>
      <c r="AAJ51" s="54"/>
      <c r="AAK51" s="39"/>
      <c r="AAL51" s="90"/>
      <c r="AAM51"/>
    </row>
    <row r="52" spans="1:715" s="23" customFormat="1" ht="18" customHeight="1">
      <c r="A52" s="171"/>
      <c r="B52" s="118" t="s">
        <v>247</v>
      </c>
      <c r="C52" s="98"/>
      <c r="D52" s="232" t="s">
        <v>64</v>
      </c>
      <c r="E52" s="881"/>
      <c r="F52" s="881"/>
      <c r="G52" s="99" t="s">
        <v>0</v>
      </c>
      <c r="H52" s="99" t="s">
        <v>0</v>
      </c>
      <c r="I52" s="244"/>
      <c r="J52" s="21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s="52"/>
      <c r="AAA52" s="192"/>
      <c r="AAB52"/>
      <c r="AAC52"/>
      <c r="AAD52" s="90"/>
      <c r="AAE52" s="519" t="s">
        <v>22</v>
      </c>
      <c r="AAF52" s="190" t="s">
        <v>52</v>
      </c>
      <c r="AAG52" s="90"/>
      <c r="AAH52" s="90"/>
      <c r="AAI52" s="72"/>
      <c r="AAJ52" s="81"/>
      <c r="AAK52" s="71"/>
      <c r="AAL52" s="90"/>
    </row>
    <row r="53" spans="1:715" s="23" customFormat="1" ht="14.25" customHeight="1" outlineLevel="1">
      <c r="A53" s="171"/>
      <c r="B53" s="141" t="s">
        <v>0</v>
      </c>
      <c r="C53" s="100" t="s">
        <v>0</v>
      </c>
      <c r="D53" s="237"/>
      <c r="E53" s="848" t="s">
        <v>225</v>
      </c>
      <c r="F53" s="848"/>
      <c r="G53" s="848" t="s">
        <v>12</v>
      </c>
      <c r="H53" s="848"/>
      <c r="I53" s="244"/>
      <c r="J53" s="195"/>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s="52"/>
      <c r="AAA53" s="192"/>
      <c r="AAD53" s="90"/>
      <c r="AAE53" s="519" t="s">
        <v>63</v>
      </c>
      <c r="AAF53" s="190" t="s">
        <v>52</v>
      </c>
      <c r="AAG53" s="90"/>
      <c r="AAH53" s="90"/>
      <c r="AAI53" s="72"/>
      <c r="AAJ53" s="81"/>
      <c r="AAK53" s="71"/>
      <c r="AAL53" s="90"/>
    </row>
    <row r="54" spans="1:715" s="552" customFormat="1" ht="24" customHeight="1" outlineLevel="1">
      <c r="A54" s="545"/>
      <c r="B54" s="686" t="str">
        <f>S.General.RulemakingTitle</f>
        <v>Incorporate Lane Regional Air Protection Agency Rules into State Implementation Plan</v>
      </c>
      <c r="C54" s="547" t="s">
        <v>0</v>
      </c>
      <c r="D54" s="547"/>
      <c r="E54" s="559" t="s">
        <v>228</v>
      </c>
      <c r="F54" s="560" t="s">
        <v>226</v>
      </c>
      <c r="G54" s="548" t="s">
        <v>61</v>
      </c>
      <c r="H54" s="548" t="s">
        <v>227</v>
      </c>
      <c r="I54" s="549"/>
      <c r="J54" s="550"/>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1"/>
      <c r="AZ54" s="551"/>
      <c r="BA54" s="551"/>
      <c r="BB54" s="551"/>
      <c r="BC54" s="551"/>
      <c r="BD54" s="551"/>
      <c r="BE54" s="551"/>
      <c r="BF54" s="551"/>
      <c r="BG54" s="551"/>
      <c r="BH54" s="551"/>
      <c r="BI54" s="551"/>
      <c r="BJ54" s="551"/>
      <c r="BK54" s="551"/>
      <c r="BL54" s="551"/>
      <c r="BM54" s="551"/>
      <c r="BN54" s="551"/>
      <c r="BO54" s="551"/>
      <c r="BP54" s="551"/>
      <c r="BQ54" s="551"/>
      <c r="BR54" s="551"/>
      <c r="BS54" s="551"/>
      <c r="BT54" s="551"/>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1"/>
      <c r="DI54" s="551"/>
      <c r="DJ54" s="551"/>
      <c r="DK54" s="551"/>
      <c r="DL54" s="551"/>
      <c r="DM54" s="551"/>
      <c r="DN54" s="551"/>
      <c r="DO54" s="551"/>
      <c r="DP54" s="551"/>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s="52"/>
      <c r="AAA54" s="770"/>
      <c r="AAD54" s="553"/>
      <c r="AAE54" s="554" t="s">
        <v>63</v>
      </c>
      <c r="AAF54" s="555" t="s">
        <v>52</v>
      </c>
      <c r="AAG54" s="553"/>
      <c r="AAH54" s="553"/>
      <c r="AAI54" s="556"/>
      <c r="AAJ54" s="557"/>
      <c r="AAK54" s="558"/>
      <c r="AAL54" s="553"/>
    </row>
    <row r="55" spans="1:715" ht="18" customHeight="1" outlineLevel="1">
      <c r="A55" s="171"/>
      <c r="B55" s="561" t="s">
        <v>12</v>
      </c>
      <c r="C55" s="563"/>
      <c r="D55" s="128"/>
      <c r="E55" s="564"/>
      <c r="F55" s="565">
        <f>NETWORKDAYS(S.Planning.BANNER.Begin,S.Planning.BANNER.End,S.DDL_DEQClosed)</f>
        <v>1</v>
      </c>
      <c r="G55" s="142">
        <f>S.Overview.BANNER.Start</f>
        <v>41572</v>
      </c>
      <c r="H55" s="280">
        <f>AAH55</f>
        <v>41572</v>
      </c>
      <c r="I55" s="244"/>
      <c r="J55" s="216"/>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AAA55" s="192" t="s">
        <v>0</v>
      </c>
      <c r="AAD55" s="90"/>
      <c r="AAE55" s="519" t="s">
        <v>63</v>
      </c>
      <c r="AAF55" s="190" t="s">
        <v>52</v>
      </c>
      <c r="AAG55" s="73">
        <f>S.Overview.BANNER.Start</f>
        <v>41572</v>
      </c>
      <c r="AAH55" s="73">
        <f>IF(S.General.RuleType="P",S.Notice.BANNER.Begin,S.EQC.BANNER.Begin)</f>
        <v>41572</v>
      </c>
      <c r="AAI55" s="73">
        <f>MAX(H61:H145)</f>
        <v>41577</v>
      </c>
      <c r="AAJ55" s="81"/>
      <c r="AAK55" s="71"/>
      <c r="AAL55" s="90"/>
      <c r="AAM55"/>
    </row>
    <row r="56" spans="1:715" ht="6" customHeight="1" outlineLevel="1">
      <c r="A56" s="171"/>
      <c r="B56" s="120"/>
      <c r="C56" s="112"/>
      <c r="D56" s="230"/>
      <c r="E56" s="113"/>
      <c r="F56" s="113"/>
      <c r="G56" s="112"/>
      <c r="H56" s="112"/>
      <c r="I56" s="244"/>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AAA56" s="192"/>
      <c r="AAD56" s="90"/>
      <c r="AAE56" s="520" t="s">
        <v>17</v>
      </c>
      <c r="AAF56" s="190" t="s">
        <v>52</v>
      </c>
      <c r="AAG56" s="60"/>
      <c r="AAH56" s="60"/>
      <c r="AAI56" s="82"/>
      <c r="AAJ56" s="82"/>
      <c r="AAK56" s="40"/>
      <c r="AAL56" s="90"/>
      <c r="AAM56"/>
    </row>
    <row r="57" spans="1:715" s="23" customFormat="1" ht="12.75" customHeight="1" outlineLevel="1">
      <c r="A57" s="171"/>
      <c r="B57" s="798" t="s">
        <v>510</v>
      </c>
      <c r="C57" s="790" t="str">
        <f>HYPERLINK("","i")</f>
        <v>i</v>
      </c>
      <c r="D57" s="231"/>
      <c r="E57" s="97"/>
      <c r="F57" s="97"/>
      <c r="G57" s="96"/>
      <c r="H57" s="96"/>
      <c r="I57" s="244"/>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ZZ57" s="52"/>
      <c r="AAA57" s="192"/>
      <c r="AAD57" s="90"/>
      <c r="AAE57" s="520" t="s">
        <v>21</v>
      </c>
      <c r="AAF57" s="190" t="s">
        <v>52</v>
      </c>
      <c r="AAG57" s="60"/>
      <c r="AAH57" s="60"/>
      <c r="AAI57" s="82"/>
      <c r="AAJ57" s="82"/>
      <c r="AAK57" s="40"/>
      <c r="AAL57" s="90"/>
    </row>
    <row r="58" spans="1:715" s="23" customFormat="1" ht="15" customHeight="1" outlineLevel="1">
      <c r="A58" s="171"/>
      <c r="B58" s="482" t="s">
        <v>145</v>
      </c>
      <c r="D58" s="255"/>
      <c r="E58" s="496"/>
      <c r="F58" s="496"/>
      <c r="G58" s="496"/>
      <c r="H58" s="496"/>
      <c r="I58" s="244"/>
      <c r="J58" s="196"/>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s="52"/>
      <c r="AAA58" s="192"/>
      <c r="AAD58" s="90"/>
      <c r="AAE58" s="519">
        <v>1</v>
      </c>
      <c r="AAF58" s="190" t="s">
        <v>52</v>
      </c>
      <c r="AAG58" s="60"/>
      <c r="AAH58" s="60"/>
      <c r="AAI58" s="72" t="s">
        <v>0</v>
      </c>
      <c r="AAJ58" s="55"/>
      <c r="AAK58" s="71"/>
      <c r="AAL58" s="90"/>
    </row>
    <row r="59" spans="1:715" s="23" customFormat="1" ht="15" customHeight="1" outlineLevel="1">
      <c r="A59" s="171"/>
      <c r="B59" s="291" t="str">
        <f t="shared" ref="B59:B66" si="13">AAK59</f>
        <v>After Andy &amp; managers approve concept development work...</v>
      </c>
      <c r="C59" s="790" t="str">
        <f>HYPERLINK("\\deqhq1\Rule_Resources\i\PLAN.AddToRulemakingPlan.pdf","i")</f>
        <v>i</v>
      </c>
      <c r="E59" s="151" t="s">
        <v>0</v>
      </c>
      <c r="F59" s="151" t="s">
        <v>0</v>
      </c>
      <c r="G59" s="150"/>
      <c r="H59" s="495">
        <f>AAH59</f>
        <v>41572</v>
      </c>
      <c r="I59" s="244"/>
      <c r="J59" s="221"/>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s="52"/>
      <c r="AAA59" s="192"/>
      <c r="AAD59" s="90"/>
      <c r="AAE59" s="519">
        <v>1</v>
      </c>
      <c r="AAF59" s="60"/>
      <c r="AAG59" s="60"/>
      <c r="AAH59" s="73">
        <f>S.Overview.BANNER.Start</f>
        <v>41572</v>
      </c>
      <c r="AAI59" s="72" t="s">
        <v>0</v>
      </c>
      <c r="AAJ59" s="55"/>
      <c r="AAK59" s="76" t="str">
        <f>"After "&amp;S.Staff.DA&amp;" &amp; managers approve concept development work..."</f>
        <v>After Andy &amp; managers approve concept development work...</v>
      </c>
      <c r="AAL59" s="90"/>
    </row>
    <row r="60" spans="1:715" s="23" customFormat="1" ht="15" customHeight="1" outlineLevel="1">
      <c r="A60" s="171"/>
      <c r="B60" s="361" t="str">
        <f t="shared" si="13"/>
        <v>MargaretMGR</v>
      </c>
      <c r="C60" s="111" t="s">
        <v>0</v>
      </c>
      <c r="D60" s="255"/>
      <c r="E60" s="496"/>
      <c r="F60" s="496"/>
      <c r="G60" s="496"/>
      <c r="H60" s="496"/>
      <c r="I60" s="244"/>
      <c r="J60" s="196"/>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s="52"/>
      <c r="AAA60" s="192"/>
      <c r="AAD60" s="90"/>
      <c r="AAE60" s="519">
        <v>1</v>
      </c>
      <c r="AAF60" s="190" t="s">
        <v>52</v>
      </c>
      <c r="AAG60" s="60"/>
      <c r="AAH60" s="60"/>
      <c r="AAI60" s="72"/>
      <c r="AAJ60" s="55"/>
      <c r="AAK60" s="76" t="str">
        <f>S.Staff.Mgr</f>
        <v>MargaretMGR</v>
      </c>
      <c r="AAL60" s="90"/>
    </row>
    <row r="61" spans="1:715" s="23" customFormat="1" ht="15" customHeight="1" outlineLevel="1">
      <c r="A61" s="171"/>
      <c r="B61" s="363" t="str">
        <f t="shared" si="13"/>
        <v>* assigns staff to work with AndreaDRC &amp; Maggie</v>
      </c>
      <c r="C61" s="271" t="s">
        <v>0</v>
      </c>
      <c r="D61" s="279"/>
      <c r="E61" s="263">
        <f t="shared" ref="E61" si="14">NETWORKDAYS(G61,H61,S.DDL_DEQClosed)</f>
        <v>1</v>
      </c>
      <c r="F61" s="457">
        <f ca="1">IF(YEAR(H61)&gt;2000,NETWORKDAYS(TODAY(),H61,S.DDL_DEQClosed),0)</f>
        <v>-2</v>
      </c>
      <c r="G61" s="264">
        <f t="shared" ref="G61:G64" si="15">AAG61</f>
        <v>41572</v>
      </c>
      <c r="H61" s="264">
        <f>AAH61</f>
        <v>41572</v>
      </c>
      <c r="I61" s="244"/>
      <c r="J61" s="196"/>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s="52"/>
      <c r="AAA61" s="192"/>
      <c r="AAD61" s="90"/>
      <c r="AAE61" s="519">
        <v>1</v>
      </c>
      <c r="AAF61" s="90" t="s">
        <v>0</v>
      </c>
      <c r="AAG61" s="73">
        <f>S.Planning.BANNER.Begin</f>
        <v>41572</v>
      </c>
      <c r="AAH61" s="73">
        <f>G61</f>
        <v>41572</v>
      </c>
      <c r="AAI61" s="72"/>
      <c r="AAJ61" s="55"/>
      <c r="AAK61" s="76" t="str">
        <f>"* assigns staff to work with "&amp;S.Staff.DivisionRulesCoordinator&amp;" &amp; "&amp;S.Staff.AgencyRulesCoordinator</f>
        <v>* assigns staff to work with AndreaDRC &amp; Maggie</v>
      </c>
      <c r="AAL61" s="90"/>
    </row>
    <row r="62" spans="1:715" s="23" customFormat="1" ht="15" customHeight="1" outlineLevel="1">
      <c r="A62" s="171"/>
      <c r="B62" s="363" t="str">
        <f t="shared" si="13"/>
        <v>* adds work to staff workplan as needed</v>
      </c>
      <c r="C62" s="271" t="s">
        <v>0</v>
      </c>
      <c r="D62" s="279"/>
      <c r="E62" s="263">
        <f t="shared" ref="E62" si="16">NETWORKDAYS(G62,H62,S.DDL_DEQClosed)</f>
        <v>1</v>
      </c>
      <c r="F62" s="457">
        <f ca="1">IF(YEAR(H62)&gt;2000,NETWORKDAYS(TODAY(),H62,S.DDL_DEQClosed),0)</f>
        <v>-2</v>
      </c>
      <c r="G62" s="264">
        <f t="shared" si="15"/>
        <v>41572</v>
      </c>
      <c r="H62" s="264">
        <f t="shared" ref="H62:H65" si="17">AAH62</f>
        <v>41572</v>
      </c>
      <c r="I62" s="244"/>
      <c r="J62" s="196"/>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s="52"/>
      <c r="AAA62" s="192"/>
      <c r="AAD62" s="90"/>
      <c r="AAE62" s="519">
        <v>1</v>
      </c>
      <c r="AAF62" s="90" t="s">
        <v>0</v>
      </c>
      <c r="AAG62" s="73">
        <f>S.Planning.BANNER.Begin</f>
        <v>41572</v>
      </c>
      <c r="AAH62" s="73">
        <f t="shared" ref="AAH62:AAH65" si="18">G62</f>
        <v>41572</v>
      </c>
      <c r="AAI62" s="72"/>
      <c r="AAJ62" s="55"/>
      <c r="AAK62" s="76" t="str">
        <f>"* adds work to staff workplan as needed"</f>
        <v>* adds work to staff workplan as needed</v>
      </c>
      <c r="AAL62" s="90"/>
    </row>
    <row r="63" spans="1:715" s="23" customFormat="1" ht="15" customHeight="1" outlineLevel="1">
      <c r="A63" s="171"/>
      <c r="B63" s="363" t="str">
        <f t="shared" ref="B63" si="19">AAK63</f>
        <v>* chats with AndreaDRC &amp; Maggie</v>
      </c>
      <c r="C63" s="271" t="s">
        <v>0</v>
      </c>
      <c r="D63" s="279"/>
      <c r="E63" s="263">
        <f t="shared" ref="E63" si="20">NETWORKDAYS(G63,H63,S.DDL_DEQClosed)</f>
        <v>1</v>
      </c>
      <c r="F63" s="457">
        <f ca="1">IF(YEAR(H63)&gt;2000,NETWORKDAYS(TODAY(),H63,S.DDL_DEQClosed),0)</f>
        <v>-2</v>
      </c>
      <c r="G63" s="264">
        <f>AAG63</f>
        <v>41572</v>
      </c>
      <c r="H63" s="264">
        <f t="shared" si="17"/>
        <v>41572</v>
      </c>
      <c r="I63" s="244"/>
      <c r="J63" s="196"/>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s="52"/>
      <c r="AAA63" s="192"/>
      <c r="AAD63" s="90"/>
      <c r="AAE63" s="519">
        <v>1</v>
      </c>
      <c r="AAF63" s="90" t="s">
        <v>0</v>
      </c>
      <c r="AAG63" s="73">
        <f>S.Planning.BANNER.Begin</f>
        <v>41572</v>
      </c>
      <c r="AAH63" s="73">
        <f t="shared" si="18"/>
        <v>41572</v>
      </c>
      <c r="AAI63" s="72"/>
      <c r="AAJ63" s="55"/>
      <c r="AAK63" s="76" t="str">
        <f>"* chats with "&amp;S.Staff.DivisionRulesCoordinator&amp;" &amp; "&amp;S.Staff.AgencyRulesCoordinator</f>
        <v>* chats with AndreaDRC &amp; Maggie</v>
      </c>
      <c r="AAL63" s="90"/>
    </row>
    <row r="64" spans="1:715" s="23" customFormat="1" ht="15" customHeight="1" outlineLevel="1">
      <c r="A64" s="171"/>
      <c r="B64" s="363" t="str">
        <f t="shared" si="13"/>
        <v>* identifies existing Q-Time for intitial concept development work</v>
      </c>
      <c r="C64" s="271" t="s">
        <v>0</v>
      </c>
      <c r="D64" s="279"/>
      <c r="E64" s="263">
        <f t="shared" ref="E64:E65" si="21">NETWORKDAYS(G64,H64,S.DDL_DEQClosed)</f>
        <v>1</v>
      </c>
      <c r="F64" s="457">
        <f ca="1">IF(YEAR(H64)&gt;2000,NETWORKDAYS(TODAY(),H64,S.DDL_DEQClosed),0)</f>
        <v>-2</v>
      </c>
      <c r="G64" s="264">
        <f t="shared" si="15"/>
        <v>41572</v>
      </c>
      <c r="H64" s="264">
        <f t="shared" si="17"/>
        <v>41572</v>
      </c>
      <c r="I64" s="244"/>
      <c r="J64" s="196"/>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s="52"/>
      <c r="AAA64" s="192"/>
      <c r="AAD64" s="90"/>
      <c r="AAE64" s="519">
        <v>1</v>
      </c>
      <c r="AAF64" s="90" t="s">
        <v>0</v>
      </c>
      <c r="AAG64" s="73">
        <f>S.Planning.BANNER.Begin</f>
        <v>41572</v>
      </c>
      <c r="AAH64" s="73">
        <f t="shared" si="18"/>
        <v>41572</v>
      </c>
      <c r="AAI64" s="72"/>
      <c r="AAJ64" s="55"/>
      <c r="AAK64" s="76" t="str">
        <f>"* identifies existing Q-Time for intitial concept development work"</f>
        <v>* identifies existing Q-Time for intitial concept development work</v>
      </c>
      <c r="AAL64" s="90"/>
    </row>
    <row r="65" spans="1:727" s="23" customFormat="1" ht="15" customHeight="1" outlineLevel="1">
      <c r="A65" s="171"/>
      <c r="B65" s="361" t="str">
        <f t="shared" si="13"/>
        <v>AndreaDRC adds staff to Names tab of this workbook</v>
      </c>
      <c r="C65" s="271" t="s">
        <v>0</v>
      </c>
      <c r="D65" s="279"/>
      <c r="E65" s="263">
        <f t="shared" si="21"/>
        <v>1</v>
      </c>
      <c r="F65" s="457">
        <f ca="1">IF(YEAR(H65)&gt;2000,NETWORKDAYS(TODAY(),H65,S.DDL_DEQClosed),0)</f>
        <v>-2</v>
      </c>
      <c r="G65" s="264">
        <f>AAG65</f>
        <v>41572</v>
      </c>
      <c r="H65" s="264">
        <f t="shared" si="17"/>
        <v>41572</v>
      </c>
      <c r="I65" s="244"/>
      <c r="J65" s="196"/>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ZZ65" s="52"/>
      <c r="AAA65" s="192"/>
      <c r="AAD65" s="90"/>
      <c r="AAE65" s="519">
        <v>1</v>
      </c>
      <c r="AAF65" s="90" t="s">
        <v>0</v>
      </c>
      <c r="AAG65" s="73">
        <f>S.Planning.BANNER.Begin</f>
        <v>41572</v>
      </c>
      <c r="AAH65" s="73">
        <f t="shared" si="18"/>
        <v>41572</v>
      </c>
      <c r="AAI65" s="72"/>
      <c r="AAJ65" s="55"/>
      <c r="AAK65" s="76" t="str">
        <f>S.Staff.DivisionRulesCoordinator&amp;" adds staff to Names tab of this workbook"</f>
        <v>AndreaDRC adds staff to Names tab of this workbook</v>
      </c>
      <c r="AAL65" s="90"/>
    </row>
    <row r="66" spans="1:727" s="23" customFormat="1" ht="15" customHeight="1" outlineLevel="1">
      <c r="A66" s="171"/>
      <c r="B66" s="361" t="str">
        <f t="shared" si="13"/>
        <v>Maggie</v>
      </c>
      <c r="C66" s="271" t="s">
        <v>0</v>
      </c>
      <c r="D66" s="274"/>
      <c r="E66" s="497"/>
      <c r="F66" s="497"/>
      <c r="G66" s="497"/>
      <c r="H66" s="497"/>
      <c r="I66" s="244"/>
      <c r="J66" s="196"/>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s="52"/>
      <c r="AAA66" s="192"/>
      <c r="AAD66" s="90"/>
      <c r="AAE66" s="519">
        <v>1</v>
      </c>
      <c r="AAF66" s="190" t="s">
        <v>52</v>
      </c>
      <c r="AAG66" s="60"/>
      <c r="AAH66" s="60"/>
      <c r="AAI66" s="72"/>
      <c r="AAJ66" s="55"/>
      <c r="AAK66" s="76" t="str">
        <f>S.Staff.AgencyRulesCoordinator</f>
        <v>Maggie</v>
      </c>
      <c r="AAL66" s="90"/>
    </row>
    <row r="67" spans="1:727" s="23" customFormat="1" ht="15" customHeight="1" outlineLevel="1">
      <c r="A67" s="171"/>
      <c r="B67" s="363" t="s">
        <v>130</v>
      </c>
      <c r="C67" s="275" t="s">
        <v>0</v>
      </c>
      <c r="D67" s="270"/>
      <c r="E67"/>
      <c r="F67"/>
      <c r="G67"/>
      <c r="H67" s="264">
        <f t="shared" ref="H67:H68" si="22">AAH67</f>
        <v>41572</v>
      </c>
      <c r="I67" s="244"/>
      <c r="J67" s="196"/>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s="52"/>
      <c r="AAA67" s="192"/>
      <c r="AAD67" s="90"/>
      <c r="AAE67" s="519">
        <v>1</v>
      </c>
      <c r="AAF67" s="90" t="s">
        <v>0</v>
      </c>
      <c r="AAG67" s="72"/>
      <c r="AAH67" s="73">
        <f>G63</f>
        <v>41572</v>
      </c>
      <c r="AAI67" s="72"/>
      <c r="AAJ67" s="55"/>
      <c r="AAK67" s="39" t="s">
        <v>0</v>
      </c>
      <c r="AAL67" s="90"/>
    </row>
    <row r="68" spans="1:727" s="23" customFormat="1" ht="15" customHeight="1" outlineLevel="1">
      <c r="A68" s="171"/>
      <c r="B68" s="439" t="str">
        <f>AAK68</f>
        <v>* schedules team kickoff training/work session</v>
      </c>
      <c r="C68" s="271" t="s">
        <v>0</v>
      </c>
      <c r="D68" s="270"/>
      <c r="H68" s="264">
        <f t="shared" si="22"/>
        <v>41572</v>
      </c>
      <c r="I68" s="244"/>
      <c r="J68" s="193"/>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s="52"/>
      <c r="AAA68" s="192"/>
      <c r="AAD68" s="90"/>
      <c r="AAE68" s="519">
        <v>1</v>
      </c>
      <c r="AAF68" s="90" t="s">
        <v>0</v>
      </c>
      <c r="AAG68" s="72"/>
      <c r="AAH68" s="73">
        <f>G63</f>
        <v>41572</v>
      </c>
      <c r="AAI68" s="72"/>
      <c r="AAJ68" s="55"/>
      <c r="AAK68" s="76" t="str">
        <f>"* schedules team kickoff training/work session"</f>
        <v>* schedules team kickoff training/work session</v>
      </c>
      <c r="AAL68" s="90"/>
    </row>
    <row r="69" spans="1:727" s="23" customFormat="1" ht="15" customHeight="1" outlineLevel="1">
      <c r="A69" s="171"/>
      <c r="B69" s="484" t="str">
        <f>AAK69</f>
        <v>Team = AndreaRW, MargaretMGR, AndreaDRC &amp; Maggie</v>
      </c>
      <c r="C69" s="271" t="s">
        <v>0</v>
      </c>
      <c r="D69" s="727"/>
      <c r="E69" s="497"/>
      <c r="F69" s="497"/>
      <c r="G69" s="497"/>
      <c r="H69" s="497"/>
      <c r="I69" s="244"/>
      <c r="J69" s="196"/>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s="52"/>
      <c r="AAA69" s="192"/>
      <c r="AAD69" s="90"/>
      <c r="AAE69" s="519">
        <v>1</v>
      </c>
      <c r="AAF69" s="190" t="s">
        <v>52</v>
      </c>
      <c r="AAG69" s="61"/>
      <c r="AAH69" s="61"/>
      <c r="AAI69" s="72"/>
      <c r="AAJ69" s="55"/>
      <c r="AAK69" s="76" t="str">
        <f>"Team = "&amp;S.Staff.Lead&amp;", "&amp;S.Staff.Mgr&amp;", "&amp;S.Staff.DivisionRulesCoordinator&amp;" &amp; "&amp;S.Staff.AgencyRulesCoordinator</f>
        <v>Team = AndreaRW, MargaretMGR, AndreaDRC &amp; Maggie</v>
      </c>
      <c r="AAL69" s="90"/>
    </row>
    <row r="70" spans="1:727" ht="15" customHeight="1" outlineLevel="1">
      <c r="A70" s="171"/>
      <c r="B70" s="419" t="s">
        <v>277</v>
      </c>
      <c r="C70" s="271" t="s">
        <v>0</v>
      </c>
      <c r="D70" s="270"/>
      <c r="E70" s="23"/>
      <c r="F70" s="457">
        <f ca="1">IF(YEAR(H70)&gt;2000,NETWORKDAYS(TODAY(),H70,S.DDL_DEQClosed),0)</f>
        <v>-2</v>
      </c>
      <c r="G70" s="23"/>
      <c r="H70" s="264">
        <f>AAH70</f>
        <v>41572</v>
      </c>
      <c r="I70" s="244"/>
      <c r="J70" s="193"/>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AAA70" s="192"/>
      <c r="AAD70" s="90"/>
      <c r="AAE70" s="519">
        <v>1</v>
      </c>
      <c r="AAF70" s="90" t="s">
        <v>0</v>
      </c>
      <c r="AAG70" s="61"/>
      <c r="AAH70" s="73">
        <f>H68</f>
        <v>41572</v>
      </c>
      <c r="AAI70" s="72"/>
      <c r="AAJ70" s="55"/>
      <c r="AAK70" s="39"/>
      <c r="AAL70" s="90"/>
      <c r="AAM70"/>
    </row>
    <row r="71" spans="1:727" s="23" customFormat="1" ht="15" customHeight="1" outlineLevel="1">
      <c r="A71" s="171"/>
      <c r="B71" s="617" t="s">
        <v>133</v>
      </c>
      <c r="C71" s="152"/>
      <c r="D71" s="233" t="s">
        <v>0</v>
      </c>
      <c r="E71" s="153"/>
      <c r="F71" s="153"/>
      <c r="G71" s="152"/>
      <c r="H71" s="152"/>
      <c r="I71" s="244"/>
      <c r="J71" s="193"/>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s="52"/>
      <c r="AAA71" s="192"/>
      <c r="AAD71" s="90"/>
      <c r="AAE71" s="519">
        <v>1</v>
      </c>
      <c r="AAF71" s="190" t="s">
        <v>52</v>
      </c>
      <c r="AAG71" s="71"/>
      <c r="AAH71" s="71"/>
      <c r="AAI71" s="71"/>
      <c r="AAJ71" s="55"/>
      <c r="AAK71" s="39"/>
      <c r="AAL71" s="90"/>
      <c r="AAN71"/>
      <c r="AAO71"/>
      <c r="AAP71"/>
      <c r="AAQ71"/>
      <c r="AAR71"/>
      <c r="AAS71"/>
      <c r="AAT71"/>
      <c r="AAU71"/>
      <c r="AAV71"/>
      <c r="AAW71"/>
      <c r="AAX71"/>
      <c r="AAY71"/>
    </row>
    <row r="72" spans="1:727" s="23" customFormat="1" ht="15" customHeight="1" outlineLevel="1">
      <c r="A72" s="171"/>
      <c r="B72" s="617" t="s">
        <v>348</v>
      </c>
      <c r="C72" s="154"/>
      <c r="D72" s="233" t="s">
        <v>0</v>
      </c>
      <c r="E72" s="155"/>
      <c r="F72" s="153"/>
      <c r="G72" s="156"/>
      <c r="H72" s="157"/>
      <c r="I72" s="244"/>
      <c r="J72" s="193"/>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s="52"/>
      <c r="AAA72" s="192"/>
      <c r="AAD72" s="90"/>
      <c r="AAE72" s="519">
        <v>1</v>
      </c>
      <c r="AAF72" s="190" t="s">
        <v>52</v>
      </c>
      <c r="AAG72" s="71"/>
      <c r="AAH72" s="71"/>
      <c r="AAI72" s="71"/>
      <c r="AAJ72" s="55"/>
      <c r="AAK72" s="39"/>
      <c r="AAL72" s="90"/>
      <c r="AAN72"/>
      <c r="AAO72"/>
      <c r="AAP72"/>
      <c r="AAQ72"/>
      <c r="AAR72"/>
      <c r="AAS72"/>
      <c r="AAT72"/>
      <c r="AAU72"/>
      <c r="AAV72"/>
      <c r="AAW72"/>
      <c r="AAX72"/>
      <c r="AAY72"/>
    </row>
    <row r="73" spans="1:727" s="23" customFormat="1" ht="15" customHeight="1" outlineLevel="1">
      <c r="A73" s="171"/>
      <c r="B73" s="617" t="s">
        <v>134</v>
      </c>
      <c r="C73" s="790" t="str">
        <f>HYPERLINK("http://deqsps/programs/rulemaking/default.aspx","i")</f>
        <v>i</v>
      </c>
      <c r="D73" s="239"/>
      <c r="E73" s="496"/>
      <c r="F73" s="153"/>
      <c r="G73" s="156"/>
      <c r="H73" s="157"/>
      <c r="I73" s="244"/>
      <c r="J73" s="193"/>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s="52"/>
      <c r="AAA73" s="192"/>
      <c r="AAD73" s="90"/>
      <c r="AAE73" s="519">
        <v>1</v>
      </c>
      <c r="AAF73" s="190" t="s">
        <v>52</v>
      </c>
      <c r="AAG73" s="71"/>
      <c r="AAH73" s="71"/>
      <c r="AAI73" s="71"/>
      <c r="AAJ73" s="55"/>
      <c r="AAK73" s="39"/>
      <c r="AAL73" s="90"/>
      <c r="AAN73"/>
      <c r="AAO73"/>
      <c r="AAP73"/>
      <c r="AAQ73"/>
      <c r="AAR73"/>
      <c r="AAS73"/>
      <c r="AAT73"/>
      <c r="AAU73"/>
      <c r="AAV73"/>
      <c r="AAW73"/>
      <c r="AAX73"/>
      <c r="AAY73"/>
    </row>
    <row r="74" spans="1:727" s="23" customFormat="1" ht="15" customHeight="1" outlineLevel="1">
      <c r="A74" s="171"/>
      <c r="B74" s="617" t="s">
        <v>139</v>
      </c>
      <c r="C74" s="101"/>
      <c r="D74" s="234"/>
      <c r="E74" s="155"/>
      <c r="F74" s="153"/>
      <c r="G74" s="156"/>
      <c r="H74" s="157"/>
      <c r="I74" s="244"/>
      <c r="J74" s="193"/>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s="52"/>
      <c r="AAA74" s="192"/>
      <c r="AAD74" s="90"/>
      <c r="AAE74" s="519">
        <v>1</v>
      </c>
      <c r="AAF74" s="190" t="s">
        <v>52</v>
      </c>
      <c r="AAG74" s="71"/>
      <c r="AAH74" s="71"/>
      <c r="AAI74" s="71"/>
      <c r="AAJ74" s="55"/>
      <c r="AAK74" s="39"/>
      <c r="AAL74" s="90"/>
      <c r="AAN74"/>
      <c r="AAO74"/>
      <c r="AAP74"/>
      <c r="AAQ74"/>
      <c r="AAR74"/>
      <c r="AAS74"/>
      <c r="AAT74"/>
      <c r="AAU74"/>
      <c r="AAV74"/>
      <c r="AAW74"/>
      <c r="AAX74"/>
      <c r="AAY74"/>
    </row>
    <row r="75" spans="1:727" s="23" customFormat="1" ht="15" customHeight="1" outlineLevel="1">
      <c r="A75" s="171"/>
      <c r="B75" s="617" t="s">
        <v>350</v>
      </c>
      <c r="C75" s="101"/>
      <c r="D75" s="235"/>
      <c r="E75" s="155"/>
      <c r="F75" s="153"/>
      <c r="G75" s="156"/>
      <c r="H75" s="157"/>
      <c r="I75" s="244"/>
      <c r="J75" s="193"/>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s="52"/>
      <c r="AAA75" s="192"/>
      <c r="AAD75" s="90"/>
      <c r="AAE75" s="519">
        <v>1</v>
      </c>
      <c r="AAF75" s="190" t="s">
        <v>52</v>
      </c>
      <c r="AAG75" s="71"/>
      <c r="AAH75" s="71"/>
      <c r="AAI75" s="71"/>
      <c r="AAJ75" s="55"/>
      <c r="AAK75" s="39"/>
      <c r="AAL75" s="90"/>
      <c r="AAN75"/>
      <c r="AAO75"/>
      <c r="AAP75"/>
      <c r="AAQ75"/>
      <c r="AAR75"/>
      <c r="AAS75"/>
      <c r="AAT75"/>
      <c r="AAU75"/>
      <c r="AAV75"/>
      <c r="AAW75"/>
      <c r="AAX75"/>
      <c r="AAY75"/>
    </row>
    <row r="76" spans="1:727" s="23" customFormat="1" ht="15" customHeight="1" outlineLevel="1">
      <c r="A76" s="171"/>
      <c r="B76" s="618" t="s">
        <v>215</v>
      </c>
      <c r="C76" s="101"/>
      <c r="D76" s="235"/>
      <c r="E76" s="155"/>
      <c r="F76" s="153"/>
      <c r="G76" s="156"/>
      <c r="H76" s="157"/>
      <c r="I76" s="244"/>
      <c r="J76" s="193"/>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s="52"/>
      <c r="AAA76" s="192"/>
      <c r="AAD76" s="90"/>
      <c r="AAE76" s="519">
        <v>1</v>
      </c>
      <c r="AAF76" s="190" t="s">
        <v>52</v>
      </c>
      <c r="AAG76" s="71"/>
      <c r="AAH76" s="71"/>
      <c r="AAI76" s="71"/>
      <c r="AAJ76" s="55"/>
      <c r="AAK76" s="39"/>
      <c r="AAL76" s="90"/>
      <c r="AAN76"/>
      <c r="AAO76"/>
      <c r="AAP76"/>
      <c r="AAQ76"/>
      <c r="AAR76"/>
      <c r="AAS76"/>
      <c r="AAT76"/>
      <c r="AAU76"/>
      <c r="AAV76"/>
      <c r="AAW76"/>
      <c r="AAX76"/>
      <c r="AAY76"/>
    </row>
    <row r="77" spans="1:727" s="330" customFormat="1" ht="15" customHeight="1" outlineLevel="1">
      <c r="A77" s="329"/>
      <c r="B77" s="619" t="s">
        <v>141</v>
      </c>
      <c r="C77" s="331" t="s">
        <v>0</v>
      </c>
      <c r="E77" s="498"/>
      <c r="F77" s="498"/>
      <c r="G77" s="498"/>
      <c r="H77" s="498"/>
      <c r="I77" s="332"/>
      <c r="J77" s="333"/>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334"/>
      <c r="CO77" s="334"/>
      <c r="CP77" s="334"/>
      <c r="CQ77" s="334"/>
      <c r="CR77" s="334"/>
      <c r="CS77" s="334"/>
      <c r="CT77" s="334"/>
      <c r="CU77" s="334"/>
      <c r="CV77" s="334"/>
      <c r="CW77" s="334"/>
      <c r="CX77" s="334"/>
      <c r="CY77" s="334"/>
      <c r="CZ77" s="334"/>
      <c r="DA77" s="334"/>
      <c r="DB77" s="334"/>
      <c r="DC77" s="334"/>
      <c r="DD77" s="334"/>
      <c r="DE77" s="334"/>
      <c r="DF77" s="334"/>
      <c r="DG77" s="334"/>
      <c r="DH77" s="334"/>
      <c r="DI77" s="334"/>
      <c r="DJ77" s="334"/>
      <c r="DK77" s="334"/>
      <c r="DL77" s="334"/>
      <c r="DM77" s="334"/>
      <c r="DN77" s="334"/>
      <c r="DO77" s="334"/>
      <c r="DP77" s="334"/>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s="52"/>
      <c r="AAA77" s="772"/>
      <c r="AAD77" s="335"/>
      <c r="AAE77" s="519">
        <v>1</v>
      </c>
      <c r="AAF77" s="190" t="s">
        <v>52</v>
      </c>
      <c r="AAG77" s="336" t="s">
        <v>0</v>
      </c>
      <c r="AAH77" s="336"/>
      <c r="AAI77" s="337"/>
      <c r="AAJ77" s="338"/>
      <c r="AAK77" s="338"/>
      <c r="AAL77" s="335"/>
    </row>
    <row r="78" spans="1:727" s="23" customFormat="1" ht="15" customHeight="1" outlineLevel="1">
      <c r="A78" s="171"/>
      <c r="B78" s="618" t="s">
        <v>140</v>
      </c>
      <c r="C78" s="102"/>
      <c r="E78" s="499"/>
      <c r="F78" s="153"/>
      <c r="G78" s="500"/>
      <c r="H78" s="152"/>
      <c r="I78" s="244"/>
      <c r="J78" s="193"/>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s="52"/>
      <c r="AAA78" s="192"/>
      <c r="AAD78" s="90"/>
      <c r="AAE78" s="519">
        <v>1</v>
      </c>
      <c r="AAF78" s="190" t="s">
        <v>52</v>
      </c>
      <c r="AAG78" s="71"/>
      <c r="AAH78" s="71"/>
      <c r="AAI78" s="72"/>
      <c r="AAJ78" s="55"/>
      <c r="AAK78" s="39"/>
      <c r="AAL78" s="90"/>
      <c r="AAN78"/>
      <c r="AAO78"/>
      <c r="AAP78"/>
      <c r="AAQ78"/>
      <c r="AAR78"/>
      <c r="AAS78"/>
      <c r="AAT78"/>
      <c r="AAU78"/>
      <c r="AAV78"/>
      <c r="AAW78"/>
      <c r="AAX78"/>
      <c r="AAY78"/>
    </row>
    <row r="79" spans="1:727" s="23" customFormat="1" ht="15" customHeight="1" outlineLevel="1">
      <c r="A79" s="171"/>
      <c r="B79" s="617" t="s">
        <v>275</v>
      </c>
      <c r="C79" s="101"/>
      <c r="E79" s="155"/>
      <c r="F79" s="153"/>
      <c r="G79" s="156"/>
      <c r="H79" s="157"/>
      <c r="I79" s="244"/>
      <c r="J79" s="193"/>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s="52"/>
      <c r="AAA79" s="192"/>
      <c r="AAD79" s="90"/>
      <c r="AAE79" s="519">
        <v>1</v>
      </c>
      <c r="AAF79" s="190" t="s">
        <v>52</v>
      </c>
      <c r="AAG79" s="71"/>
      <c r="AAH79" s="71"/>
      <c r="AAI79" s="71"/>
      <c r="AAJ79" s="55"/>
      <c r="AAK79" s="39"/>
      <c r="AAL79" s="90"/>
    </row>
    <row r="80" spans="1:727" s="23" customFormat="1" ht="15" customHeight="1" outlineLevel="1">
      <c r="A80" s="171"/>
      <c r="B80" s="639" t="s">
        <v>280</v>
      </c>
      <c r="C80" s="790" t="str">
        <f>HYPERLINK("http://www.oregon.gov/deq/RulesandRegulations/Pages/2013/RulemakingActivities.aspx","i")</f>
        <v>i</v>
      </c>
      <c r="D80" s="239"/>
      <c r="E80" s="155"/>
      <c r="F80" s="153"/>
      <c r="G80" s="156"/>
      <c r="H80" s="157"/>
      <c r="I80" s="244"/>
      <c r="J80" s="193"/>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s="52"/>
      <c r="AAA80" s="192"/>
      <c r="AAD80" s="90"/>
      <c r="AAE80" s="519">
        <v>1</v>
      </c>
      <c r="AAF80" s="190" t="s">
        <v>52</v>
      </c>
      <c r="AAG80" s="71"/>
      <c r="AAH80" s="71"/>
      <c r="AAI80" s="71"/>
      <c r="AAJ80" s="55"/>
      <c r="AAK80" s="39"/>
      <c r="AAL80" s="90"/>
      <c r="AAN80"/>
      <c r="AAO80"/>
      <c r="AAP80"/>
      <c r="AAQ80"/>
      <c r="AAR80"/>
      <c r="AAS80"/>
      <c r="AAT80"/>
      <c r="AAU80"/>
      <c r="AAV80"/>
      <c r="AAW80"/>
      <c r="AAX80"/>
      <c r="AAY80"/>
    </row>
    <row r="81" spans="1:727" s="23" customFormat="1" ht="15" customHeight="1" outlineLevel="1">
      <c r="A81" s="171"/>
      <c r="B81" s="618" t="s">
        <v>135</v>
      </c>
      <c r="C81" s="101" t="s">
        <v>0</v>
      </c>
      <c r="E81" s="155"/>
      <c r="F81" s="153"/>
      <c r="G81" s="156"/>
      <c r="H81" s="157"/>
      <c r="I81" s="244"/>
      <c r="J81" s="193"/>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s="52"/>
      <c r="AAA81" s="192"/>
      <c r="AAD81" s="90"/>
      <c r="AAE81" s="519">
        <f>IF(S.Notice.Involved="Y",1,0)</f>
        <v>1</v>
      </c>
      <c r="AAF81" s="190" t="s">
        <v>52</v>
      </c>
      <c r="AAG81" s="71"/>
      <c r="AAH81" s="71"/>
      <c r="AAI81" s="71"/>
      <c r="AAJ81" s="55"/>
      <c r="AAK81" s="39"/>
      <c r="AAL81" s="90"/>
      <c r="AAN81"/>
      <c r="AAO81"/>
      <c r="AAP81"/>
      <c r="AAQ81"/>
      <c r="AAR81"/>
      <c r="AAS81"/>
      <c r="AAT81"/>
      <c r="AAU81"/>
      <c r="AAV81"/>
      <c r="AAW81"/>
      <c r="AAX81"/>
      <c r="AAY81"/>
    </row>
    <row r="82" spans="1:727" s="23" customFormat="1" ht="15" customHeight="1" outlineLevel="1">
      <c r="A82" s="171"/>
      <c r="B82" s="618" t="s">
        <v>136</v>
      </c>
      <c r="C82" s="102"/>
      <c r="E82" s="153"/>
      <c r="F82" s="153"/>
      <c r="G82" s="152"/>
      <c r="H82" s="152"/>
      <c r="I82" s="244"/>
      <c r="J82" s="193"/>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s="52"/>
      <c r="AAA82" s="192"/>
      <c r="AAD82" s="90"/>
      <c r="AAE82" s="519">
        <v>1</v>
      </c>
      <c r="AAF82" s="190" t="s">
        <v>52</v>
      </c>
      <c r="AAG82" s="71"/>
      <c r="AAH82" s="71"/>
      <c r="AAI82" s="71"/>
      <c r="AAJ82" s="55"/>
      <c r="AAK82" s="39"/>
      <c r="AAL82" s="90"/>
      <c r="AAN82"/>
      <c r="AAO82"/>
      <c r="AAP82"/>
      <c r="AAQ82"/>
      <c r="AAR82"/>
      <c r="AAS82"/>
      <c r="AAT82"/>
      <c r="AAU82"/>
      <c r="AAV82"/>
      <c r="AAW82"/>
      <c r="AAX82"/>
      <c r="AAY82"/>
    </row>
    <row r="83" spans="1:727" s="23" customFormat="1" ht="15" customHeight="1" outlineLevel="1">
      <c r="A83" s="171"/>
      <c r="B83" s="618" t="s">
        <v>137</v>
      </c>
      <c r="C83" s="102"/>
      <c r="E83" s="499"/>
      <c r="F83" s="153"/>
      <c r="G83" s="501"/>
      <c r="H83" s="500"/>
      <c r="I83" s="244"/>
      <c r="J83" s="193"/>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s="52"/>
      <c r="AAA83" s="192"/>
      <c r="AAD83" s="90"/>
      <c r="AAE83" s="519">
        <f>IF(S.Notice.Involved="Y",1,0)</f>
        <v>1</v>
      </c>
      <c r="AAF83" s="190" t="s">
        <v>52</v>
      </c>
      <c r="AAG83" s="71"/>
      <c r="AAH83" s="71"/>
      <c r="AAI83" s="71"/>
      <c r="AAJ83" s="55"/>
      <c r="AAK83" s="39"/>
      <c r="AAL83" s="90"/>
      <c r="AAN83"/>
      <c r="AAO83"/>
      <c r="AAP83"/>
      <c r="AAQ83"/>
      <c r="AAR83"/>
      <c r="AAS83"/>
      <c r="AAT83"/>
      <c r="AAU83"/>
      <c r="AAV83"/>
      <c r="AAW83"/>
      <c r="AAX83"/>
      <c r="AAY83"/>
    </row>
    <row r="84" spans="1:727" s="23" customFormat="1" ht="15" customHeight="1" outlineLevel="1">
      <c r="A84" s="171"/>
      <c r="B84" s="618" t="s">
        <v>138</v>
      </c>
      <c r="C84" s="110"/>
      <c r="E84" s="499"/>
      <c r="F84" s="161"/>
      <c r="G84" s="157"/>
      <c r="H84" s="157"/>
      <c r="I84" s="244"/>
      <c r="J84" s="193"/>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s="52"/>
      <c r="AAA84" s="192"/>
      <c r="AAD84" s="90"/>
      <c r="AAE84" s="519">
        <f>IF(S.Fee.Involved="Y",1,0)</f>
        <v>0</v>
      </c>
      <c r="AAF84" s="190" t="s">
        <v>52</v>
      </c>
      <c r="AAG84" s="71" t="s">
        <v>0</v>
      </c>
      <c r="AAH84" s="71"/>
      <c r="AAI84" s="71"/>
      <c r="AAJ84" s="55"/>
      <c r="AAK84" s="39"/>
      <c r="AAL84" s="90"/>
      <c r="AAN84"/>
      <c r="AAO84"/>
      <c r="AAP84"/>
      <c r="AAQ84"/>
      <c r="AAR84"/>
      <c r="AAS84"/>
      <c r="AAT84"/>
      <c r="AAU84"/>
      <c r="AAV84"/>
      <c r="AAW84"/>
      <c r="AAX84"/>
      <c r="AAY84"/>
    </row>
    <row r="85" spans="1:727" s="23" customFormat="1" ht="15" customHeight="1" outlineLevel="1">
      <c r="A85" s="171"/>
      <c r="B85" s="618" t="str">
        <f>AAK85</f>
        <v>- STAFF.RPT.Permanent  (blank in folder 6)</v>
      </c>
      <c r="C85" s="110"/>
      <c r="E85" s="499"/>
      <c r="F85" s="161"/>
      <c r="G85" s="157"/>
      <c r="H85" s="157"/>
      <c r="I85" s="244"/>
      <c r="J85" s="193"/>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s="52"/>
      <c r="AAA85" s="192"/>
      <c r="AAD85" s="90"/>
      <c r="AAE85" s="519">
        <v>1</v>
      </c>
      <c r="AAF85" s="190" t="s">
        <v>52</v>
      </c>
      <c r="AAG85" s="71"/>
      <c r="AAH85" s="71"/>
      <c r="AAI85" s="71"/>
      <c r="AAJ85" s="55"/>
      <c r="AAK85" s="92" t="str">
        <f>IF(S.General.RuleType="P","- STAFF.RPT.Permanent  (blank in folder 6)","- STAFF.RPT.Temporary (blank in folder 6)")</f>
        <v>- STAFF.RPT.Permanent  (blank in folder 6)</v>
      </c>
      <c r="AAL85" s="90"/>
    </row>
    <row r="86" spans="1:727" ht="15.75" customHeight="1" outlineLevel="1">
      <c r="A86" s="171"/>
      <c r="B86" s="361" t="str">
        <f>AAK86</f>
        <v>AndreaRW coordinates team work &amp; agreement with initial drafts of:</v>
      </c>
      <c r="C86" s="102"/>
      <c r="D86" s="23"/>
      <c r="E86" s="499"/>
      <c r="F86" s="161"/>
      <c r="G86" s="502"/>
      <c r="H86" s="157"/>
      <c r="I86" s="244"/>
      <c r="J86" s="196"/>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AAA86" s="192"/>
      <c r="AAD86" s="90"/>
      <c r="AAE86" s="519">
        <v>1</v>
      </c>
      <c r="AAF86" s="190" t="s">
        <v>52</v>
      </c>
      <c r="AAG86" s="71"/>
      <c r="AAH86" s="71"/>
      <c r="AAI86" s="72"/>
      <c r="AAJ86" s="55"/>
      <c r="AAK86" s="92" t="str">
        <f>S.Staff.Lead&amp;" coordinates team work &amp; agreement with initial drafts of:"</f>
        <v>AndreaRW coordinates team work &amp; agreement with initial drafts of:</v>
      </c>
      <c r="AAL86" s="90"/>
      <c r="AAM86"/>
    </row>
    <row r="87" spans="1:727" ht="15.75" customHeight="1" outlineLevel="1">
      <c r="A87" s="171"/>
      <c r="B87" s="286" t="s">
        <v>131</v>
      </c>
      <c r="C87" s="271" t="s">
        <v>0</v>
      </c>
      <c r="D87" s="270"/>
      <c r="E87" s="263">
        <f t="shared" ref="E87:E90" si="23">NETWORKDAYS(G87,H87,S.DDL_DEQClosed)</f>
        <v>1</v>
      </c>
      <c r="F87" s="457">
        <f ca="1">IF(YEAR(H87)&gt;2000,NETWORKDAYS(TODAY(),H87,S.DDL_DEQClosed),0)</f>
        <v>-2</v>
      </c>
      <c r="G87" s="264">
        <f>AAG87</f>
        <v>41572</v>
      </c>
      <c r="H87" s="264">
        <f t="shared" ref="H87:H90" si="24">AAH87</f>
        <v>41572</v>
      </c>
      <c r="I87" s="244"/>
      <c r="J87" s="196"/>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AAA87" s="192"/>
      <c r="AAD87" s="90"/>
      <c r="AAE87" s="519">
        <v>1</v>
      </c>
      <c r="AAF87" s="90" t="s">
        <v>0</v>
      </c>
      <c r="AAG87" s="73">
        <f>H70</f>
        <v>41572</v>
      </c>
      <c r="AAH87" s="73">
        <f t="shared" ref="AAH87:AAH89" si="25">G87</f>
        <v>41572</v>
      </c>
      <c r="AAI87" s="72"/>
      <c r="AAJ87" s="55"/>
      <c r="AAK87" s="39"/>
      <c r="AAL87" s="90"/>
      <c r="AAM87"/>
    </row>
    <row r="88" spans="1:727" s="23" customFormat="1" ht="15.75" customHeight="1" outlineLevel="1">
      <c r="A88" s="171"/>
      <c r="B88" s="286" t="s">
        <v>132</v>
      </c>
      <c r="C88" s="271" t="s">
        <v>0</v>
      </c>
      <c r="D88" s="270"/>
      <c r="E88" s="263">
        <f t="shared" ref="E88" si="26">NETWORKDAYS(G88,H88,S.DDL_DEQClosed)</f>
        <v>1</v>
      </c>
      <c r="F88" s="457">
        <f ca="1">IF(YEAR(H88)&gt;2000,NETWORKDAYS(TODAY(),H88,S.DDL_DEQClosed),0)</f>
        <v>-2</v>
      </c>
      <c r="G88" s="264">
        <f t="shared" ref="G88:G89" si="27">AAG88</f>
        <v>41572</v>
      </c>
      <c r="H88" s="264">
        <f t="shared" si="24"/>
        <v>41572</v>
      </c>
      <c r="I88" s="244"/>
      <c r="J88" s="196"/>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s="52"/>
      <c r="AAA88" s="192"/>
      <c r="AAD88" s="90"/>
      <c r="AAE88" s="519">
        <v>1</v>
      </c>
      <c r="AAF88" s="90" t="s">
        <v>0</v>
      </c>
      <c r="AAG88" s="73">
        <f>H70</f>
        <v>41572</v>
      </c>
      <c r="AAH88" s="73">
        <f t="shared" si="25"/>
        <v>41572</v>
      </c>
      <c r="AAI88" s="72"/>
      <c r="AAJ88" s="55"/>
      <c r="AAK88" s="39"/>
      <c r="AAL88" s="90"/>
    </row>
    <row r="89" spans="1:727" ht="15.75" customHeight="1" outlineLevel="1">
      <c r="A89" s="171"/>
      <c r="B89" s="440" t="s">
        <v>142</v>
      </c>
      <c r="C89" s="271" t="s">
        <v>0</v>
      </c>
      <c r="D89" s="270"/>
      <c r="E89" s="263">
        <f t="shared" si="23"/>
        <v>1</v>
      </c>
      <c r="F89" s="457">
        <f ca="1">IF(YEAR(H89)&gt;2000,NETWORKDAYS(TODAY(),H89,S.DDL_DEQClosed),0)</f>
        <v>-2</v>
      </c>
      <c r="G89" s="264">
        <f t="shared" si="27"/>
        <v>41572</v>
      </c>
      <c r="H89" s="264">
        <f t="shared" si="24"/>
        <v>41572</v>
      </c>
      <c r="I89" s="244"/>
      <c r="J89" s="193"/>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AAA89" s="192"/>
      <c r="AAD89" s="90"/>
      <c r="AAE89" s="519">
        <v>1</v>
      </c>
      <c r="AAF89" s="90" t="s">
        <v>0</v>
      </c>
      <c r="AAG89" s="73">
        <f>H70</f>
        <v>41572</v>
      </c>
      <c r="AAH89" s="73">
        <f t="shared" si="25"/>
        <v>41572</v>
      </c>
      <c r="AAI89" s="72"/>
      <c r="AAJ89" s="55"/>
      <c r="AAK89" s="39"/>
      <c r="AAL89" s="90"/>
      <c r="AAM89"/>
    </row>
    <row r="90" spans="1:727" s="23" customFormat="1" ht="15.75" customHeight="1" outlineLevel="1">
      <c r="A90" s="171"/>
      <c r="B90" s="486" t="str">
        <f>AAK90</f>
        <v>AndreaDRC &amp; Maggie develop DEQ Rulemaking Plan materials when team agrees</v>
      </c>
      <c r="C90" s="271" t="s">
        <v>0</v>
      </c>
      <c r="D90" s="270"/>
      <c r="E90" s="263">
        <f t="shared" si="23"/>
        <v>1</v>
      </c>
      <c r="F90" s="457">
        <f ca="1">IF(YEAR(H90)&gt;2000,NETWORKDAYS(TODAY(),H90,S.DDL_DEQClosed),0)</f>
        <v>-2</v>
      </c>
      <c r="G90" s="264">
        <f>AAG90</f>
        <v>41572</v>
      </c>
      <c r="H90" s="264">
        <f t="shared" si="24"/>
        <v>41572</v>
      </c>
      <c r="I90" s="244"/>
      <c r="J90" s="193"/>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s="52"/>
      <c r="AAA90" s="192"/>
      <c r="AAD90" s="90"/>
      <c r="AAE90" s="519">
        <v>1</v>
      </c>
      <c r="AAF90" s="90" t="s">
        <v>0</v>
      </c>
      <c r="AAG90" s="73">
        <f>MAX(H87:H89)</f>
        <v>41572</v>
      </c>
      <c r="AAH90" s="73">
        <f t="shared" ref="AAH90" si="28">G90</f>
        <v>41572</v>
      </c>
      <c r="AAI90" s="72"/>
      <c r="AAJ90" s="55"/>
      <c r="AAK90" s="92" t="str">
        <f>S.Staff.DivisionRulesCoordinator&amp;" &amp; "&amp;S.Staff.AgencyRulesCoordinator&amp;" develop DEQ Rulemaking Plan materials when team agrees"</f>
        <v>AndreaDRC &amp; Maggie develop DEQ Rulemaking Plan materials when team agrees</v>
      </c>
      <c r="AAL90" s="90"/>
    </row>
    <row r="91" spans="1:727" s="23" customFormat="1" ht="15.75" customHeight="1" outlineLevel="1">
      <c r="A91" s="171"/>
      <c r="B91" s="486" t="str">
        <f>AAK91</f>
        <v>MargaretMGR briefs managers</v>
      </c>
      <c r="C91" s="271" t="s">
        <v>0</v>
      </c>
      <c r="D91" s="270"/>
      <c r="E91" s="263">
        <f t="shared" ref="E91" si="29">NETWORKDAYS(G91,H91,S.DDL_DEQClosed)</f>
        <v>1</v>
      </c>
      <c r="F91" s="457">
        <f ca="1">IF(YEAR(H91)&gt;2000,NETWORKDAYS(TODAY(),H91,S.DDL_DEQClosed),0)</f>
        <v>-2</v>
      </c>
      <c r="G91" s="264">
        <f>AAG91</f>
        <v>41572</v>
      </c>
      <c r="H91" s="264">
        <f t="shared" ref="H91" si="30">AAH91</f>
        <v>41572</v>
      </c>
      <c r="I91" s="244"/>
      <c r="J91" s="193"/>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s="52"/>
      <c r="AAA91" s="192"/>
      <c r="AAD91" s="90"/>
      <c r="AAE91" s="519">
        <v>1</v>
      </c>
      <c r="AAF91" s="90" t="s">
        <v>0</v>
      </c>
      <c r="AAG91" s="73">
        <f>H90</f>
        <v>41572</v>
      </c>
      <c r="AAH91" s="73">
        <f t="shared" ref="AAH91" si="31">G91</f>
        <v>41572</v>
      </c>
      <c r="AAI91" s="72"/>
      <c r="AAJ91" s="55"/>
      <c r="AAK91" s="92" t="str">
        <f>S.Staff.Mgr&amp;" briefs managers"</f>
        <v>MargaretMGR briefs managers</v>
      </c>
      <c r="AAL91" s="90"/>
    </row>
    <row r="92" spans="1:727" s="23" customFormat="1" ht="15.75" customHeight="1" outlineLevel="1">
      <c r="A92" s="171"/>
      <c r="B92" s="485" t="str">
        <f>AAK92</f>
        <v>Managers = Andy and program managers</v>
      </c>
      <c r="C92" s="272"/>
      <c r="D92" s="265"/>
      <c r="E92" s="503"/>
      <c r="F92" s="504"/>
      <c r="G92" s="505"/>
      <c r="H92" s="506"/>
      <c r="I92" s="244"/>
      <c r="J92" s="193"/>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s="52"/>
      <c r="AAA92" s="192"/>
      <c r="AAD92" s="90"/>
      <c r="AAE92" s="519">
        <v>1</v>
      </c>
      <c r="AAF92" s="190" t="s">
        <v>52</v>
      </c>
      <c r="AAG92" s="71"/>
      <c r="AAH92" s="71"/>
      <c r="AAI92" s="72"/>
      <c r="AAJ92" s="55"/>
      <c r="AAK92" s="92" t="str">
        <f>"Managers = "&amp;S.Staff.DA&amp;" and program managers"</f>
        <v>Managers = Andy and program managers</v>
      </c>
      <c r="AAL92" s="90"/>
    </row>
    <row r="93" spans="1:727" s="23" customFormat="1" ht="15.75" customHeight="1" outlineLevel="1">
      <c r="A93" s="171"/>
      <c r="B93" s="486" t="s">
        <v>147</v>
      </c>
      <c r="C93" s="271" t="s">
        <v>0</v>
      </c>
      <c r="D93" s="270"/>
      <c r="E93" s="263">
        <f t="shared" ref="E93" si="32">NETWORKDAYS(G93,H93,S.DDL_DEQClosed)</f>
        <v>1</v>
      </c>
      <c r="F93" s="457">
        <f ca="1">IF(YEAR(H93)&gt;2000,NETWORKDAYS(TODAY(),H93,S.DDL_DEQClosed),0)</f>
        <v>-2</v>
      </c>
      <c r="G93" s="264">
        <f t="shared" ref="G93:G95" si="33">AAG93</f>
        <v>41572</v>
      </c>
      <c r="H93" s="264">
        <f t="shared" ref="H93" si="34">AAH93</f>
        <v>41572</v>
      </c>
      <c r="I93" s="244"/>
      <c r="J93" s="193"/>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s="52"/>
      <c r="AAA93" s="192" t="s">
        <v>0</v>
      </c>
      <c r="AAD93" s="90"/>
      <c r="AAE93" s="519">
        <v>1</v>
      </c>
      <c r="AAF93" s="90" t="s">
        <v>0</v>
      </c>
      <c r="AAG93" s="73">
        <f>G91</f>
        <v>41572</v>
      </c>
      <c r="AAH93" s="73">
        <f t="shared" ref="AAH93" si="35">G93</f>
        <v>41572</v>
      </c>
      <c r="AAI93" s="72"/>
      <c r="AAJ93" s="55"/>
      <c r="AAK93" s="60"/>
      <c r="AAL93" s="90"/>
    </row>
    <row r="94" spans="1:727" s="23" customFormat="1" ht="15" customHeight="1" outlineLevel="1">
      <c r="A94" s="171"/>
      <c r="B94" s="361" t="str">
        <f>AAK94</f>
        <v>Andy:</v>
      </c>
      <c r="C94" s="271" t="s">
        <v>0</v>
      </c>
      <c r="D94" s="274"/>
      <c r="E94" s="497"/>
      <c r="F94" s="497"/>
      <c r="G94" s="497"/>
      <c r="H94" s="497"/>
      <c r="I94" s="244"/>
      <c r="J94" s="196"/>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s="52"/>
      <c r="AAA94" s="192"/>
      <c r="AAD94" s="90"/>
      <c r="AAE94" s="519">
        <v>1</v>
      </c>
      <c r="AAF94" s="190" t="s">
        <v>52</v>
      </c>
      <c r="AAG94" s="60"/>
      <c r="AAH94" s="60"/>
      <c r="AAI94" s="72"/>
      <c r="AAJ94" s="55"/>
      <c r="AAK94" s="76" t="str">
        <f>S.Staff.DA&amp;":"</f>
        <v>Andy:</v>
      </c>
      <c r="AAL94" s="90"/>
    </row>
    <row r="95" spans="1:727" s="23" customFormat="1" ht="15.75" customHeight="1" outlineLevel="1">
      <c r="A95" s="171"/>
      <c r="B95" s="439" t="s">
        <v>306</v>
      </c>
      <c r="C95" s="271" t="s">
        <v>0</v>
      </c>
      <c r="D95" s="270"/>
      <c r="E95" s="820">
        <f t="shared" ref="E95" si="36">NETWORKDAYS(G95,H95,S.DDL_DEQClosed)</f>
        <v>4</v>
      </c>
      <c r="F95" s="736">
        <f ca="1">IF(YEAR(H95)&gt;2000,NETWORKDAYS(TODAY(),H95,S.DDL_DEQClosed),0)</f>
        <v>3</v>
      </c>
      <c r="G95" s="821">
        <f t="shared" si="33"/>
        <v>41572</v>
      </c>
      <c r="H95" s="821">
        <f t="shared" ref="H95:H97" si="37">AAH95</f>
        <v>41577</v>
      </c>
      <c r="I95" s="244"/>
      <c r="J95" s="193"/>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s="52"/>
      <c r="AAA95" s="192"/>
      <c r="AAD95" s="90"/>
      <c r="AAE95" s="519">
        <v>1</v>
      </c>
      <c r="AAF95" s="90" t="s">
        <v>0</v>
      </c>
      <c r="AAG95" s="73">
        <f>G93</f>
        <v>41572</v>
      </c>
      <c r="AAH95" s="73">
        <f>WORKDAY(G$95+4,1,S.DDL_DEQClosed)</f>
        <v>41577</v>
      </c>
      <c r="AAI95" s="72"/>
      <c r="AAJ95" s="55"/>
      <c r="AAK95" s="92" t="s">
        <v>244</v>
      </c>
      <c r="AAL95" s="90"/>
    </row>
    <row r="96" spans="1:727" s="23" customFormat="1" ht="15.75" customHeight="1" outlineLevel="1">
      <c r="A96" s="171"/>
      <c r="B96" s="439" t="s">
        <v>245</v>
      </c>
      <c r="C96" s="262" t="s">
        <v>0</v>
      </c>
      <c r="D96" s="261"/>
      <c r="F96" s="457">
        <f ca="1">IF(YEAR(H96)&gt;2000,NETWORKDAYS(TODAY(),H96,S.DDL_DEQClosed),0)</f>
        <v>3</v>
      </c>
      <c r="H96" s="264">
        <f t="shared" si="37"/>
        <v>41577</v>
      </c>
      <c r="I96" s="244"/>
      <c r="J96" s="193"/>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s="52"/>
      <c r="AAA96" s="192" t="s">
        <v>0</v>
      </c>
      <c r="AAD96" s="90"/>
      <c r="AAE96" s="519">
        <v>1</v>
      </c>
      <c r="AAF96" s="90" t="s">
        <v>0</v>
      </c>
      <c r="AAG96" s="60"/>
      <c r="AAH96" s="73">
        <f>WORKDAY(G$95+4,1,S.DDL_DEQClosed)</f>
        <v>41577</v>
      </c>
      <c r="AAI96" s="72"/>
      <c r="AAJ96" s="55"/>
      <c r="AAK96" s="60" t="s">
        <v>0</v>
      </c>
      <c r="AAL96" s="90"/>
    </row>
    <row r="97" spans="1:715" s="23" customFormat="1" ht="15.75" customHeight="1" outlineLevel="1">
      <c r="A97" s="171"/>
      <c r="B97" s="439" t="str">
        <f>AAK97</f>
        <v>* emails approval to AndreaRW, MargaretMGR, AndreaDRC &amp; Maggie</v>
      </c>
      <c r="C97" s="262" t="s">
        <v>0</v>
      </c>
      <c r="D97" s="261"/>
      <c r="E97"/>
      <c r="F97" s="457">
        <f ca="1">IF(YEAR(H97)&gt;2000,NETWORKDAYS(TODAY(),H97,S.DDL_DEQClosed),0)</f>
        <v>3</v>
      </c>
      <c r="G97"/>
      <c r="H97" s="264">
        <f t="shared" si="37"/>
        <v>41577</v>
      </c>
      <c r="I97" s="244"/>
      <c r="J97" s="193"/>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s="52"/>
      <c r="AAA97" s="192" t="s">
        <v>0</v>
      </c>
      <c r="AAD97" s="90"/>
      <c r="AAE97" s="519">
        <v>1</v>
      </c>
      <c r="AAF97" s="90" t="s">
        <v>0</v>
      </c>
      <c r="AAG97" s="60"/>
      <c r="AAH97" s="73">
        <f>WORKDAY(G$95+4,1,S.DDL_DEQClosed)</f>
        <v>41577</v>
      </c>
      <c r="AAI97" s="72"/>
      <c r="AAJ97" s="55"/>
      <c r="AAK97" s="92" t="str">
        <f>"* emails approval to "&amp;S.Staff.Lead&amp;", "&amp;S.Staff.Mgr&amp;", "&amp;S.Staff.DivisionRulesCoordinator&amp;" &amp; "&amp;S.Staff.AgencyRulesCoordinator</f>
        <v>* emails approval to AndreaRW, MargaretMGR, AndreaDRC &amp; Maggie</v>
      </c>
      <c r="AAL97" s="90"/>
    </row>
    <row r="98" spans="1:715" s="23" customFormat="1" ht="15" customHeight="1" outlineLevel="1">
      <c r="A98" s="171"/>
      <c r="B98" s="361" t="str">
        <f>AAK98</f>
        <v>AndreaRW:</v>
      </c>
      <c r="C98" s="271" t="s">
        <v>0</v>
      </c>
      <c r="D98" s="274"/>
      <c r="E98" s="497"/>
      <c r="F98" s="497"/>
      <c r="G98" s="497"/>
      <c r="H98" s="497"/>
      <c r="I98" s="244"/>
      <c r="J98" s="196"/>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s="52"/>
      <c r="AAA98" s="192"/>
      <c r="AAD98" s="90"/>
      <c r="AAE98" s="519">
        <v>1</v>
      </c>
      <c r="AAF98" s="190" t="s">
        <v>52</v>
      </c>
      <c r="AAG98" s="60"/>
      <c r="AAH98" s="60"/>
      <c r="AAI98" s="72"/>
      <c r="AAJ98" s="55"/>
      <c r="AAK98" s="76" t="str">
        <f>S.Staff.Lead&amp;":"</f>
        <v>AndreaRW:</v>
      </c>
      <c r="AAL98" s="90"/>
    </row>
    <row r="99" spans="1:715" s="23" customFormat="1" ht="15.75" customHeight="1" outlineLevel="1" thickBot="1">
      <c r="A99" s="171"/>
      <c r="B99" s="363" t="str">
        <f t="shared" ref="B99" si="38">AAK99</f>
        <v>* saves email as Rule_Development | 1-Planning | DA.APPROVAL.pdf</v>
      </c>
      <c r="C99" s="790" t="str">
        <f>HYPERLINK("\\deqhq1\Rule_Development\Currrent Plan","i")</f>
        <v>i</v>
      </c>
      <c r="D99" s="261"/>
      <c r="E99"/>
      <c r="F99" s="457">
        <f ca="1">IF(YEAR(H99)&gt;2000,NETWORKDAYS(TODAY(),H99,S.DDL_DEQClosed),0)</f>
        <v>3</v>
      </c>
      <c r="G99"/>
      <c r="H99" s="264">
        <f>AAH99</f>
        <v>41577</v>
      </c>
      <c r="I99" s="244"/>
      <c r="J99" s="193"/>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s="52"/>
      <c r="AAA99" s="192"/>
      <c r="AAD99" s="90"/>
      <c r="AAE99" s="519">
        <f t="shared" ref="AAE99" si="39">IF(S.Planning.DecisionToAddToPlan="A",1,0)</f>
        <v>1</v>
      </c>
      <c r="AAF99" s="90"/>
      <c r="AAG99" s="71"/>
      <c r="AAH99" s="73">
        <f>S.Planning.AddConcepToPlanDate</f>
        <v>41577</v>
      </c>
      <c r="AAI99" s="72"/>
      <c r="AAJ99" s="75"/>
      <c r="AAK99" s="92" t="str">
        <f>"* saves email as Rule_Development | 1-Planning | DA.APPROVAL.pdf"</f>
        <v>* saves email as Rule_Development | 1-Planning | DA.APPROVAL.pdf</v>
      </c>
      <c r="AAL99" s="90"/>
    </row>
    <row r="100" spans="1:715" s="23" customFormat="1" ht="15.75" customHeight="1" outlineLevel="1" thickBot="1">
      <c r="A100" s="171"/>
      <c r="B100" s="413" t="str">
        <f>AAK100</f>
        <v>* selects 'A' if apprroved, 'P' if postponed, 'R' if rejected</v>
      </c>
      <c r="C100" s="273" t="s">
        <v>146</v>
      </c>
      <c r="E100" s="267"/>
      <c r="F100" s="267"/>
      <c r="G100" s="269" t="s">
        <v>0</v>
      </c>
      <c r="H100" s="269"/>
      <c r="I100" s="244"/>
      <c r="J100" s="193"/>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s="52"/>
      <c r="AAA100" s="192"/>
      <c r="AAD100" s="90"/>
      <c r="AAE100" s="519">
        <v>1</v>
      </c>
      <c r="AAF100" s="190" t="s">
        <v>52</v>
      </c>
      <c r="AAG100" s="71"/>
      <c r="AAH100" s="71"/>
      <c r="AAI100" s="72"/>
      <c r="AAJ100" s="55"/>
      <c r="AAK100" s="543" t="str">
        <f>"* selects 'A' if apprroved, 'P' if postponed, 'R' if rejected"</f>
        <v>* selects 'A' if apprroved, 'P' if postponed, 'R' if rejected</v>
      </c>
      <c r="AAL100" s="90"/>
    </row>
    <row r="101" spans="1:715" ht="15.75" customHeight="1" outlineLevel="1">
      <c r="A101" s="171"/>
      <c r="B101" s="740" t="s">
        <v>467</v>
      </c>
      <c r="C101" s="104"/>
      <c r="D101" s="158"/>
      <c r="E101" s="103"/>
      <c r="F101" s="103"/>
      <c r="G101" s="104" t="s">
        <v>0</v>
      </c>
      <c r="H101" s="104"/>
      <c r="I101" s="244"/>
      <c r="J101" s="193"/>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AAA101" s="192"/>
      <c r="AAD101" s="90"/>
      <c r="AAE101" s="519">
        <v>1</v>
      </c>
      <c r="AAF101" s="190" t="s">
        <v>52</v>
      </c>
      <c r="AAG101" s="71"/>
      <c r="AAH101" s="71"/>
      <c r="AAI101" s="72"/>
      <c r="AAJ101" s="55"/>
      <c r="AAK101" s="60" t="s">
        <v>0</v>
      </c>
      <c r="AAL101" s="90"/>
      <c r="AAM101"/>
    </row>
    <row r="102" spans="1:715" s="23" customFormat="1" ht="15.75" customHeight="1" outlineLevel="1">
      <c r="A102" s="171"/>
      <c r="B102" s="427" t="str">
        <f t="shared" ref="B102:B107" si="40">AAK102</f>
        <v xml:space="preserve">AndreaRW drafts EMAIL.AddToPlan </v>
      </c>
      <c r="C102" s="789" t="str">
        <f>HYPERLINK("\\deqhq1\Rule_Resources\i\EMAIL.AddToPlan.docx","I")</f>
        <v>I</v>
      </c>
      <c r="D102" s="261"/>
      <c r="E102" s="817">
        <f t="shared" ref="E102" si="41">NETWORKDAYS(G102,H102,S.DDL_DEQClosed)</f>
        <v>1</v>
      </c>
      <c r="F102" s="457">
        <f ca="1">IF(YEAR(H102)&gt;2000,NETWORKDAYS(TODAY(),H102,S.DDL_DEQClosed),0)</f>
        <v>3</v>
      </c>
      <c r="G102" s="818">
        <f t="shared" ref="G102" si="42">AAG102</f>
        <v>41577</v>
      </c>
      <c r="H102" s="819">
        <f t="shared" ref="H102" si="43">AAH102</f>
        <v>41577</v>
      </c>
      <c r="I102" s="244"/>
      <c r="J102" s="193"/>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s="52"/>
      <c r="AAA102" s="192" t="s">
        <v>0</v>
      </c>
      <c r="AAD102" s="90"/>
      <c r="AAE102" s="519">
        <f t="shared" ref="AAE102:AAE164" si="44">IF(S.Planning.DecisionToAddToPlan="A",1,0)</f>
        <v>1</v>
      </c>
      <c r="AAF102" s="90" t="s">
        <v>0</v>
      </c>
      <c r="AAG102" s="73">
        <f>S.Planning.AddConcepToPlanDate</f>
        <v>41577</v>
      </c>
      <c r="AAH102" s="73">
        <f t="shared" ref="AAH102" si="45">G102</f>
        <v>41577</v>
      </c>
      <c r="AAI102" s="72"/>
      <c r="AAJ102" s="55"/>
      <c r="AAK102" s="92" t="str">
        <f>IF(S.Planning.DecisionToAddToPlan="A",S.Staff.Lead&amp;" drafts EMAIL.AddToPlan ",S.Staff.AgencyRulesCoordinator&amp;" archives SP/Rule_Develpoment sub sites to Rule_Archive")</f>
        <v xml:space="preserve">AndreaRW drafts EMAIL.AddToPlan </v>
      </c>
      <c r="AAL102" s="90"/>
    </row>
    <row r="103" spans="1:715" s="23" customFormat="1" ht="15.75" customHeight="1" outlineLevel="1">
      <c r="A103" s="171"/>
      <c r="B103" s="633" t="str">
        <f>AAK103</f>
        <v xml:space="preserve"> for Andy to send:</v>
      </c>
      <c r="C103" s="272"/>
      <c r="D103" s="265"/>
      <c r="E103" s="266"/>
      <c r="F103" s="267"/>
      <c r="G103" s="268"/>
      <c r="H103" s="269"/>
      <c r="I103" s="244"/>
      <c r="J103" s="193"/>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s="52"/>
      <c r="AAA103" s="192" t="s">
        <v>0</v>
      </c>
      <c r="AAD103" s="90"/>
      <c r="AAE103" s="519">
        <f t="shared" si="44"/>
        <v>1</v>
      </c>
      <c r="AAF103" s="190" t="s">
        <v>52</v>
      </c>
      <c r="AAG103" s="71"/>
      <c r="AAH103" s="71"/>
      <c r="AAI103" s="72"/>
      <c r="AAJ103" s="55"/>
      <c r="AAK103" s="92" t="str">
        <f>" for "&amp;S.Staff.DA&amp;" to send:"</f>
        <v xml:space="preserve"> for Andy to send:</v>
      </c>
      <c r="AAL103" s="90"/>
    </row>
    <row r="104" spans="1:715" s="23" customFormat="1" ht="15.75" customHeight="1" outlineLevel="1">
      <c r="A104" s="171"/>
      <c r="B104" s="728" t="str">
        <f>AAK104</f>
        <v>To: EMTdescribing addition to DEQ Rulemaking Plan</v>
      </c>
      <c r="C104" s="272"/>
      <c r="D104" s="265"/>
      <c r="E104" s="266"/>
      <c r="F104" s="267"/>
      <c r="G104" s="268"/>
      <c r="H104" s="269"/>
      <c r="I104" s="244"/>
      <c r="J104" s="193"/>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s="52"/>
      <c r="AAA104" s="192" t="s">
        <v>0</v>
      </c>
      <c r="AAD104" s="90"/>
      <c r="AAE104" s="519">
        <f t="shared" si="44"/>
        <v>1</v>
      </c>
      <c r="AAF104" s="190" t="s">
        <v>52</v>
      </c>
      <c r="AAG104" s="71"/>
      <c r="AAH104" s="71"/>
      <c r="AAI104" s="72"/>
      <c r="AAJ104" s="55"/>
      <c r="AAK104" s="92" t="str">
        <f>IF(C100="A","To: EMTdescribing addition to DEQ Rulemaking Plan",S.Staff.AgencyRulesCoordinator&amp;" closes SharePoint sub site")</f>
        <v>To: EMTdescribing addition to DEQ Rulemaking Plan</v>
      </c>
      <c r="AAL104" s="90"/>
    </row>
    <row r="105" spans="1:715" s="23" customFormat="1" ht="15.75" customHeight="1" outlineLevel="1">
      <c r="A105" s="171"/>
      <c r="B105" s="728" t="str">
        <f>AAK105</f>
        <v xml:space="preserve">To: Stephanie to include in monthly Director's Report </v>
      </c>
      <c r="C105" s="272"/>
      <c r="D105" s="265"/>
      <c r="E105" s="266"/>
      <c r="F105" s="267"/>
      <c r="G105" s="268"/>
      <c r="H105" s="269"/>
      <c r="I105" s="244"/>
      <c r="J105" s="193"/>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s="52"/>
      <c r="AAA105" s="192" t="s">
        <v>0</v>
      </c>
      <c r="AAD105" s="90"/>
      <c r="AAE105" s="519">
        <f t="shared" si="44"/>
        <v>1</v>
      </c>
      <c r="AAF105" s="190" t="s">
        <v>52</v>
      </c>
      <c r="AAG105" s="71"/>
      <c r="AAH105" s="71"/>
      <c r="AAI105" s="72"/>
      <c r="AAJ105" s="55"/>
      <c r="AAK105" s="92" t="str">
        <f>IF(C100="A","To: "&amp;S.Staff.EQCAssistant&amp;" to include in monthly Director's Report ",S.Staff.AgencyRulesCoordinator&amp;" closes SharePoint sub site")</f>
        <v xml:space="preserve">To: Stephanie to include in monthly Director's Report </v>
      </c>
      <c r="AAL105" s="90"/>
    </row>
    <row r="106" spans="1:715" s="23" customFormat="1" ht="15.75" customHeight="1" outlineLevel="1">
      <c r="A106" s="171"/>
      <c r="B106" s="729" t="str">
        <f t="shared" si="40"/>
        <v>Dick asks EQC how they want to be involved with rulemaking</v>
      </c>
      <c r="C106" s="262"/>
      <c r="D106"/>
      <c r="E106"/>
      <c r="F106"/>
      <c r="G106"/>
      <c r="H106"/>
      <c r="I106" s="244"/>
      <c r="J106" s="193"/>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s="52"/>
      <c r="AAA106" s="192" t="s">
        <v>0</v>
      </c>
      <c r="AAD106" s="90"/>
      <c r="AAE106" s="519">
        <f t="shared" si="44"/>
        <v>1</v>
      </c>
      <c r="AAF106" s="190" t="s">
        <v>353</v>
      </c>
      <c r="AAG106" s="71"/>
      <c r="AAH106" s="71"/>
      <c r="AAI106" s="72"/>
      <c r="AAJ106" s="55"/>
      <c r="AAK106" s="92" t="str">
        <f>IF(C100="A",S.Staff.Director&amp;" asks EQC how they want to be involved with rulemaking","STOP WORK")</f>
        <v>Dick asks EQC how they want to be involved with rulemaking</v>
      </c>
      <c r="AAL106" s="90"/>
    </row>
    <row r="107" spans="1:715" s="23" customFormat="1" ht="15.75" customHeight="1" outlineLevel="1">
      <c r="A107" s="171" t="s">
        <v>0</v>
      </c>
      <c r="B107" s="729" t="str">
        <f t="shared" si="40"/>
        <v>Stephanie informs team about EQC involvement by email</v>
      </c>
      <c r="C107" s="262"/>
      <c r="D107"/>
      <c r="E107"/>
      <c r="F107"/>
      <c r="G107"/>
      <c r="H107"/>
      <c r="I107" s="244"/>
      <c r="J107" s="193"/>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s="52"/>
      <c r="AAA107" s="192" t="s">
        <v>0</v>
      </c>
      <c r="AAD107" s="90"/>
      <c r="AAE107" s="519">
        <f t="shared" si="44"/>
        <v>1</v>
      </c>
      <c r="AAF107" s="190" t="s">
        <v>52</v>
      </c>
      <c r="AAG107" s="71"/>
      <c r="AAH107" s="71"/>
      <c r="AAI107" s="72"/>
      <c r="AAJ107" s="55"/>
      <c r="AAK107" s="92" t="str">
        <f>S.Staff.EQCAssistant&amp;" informs team about EQC involvement by email"</f>
        <v>Stephanie informs team about EQC involvement by email</v>
      </c>
      <c r="AAL107" s="90"/>
    </row>
    <row r="108" spans="1:715" s="23" customFormat="1" ht="15.75" customHeight="1" outlineLevel="1">
      <c r="A108" s="171"/>
      <c r="B108" s="728" t="str">
        <f>AAK108</f>
        <v>Cc… MargaretMGR, AndreaRW, AndreaDRC, Maggie &amp; program managers</v>
      </c>
      <c r="C108" s="272"/>
      <c r="D108" s="265"/>
      <c r="E108" s="266"/>
      <c r="F108" s="267"/>
      <c r="G108" s="268"/>
      <c r="H108" s="269"/>
      <c r="I108" s="244"/>
      <c r="J108" s="193"/>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s="52"/>
      <c r="AAA108" s="192" t="s">
        <v>0</v>
      </c>
      <c r="AAD108" s="90"/>
      <c r="AAE108" s="519">
        <f t="shared" si="44"/>
        <v>1</v>
      </c>
      <c r="AAF108" s="190" t="s">
        <v>52</v>
      </c>
      <c r="AAG108" s="71"/>
      <c r="AAH108" s="71"/>
      <c r="AAI108" s="72"/>
      <c r="AAJ108" s="55"/>
      <c r="AAK108" s="80" t="str">
        <f>"Cc… "&amp;S.Staff.Mgr&amp;", "&amp;S.Staff.Lead&amp;", "&amp;S.Staff.DivisionRulesCoordinator&amp;", "&amp;S.Staff.AgencyRulesCoordinator&amp;" &amp; program managers"</f>
        <v>Cc… MargaretMGR, AndreaRW, AndreaDRC, Maggie &amp; program managers</v>
      </c>
      <c r="AAL108" s="90"/>
    </row>
    <row r="109" spans="1:715" s="23" customFormat="1" ht="15.75" customHeight="1" outlineLevel="1">
      <c r="A109" s="171"/>
      <c r="B109" s="657" t="s">
        <v>326</v>
      </c>
      <c r="C109" s="272"/>
      <c r="D109" s="265"/>
      <c r="E109" s="266"/>
      <c r="F109" s="267"/>
      <c r="G109" s="268"/>
      <c r="H109" s="269"/>
      <c r="I109" s="244"/>
      <c r="J109" s="193"/>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s="52"/>
      <c r="AAA109" s="192" t="s">
        <v>0</v>
      </c>
      <c r="AAD109" s="90"/>
      <c r="AAE109" s="519">
        <f t="shared" si="44"/>
        <v>1</v>
      </c>
      <c r="AAF109" s="190" t="s">
        <v>52</v>
      </c>
      <c r="AAG109" s="71"/>
      <c r="AAH109" s="71"/>
      <c r="AAI109" s="72"/>
      <c r="AAJ109" s="55"/>
      <c r="AAK109" s="60" t="s">
        <v>0</v>
      </c>
      <c r="AAL109" s="90"/>
    </row>
    <row r="110" spans="1:715" s="23" customFormat="1" ht="15.75" customHeight="1" outlineLevel="1" thickBot="1">
      <c r="A110" s="171"/>
      <c r="B110" s="784" t="s">
        <v>517</v>
      </c>
      <c r="C110" s="104"/>
      <c r="D110" s="158"/>
      <c r="E110" s="103"/>
      <c r="F110" s="103"/>
      <c r="G110" s="104" t="s">
        <v>0</v>
      </c>
      <c r="H110" s="104"/>
      <c r="I110" s="244"/>
      <c r="J110" s="193"/>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s="52"/>
      <c r="AAA110" s="192"/>
      <c r="AAD110" s="90"/>
      <c r="AAE110" s="519">
        <v>1</v>
      </c>
      <c r="AAF110" s="190" t="s">
        <v>52</v>
      </c>
      <c r="AAG110" s="71"/>
      <c r="AAH110" s="71"/>
      <c r="AAI110" s="72"/>
      <c r="AAJ110" s="55"/>
      <c r="AAK110" s="60" t="s">
        <v>0</v>
      </c>
      <c r="AAL110" s="90"/>
    </row>
    <row r="111" spans="1:715" s="23" customFormat="1" ht="15.75" customHeight="1" outlineLevel="1" thickBot="1">
      <c r="A111" s="171" t="s">
        <v>0</v>
      </c>
      <c r="B111" s="361" t="str">
        <f>AAK111</f>
        <v>MargaretMGR &amp; AndreaRW determine whether to expand team      'Y' to expand &gt;</v>
      </c>
      <c r="C111" s="273" t="s">
        <v>17</v>
      </c>
      <c r="D111" s="261"/>
      <c r="E111" s="263">
        <f>NETWORKDAYS(G111,H111,S.DDL_DEQClosed)</f>
        <v>1</v>
      </c>
      <c r="F111" s="457">
        <f ca="1">IF(YEAR(H111)&gt;2000,NETWORKDAYS(TODAY(),H111,S.DDL_DEQClosed),0)</f>
        <v>3</v>
      </c>
      <c r="G111" s="264">
        <f t="shared" ref="G111:G123" si="46">AAG111</f>
        <v>41577</v>
      </c>
      <c r="H111" s="264">
        <f t="shared" ref="H111" si="47">AAH111</f>
        <v>41577</v>
      </c>
      <c r="I111" s="244"/>
      <c r="J111" s="193"/>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s="52"/>
      <c r="AAA111" s="192" t="s">
        <v>0</v>
      </c>
      <c r="AAB111" s="23" t="s">
        <v>0</v>
      </c>
      <c r="AAD111" s="90"/>
      <c r="AAE111" s="519">
        <f t="shared" si="44"/>
        <v>1</v>
      </c>
      <c r="AAF111" s="90"/>
      <c r="AAG111" s="73">
        <f>S.Planning.AddConcepToPlanDate</f>
        <v>41577</v>
      </c>
      <c r="AAH111" s="73">
        <f>H102</f>
        <v>41577</v>
      </c>
      <c r="AAI111" s="72"/>
      <c r="AAJ111" s="75"/>
      <c r="AAK111" s="92" t="str">
        <f>S.Staff.Mgr&amp;" &amp; "&amp;S.Staff.Lead&amp;" determine whether to expand team      'Y' to expand &gt;"</f>
        <v>MargaretMGR &amp; AndreaRW determine whether to expand team      'Y' to expand &gt;</v>
      </c>
      <c r="AAL111" s="90"/>
    </row>
    <row r="112" spans="1:715" s="23" customFormat="1" ht="15.75" customHeight="1" outlineLevel="1">
      <c r="A112" s="171"/>
      <c r="B112" s="486" t="str">
        <f>AAK112</f>
        <v>MargaretMGR:</v>
      </c>
      <c r="C112" s="272"/>
      <c r="D112" s="265"/>
      <c r="E112" s="266"/>
      <c r="F112" s="267"/>
      <c r="G112" s="268"/>
      <c r="H112" s="269"/>
      <c r="I112" s="244"/>
      <c r="J112" s="193"/>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s="52"/>
      <c r="AAA112" s="192"/>
      <c r="AAD112" s="90"/>
      <c r="AAE112" s="519">
        <f t="shared" si="44"/>
        <v>1</v>
      </c>
      <c r="AAF112" s="190" t="s">
        <v>52</v>
      </c>
      <c r="AAG112" s="71"/>
      <c r="AAH112" s="71"/>
      <c r="AAI112" s="72"/>
      <c r="AAJ112" s="55"/>
      <c r="AAK112" s="92" t="str">
        <f>S.Staff.Mgr&amp;":"</f>
        <v>MargaretMGR:</v>
      </c>
      <c r="AAL112" s="90"/>
    </row>
    <row r="113" spans="1:714" s="23" customFormat="1" ht="15.75" customHeight="1" outlineLevel="1">
      <c r="A113" s="171"/>
      <c r="B113" s="363" t="s">
        <v>475</v>
      </c>
      <c r="C113" s="278"/>
      <c r="D113" s="261"/>
      <c r="E113" s="263">
        <f>NETWORKDAYS(G113,H113,S.DDL_DEQClosed)</f>
        <v>1</v>
      </c>
      <c r="F113" s="457">
        <f ca="1">IF(YEAR(H113)&gt;2000,NETWORKDAYS(TODAY(),H113,S.DDL_DEQClosed),0)</f>
        <v>3</v>
      </c>
      <c r="G113" s="264">
        <f t="shared" si="46"/>
        <v>41577</v>
      </c>
      <c r="H113" s="264">
        <f>AAH113</f>
        <v>41577</v>
      </c>
      <c r="I113" s="244"/>
      <c r="J113" s="193"/>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s="52"/>
      <c r="AAA113" s="192"/>
      <c r="AAD113" s="90"/>
      <c r="AAE113" s="519">
        <f t="shared" si="44"/>
        <v>1</v>
      </c>
      <c r="AAF113" s="90"/>
      <c r="AAG113" s="73">
        <f>S.Planning.AddConcepToPlanDate</f>
        <v>41577</v>
      </c>
      <c r="AAH113" s="73">
        <f>G113</f>
        <v>41577</v>
      </c>
      <c r="AAI113" s="72"/>
      <c r="AAJ113" s="75"/>
      <c r="AAK113" s="76" t="str">
        <f>"* obtains unique Q-Time number for this rulemaking from "&amp;S.Staff.TimeAccounting</f>
        <v>* obtains unique Q-Time number for this rulemaking from RobertB</v>
      </c>
      <c r="AAL113" s="90"/>
    </row>
    <row r="114" spans="1:714" s="23" customFormat="1" ht="15.75" customHeight="1" outlineLevel="1">
      <c r="A114" s="171"/>
      <c r="B114" s="363" t="s">
        <v>307</v>
      </c>
      <c r="C114" s="278"/>
      <c r="D114" s="261"/>
      <c r="E114" s="263">
        <f>NETWORKDAYS(G114,H114,S.DDL_DEQClosed)</f>
        <v>1</v>
      </c>
      <c r="F114" s="457">
        <f ca="1">IF(YEAR(H114)&gt;2000,NETWORKDAYS(TODAY(),H114,S.DDL_DEQClosed),0)</f>
        <v>3</v>
      </c>
      <c r="G114" s="264">
        <f t="shared" si="46"/>
        <v>41577</v>
      </c>
      <c r="H114" s="264">
        <f t="shared" ref="H114:H115" si="48">AAH114</f>
        <v>41577</v>
      </c>
      <c r="I114" s="244"/>
      <c r="J114" s="193"/>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s="52"/>
      <c r="AAA114" s="192"/>
      <c r="AAD114" s="90"/>
      <c r="AAE114" s="519">
        <f>IF(S.Planning.ExpandTeam="N",0,IF(S.Planning.DecisionToAddToPlan="A",1,0))</f>
        <v>1</v>
      </c>
      <c r="AAF114" s="90"/>
      <c r="AAG114" s="73">
        <f>S.Planning.AddConcepToPlanDate</f>
        <v>41577</v>
      </c>
      <c r="AAH114" s="73">
        <f>G114</f>
        <v>41577</v>
      </c>
      <c r="AAI114" s="72"/>
      <c r="AAJ114" s="75"/>
      <c r="AAK114" s="491"/>
      <c r="AAL114" s="90"/>
    </row>
    <row r="115" spans="1:714" s="23" customFormat="1" ht="15.75" customHeight="1" outlineLevel="1">
      <c r="A115" s="171"/>
      <c r="B115" s="363" t="s">
        <v>351</v>
      </c>
      <c r="C115" s="278"/>
      <c r="D115" s="261"/>
      <c r="E115" s="263">
        <f>NETWORKDAYS(G115,H115,S.DDL_DEQClosed)</f>
        <v>1</v>
      </c>
      <c r="F115" s="457">
        <f ca="1">IF(YEAR(H115)&gt;2000,NETWORKDAYS(TODAY(),H115,S.DDL_DEQClosed),0)</f>
        <v>3</v>
      </c>
      <c r="G115" s="264">
        <f t="shared" si="46"/>
        <v>41577</v>
      </c>
      <c r="H115" s="264">
        <f t="shared" si="48"/>
        <v>41577</v>
      </c>
      <c r="I115" s="244"/>
      <c r="J115" s="193"/>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s="52"/>
      <c r="AAA115" s="192"/>
      <c r="AAD115" s="90"/>
      <c r="AAE115" s="519">
        <f>IF(S.Planning.ExpandTeam="N",0,IF(S.Planning.DecisionToAddToPlan="A",1,0))</f>
        <v>1</v>
      </c>
      <c r="AAF115" s="90"/>
      <c r="AAG115" s="73">
        <f>S.Planning.AddConcepToPlanDate</f>
        <v>41577</v>
      </c>
      <c r="AAH115" s="73">
        <f>G115</f>
        <v>41577</v>
      </c>
      <c r="AAI115" s="72"/>
      <c r="AAJ115" s="75"/>
      <c r="AAK115" s="491"/>
      <c r="AAL115" s="90"/>
    </row>
    <row r="116" spans="1:714" s="23" customFormat="1" ht="15" customHeight="1" outlineLevel="1">
      <c r="A116" s="171"/>
      <c r="B116" s="363" t="str">
        <f t="shared" ref="B116" si="49">AAK116</f>
        <v>* obtains additional Q-Time number(s) from RobertB if needed</v>
      </c>
      <c r="C116" s="262"/>
      <c r="D116" s="261"/>
      <c r="E116" s="263">
        <f t="shared" ref="E116" si="50">NETWORKDAYS(G116,H116,S.DDL_DEQClosed)</f>
        <v>1</v>
      </c>
      <c r="F116" s="457">
        <f ca="1">IF(YEAR(H116)&gt;2000,NETWORKDAYS(TODAY(),H116,S.DDL_DEQClosed),0)</f>
        <v>3</v>
      </c>
      <c r="G116" s="264">
        <f t="shared" si="46"/>
        <v>41577</v>
      </c>
      <c r="H116" s="264">
        <f t="shared" ref="H116" si="51">AAH116</f>
        <v>41577</v>
      </c>
      <c r="I116" s="244"/>
      <c r="J116" s="196"/>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s="52"/>
      <c r="AAA116" s="192"/>
      <c r="AAD116" s="90"/>
      <c r="AAE116" s="519">
        <f>IF(S.Planning.ExpandTeam="N",0,IF(S.Planning.DecisionToAddToPlan="A",1,0))</f>
        <v>1</v>
      </c>
      <c r="AAF116" s="90" t="s">
        <v>0</v>
      </c>
      <c r="AAG116" s="73">
        <f>S.Planning.AddConcepToPlanDate</f>
        <v>41577</v>
      </c>
      <c r="AAH116" s="73">
        <f>G116</f>
        <v>41577</v>
      </c>
      <c r="AAI116" s="72"/>
      <c r="AAJ116" s="55"/>
      <c r="AAK116" s="76" t="str">
        <f>"* obtains additional Q-Time number(s) from "&amp;S.Staff.TimeAccounting&amp;" if needed"</f>
        <v>* obtains additional Q-Time number(s) from RobertB if needed</v>
      </c>
      <c r="AAL116" s="90"/>
    </row>
    <row r="117" spans="1:714" s="23" customFormat="1" ht="15" customHeight="1" outlineLevel="1">
      <c r="A117" s="171"/>
      <c r="B117" s="361" t="str">
        <f>AAK117</f>
        <v>AndreaRW oraganizes team meetings to discuss and refine:</v>
      </c>
      <c r="C117" s="271" t="s">
        <v>0</v>
      </c>
      <c r="D117" s="274"/>
      <c r="E117" s="497"/>
      <c r="F117" s="497"/>
      <c r="G117" s="497"/>
      <c r="H117" s="497"/>
      <c r="I117" s="244"/>
      <c r="J117" s="196"/>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s="52"/>
      <c r="AAA117" s="192"/>
      <c r="AAD117" s="90"/>
      <c r="AAE117" s="519">
        <f>IF(OR(S.Planning.CommunicationsPlan="Y",S.Planning.MessageMap="Y",S.Planning.ProgramWebPage="Y"),1,0)</f>
        <v>1</v>
      </c>
      <c r="AAF117" s="190" t="s">
        <v>52</v>
      </c>
      <c r="AAG117" s="60"/>
      <c r="AAH117" s="60"/>
      <c r="AAI117" s="72"/>
      <c r="AAJ117" s="55"/>
      <c r="AAK117" s="76" t="str">
        <f>IF(S.Planning.ExpandTeam="N",S.Staff.Lead&amp;" refines:",S.Staff.Lead&amp;" oraganizes team meetings to discuss and refine:")</f>
        <v>AndreaRW oraganizes team meetings to discuss and refine:</v>
      </c>
      <c r="AAL117" s="90"/>
    </row>
    <row r="118" spans="1:714" s="23" customFormat="1" ht="15.75" customHeight="1" outlineLevel="1">
      <c r="A118" s="171"/>
      <c r="B118" s="363" t="s">
        <v>468</v>
      </c>
      <c r="C118" s="278"/>
      <c r="D118" s="261"/>
      <c r="E118" s="263">
        <f>NETWORKDAYS(G118,H118,S.DDL_DEQClosed)</f>
        <v>1</v>
      </c>
      <c r="F118" s="457">
        <f ca="1">IF(YEAR(H118)&gt;2000,NETWORKDAYS(TODAY(),H118,S.DDL_DEQClosed),0)</f>
        <v>3</v>
      </c>
      <c r="G118" s="264">
        <f t="shared" si="46"/>
        <v>41577</v>
      </c>
      <c r="H118" s="264">
        <f t="shared" ref="H118:H121" si="52">AAH118</f>
        <v>41577</v>
      </c>
      <c r="I118" s="244"/>
      <c r="J118" s="193"/>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s="52"/>
      <c r="AAA118" s="192" t="s">
        <v>0</v>
      </c>
      <c r="AAB118"/>
      <c r="AAC118"/>
      <c r="AAD118" s="90"/>
      <c r="AAE118" s="519">
        <f t="shared" si="44"/>
        <v>1</v>
      </c>
      <c r="AAF118" s="90"/>
      <c r="AAG118" s="73">
        <f>S.Planning.AddConcepToPlanDate</f>
        <v>41577</v>
      </c>
      <c r="AAH118" s="73">
        <f>G118</f>
        <v>41577</v>
      </c>
      <c r="AAI118" s="72"/>
      <c r="AAJ118" s="75"/>
      <c r="AAK118" s="85" t="s">
        <v>0</v>
      </c>
      <c r="AAL118" s="90"/>
    </row>
    <row r="119" spans="1:714" s="23" customFormat="1" ht="15.75" customHeight="1" outlineLevel="1">
      <c r="A119" s="171"/>
      <c r="B119" s="363" t="s">
        <v>469</v>
      </c>
      <c r="C119" s="278"/>
      <c r="D119" s="261"/>
      <c r="E119" s="263">
        <f>NETWORKDAYS(G119,H119,S.DDL_DEQClosed)</f>
        <v>1</v>
      </c>
      <c r="F119" s="457">
        <f ca="1">IF(YEAR(H119)&gt;2000,NETWORKDAYS(TODAY(),H119,S.DDL_DEQClosed),0)</f>
        <v>3</v>
      </c>
      <c r="G119" s="264">
        <f t="shared" si="46"/>
        <v>41577</v>
      </c>
      <c r="H119" s="264">
        <f t="shared" si="52"/>
        <v>41577</v>
      </c>
      <c r="I119" s="244"/>
      <c r="J119" s="193"/>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s="52"/>
      <c r="AAA119" s="192" t="s">
        <v>0</v>
      </c>
      <c r="AAD119" s="90"/>
      <c r="AAE119" s="519">
        <f t="shared" si="44"/>
        <v>1</v>
      </c>
      <c r="AAF119" s="90"/>
      <c r="AAG119" s="73">
        <f>S.Planning.AddConcepToPlanDate</f>
        <v>41577</v>
      </c>
      <c r="AAH119" s="73">
        <f>G119</f>
        <v>41577</v>
      </c>
      <c r="AAI119" s="72"/>
      <c r="AAJ119" s="75"/>
      <c r="AAK119" s="85" t="s">
        <v>0</v>
      </c>
      <c r="AAL119" s="90"/>
    </row>
    <row r="120" spans="1:714" s="23" customFormat="1" ht="15.75" customHeight="1" outlineLevel="1">
      <c r="A120" s="171" t="s">
        <v>0</v>
      </c>
      <c r="B120" s="363" t="s">
        <v>470</v>
      </c>
      <c r="C120" s="278"/>
      <c r="D120" s="261"/>
      <c r="E120" s="263">
        <f>NETWORKDAYS(G120,H120,S.DDL_DEQClosed)</f>
        <v>1</v>
      </c>
      <c r="F120" s="457">
        <f ca="1">IF(YEAR(H120)&gt;2000,NETWORKDAYS(TODAY(),H120,S.DDL_DEQClosed),0)</f>
        <v>3</v>
      </c>
      <c r="G120" s="264">
        <f t="shared" si="46"/>
        <v>41577</v>
      </c>
      <c r="H120" s="264">
        <f t="shared" si="52"/>
        <v>41577</v>
      </c>
      <c r="I120" s="244"/>
      <c r="J120" s="193"/>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s="52"/>
      <c r="AAA120" s="192" t="s">
        <v>0</v>
      </c>
      <c r="AAD120" s="90"/>
      <c r="AAE120" s="519">
        <f t="shared" si="44"/>
        <v>1</v>
      </c>
      <c r="AAF120" s="90"/>
      <c r="AAG120" s="73">
        <f>S.Planning.AddConcepToPlanDate</f>
        <v>41577</v>
      </c>
      <c r="AAH120" s="73">
        <f>G120</f>
        <v>41577</v>
      </c>
      <c r="AAI120" s="72"/>
      <c r="AAJ120" s="75"/>
      <c r="AAK120" s="85" t="s">
        <v>0</v>
      </c>
      <c r="AAL120" s="90"/>
    </row>
    <row r="121" spans="1:714" s="23" customFormat="1" ht="15.75" customHeight="1" outlineLevel="1">
      <c r="A121" s="171" t="s">
        <v>353</v>
      </c>
      <c r="B121" s="363" t="s">
        <v>471</v>
      </c>
      <c r="C121" s="278"/>
      <c r="D121" s="261"/>
      <c r="E121" s="263">
        <f>NETWORKDAYS(G121,H121,S.DDL_DEQClosed)</f>
        <v>1</v>
      </c>
      <c r="F121" s="457">
        <f ca="1">IF(YEAR(H121)&gt;2000,NETWORKDAYS(TODAY(),H121,S.DDL_DEQClosed),0)</f>
        <v>3</v>
      </c>
      <c r="G121" s="264">
        <f t="shared" si="46"/>
        <v>41577</v>
      </c>
      <c r="H121" s="264">
        <f t="shared" si="52"/>
        <v>41577</v>
      </c>
      <c r="I121" s="244"/>
      <c r="J121" s="193"/>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s="52"/>
      <c r="AAA121" s="192" t="s">
        <v>0</v>
      </c>
      <c r="AAD121" s="90"/>
      <c r="AAE121" s="519">
        <f t="shared" si="44"/>
        <v>1</v>
      </c>
      <c r="AAF121" s="90"/>
      <c r="AAG121" s="73">
        <f>S.Planning.AddConcepToPlanDate</f>
        <v>41577</v>
      </c>
      <c r="AAH121" s="73">
        <f>G121</f>
        <v>41577</v>
      </c>
      <c r="AAI121" s="72"/>
      <c r="AAJ121" s="75"/>
      <c r="AAK121" s="85" t="s">
        <v>0</v>
      </c>
      <c r="AAL121" s="90"/>
    </row>
    <row r="122" spans="1:714" s="23" customFormat="1" ht="15.75" customHeight="1" outlineLevel="1">
      <c r="A122" s="171"/>
      <c r="B122" s="740" t="s">
        <v>466</v>
      </c>
      <c r="C122" s="104"/>
      <c r="D122" s="158"/>
      <c r="E122" s="103"/>
      <c r="F122" s="103"/>
      <c r="G122" s="104" t="s">
        <v>0</v>
      </c>
      <c r="H122" s="104"/>
      <c r="I122" s="244"/>
      <c r="J122" s="193"/>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s="52"/>
      <c r="AAA122" s="192"/>
      <c r="AAD122" s="90"/>
      <c r="AAE122" s="519">
        <v>1</v>
      </c>
      <c r="AAF122" s="190" t="s">
        <v>52</v>
      </c>
      <c r="AAG122" s="71"/>
      <c r="AAH122" s="71"/>
      <c r="AAI122" s="72"/>
      <c r="AAJ122" s="55"/>
      <c r="AAK122" s="60" t="s">
        <v>0</v>
      </c>
      <c r="AAL122" s="90"/>
    </row>
    <row r="123" spans="1:714" s="23" customFormat="1" ht="15.75" customHeight="1" outlineLevel="1">
      <c r="A123" s="171"/>
      <c r="B123" s="361" t="str">
        <f>AAK123</f>
        <v>AndreaRW schedules/holds meeting with team, especially MargaretMGR and</v>
      </c>
      <c r="C123" s="278"/>
      <c r="D123" s="261"/>
      <c r="E123" s="263">
        <f t="shared" ref="E123" si="53">NETWORKDAYS(G123,H123,S.DDL_DEQClosed)</f>
        <v>1</v>
      </c>
      <c r="F123" s="457">
        <f t="shared" ref="F123" ca="1" si="54">IF(YEAR(H123)&gt;2000,NETWORKDAYS(TODAY(),H123,S.DDL_DEQClosed),0)</f>
        <v>3</v>
      </c>
      <c r="G123" s="264">
        <f t="shared" si="46"/>
        <v>41577</v>
      </c>
      <c r="H123" s="264">
        <f t="shared" ref="H123" si="55">AAH123</f>
        <v>41577</v>
      </c>
      <c r="I123" s="244" t="s">
        <v>508</v>
      </c>
      <c r="J123" s="193"/>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s="52"/>
      <c r="AAA123" s="192"/>
      <c r="AAD123" s="90"/>
      <c r="AAE123" s="519">
        <f t="shared" si="44"/>
        <v>1</v>
      </c>
      <c r="AAF123" s="90"/>
      <c r="AAG123" s="73">
        <f>AAG121</f>
        <v>41577</v>
      </c>
      <c r="AAH123" s="73">
        <f t="shared" ref="AAH123:AAH163" si="56">G123</f>
        <v>41577</v>
      </c>
      <c r="AAI123" s="72"/>
      <c r="AAJ123" s="75"/>
      <c r="AAK123" s="92" t="str">
        <f>IF(S.Planning.ExpandTeam="N",S.Staff.Lead&amp;" schedules/holds meeting with "&amp;S.Staff.Mgr&amp;" and",S.Staff.Lead&amp;" schedules/holds meeting with team, especially "&amp;S.Staff.Mgr&amp;" and")</f>
        <v>AndreaRW schedules/holds meeting with team, especially MargaretMGR and</v>
      </c>
      <c r="AAL123" s="90"/>
    </row>
    <row r="124" spans="1:714" s="23" customFormat="1" ht="15.75" customHeight="1" outlineLevel="1" thickBot="1">
      <c r="A124" s="171" t="s">
        <v>353</v>
      </c>
      <c r="B124" s="363" t="str">
        <f>AAK124</f>
        <v>JoanieS, WilliamK to discuss/determine need for:</v>
      </c>
      <c r="C124" s="278"/>
      <c r="D124"/>
      <c r="E124"/>
      <c r="F124"/>
      <c r="G124"/>
      <c r="H124"/>
      <c r="I124" s="244"/>
      <c r="J124" s="193"/>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s="52"/>
      <c r="AAA124" s="192"/>
      <c r="AAD124" s="90"/>
      <c r="AAE124" s="519">
        <f t="shared" si="44"/>
        <v>1</v>
      </c>
      <c r="AAF124" s="190" t="s">
        <v>52</v>
      </c>
      <c r="AAG124" s="72"/>
      <c r="AAH124" s="72"/>
      <c r="AAI124" s="72"/>
      <c r="AAJ124" s="75"/>
      <c r="AAK124" s="92" t="str">
        <f>S.Staff.CheifPublicAffairsOfficer&amp;", "&amp;S.Staff.OCOCommunication&amp;" to discuss/determine need for:"</f>
        <v>JoanieS, WilliamK to discuss/determine need for:</v>
      </c>
      <c r="AAL124" s="90"/>
    </row>
    <row r="125" spans="1:714" s="23" customFormat="1" ht="15.75" customHeight="1" outlineLevel="1" thickBot="1">
      <c r="A125" s="171"/>
      <c r="B125" s="628" t="s">
        <v>441</v>
      </c>
      <c r="C125" s="273" t="s">
        <v>17</v>
      </c>
      <c r="D125" s="261"/>
      <c r="E125"/>
      <c r="F125"/>
      <c r="G125"/>
      <c r="H125"/>
      <c r="I125" s="244"/>
      <c r="J125" s="193"/>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s="52"/>
      <c r="AAA125" s="192" t="s">
        <v>0</v>
      </c>
      <c r="AAD125" s="90"/>
      <c r="AAE125" s="519">
        <f>IF(S.Planning.CommunicationsPlan="Y",1,0)</f>
        <v>1</v>
      </c>
      <c r="AAF125" s="190" t="s">
        <v>52</v>
      </c>
      <c r="AAG125" s="72"/>
      <c r="AAH125" s="72"/>
      <c r="AAI125" s="72"/>
      <c r="AAJ125" s="75"/>
      <c r="AAK125" s="56"/>
      <c r="AAL125" s="90"/>
    </row>
    <row r="126" spans="1:714" s="23" customFormat="1" ht="15.75" customHeight="1" outlineLevel="1" thickBot="1">
      <c r="A126" s="171"/>
      <c r="B126" s="628" t="s">
        <v>439</v>
      </c>
      <c r="C126" s="377" t="s">
        <v>17</v>
      </c>
      <c r="D126" s="261"/>
      <c r="E126"/>
      <c r="F126"/>
      <c r="G126"/>
      <c r="H126"/>
      <c r="I126" s="244"/>
      <c r="J126" s="193"/>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s="52"/>
      <c r="AAA126" s="192" t="s">
        <v>0</v>
      </c>
      <c r="AAD126" s="90"/>
      <c r="AAE126" s="519">
        <f>IF(S.Planning.MessageMap="Y",1,0)</f>
        <v>1</v>
      </c>
      <c r="AAF126" s="190" t="s">
        <v>52</v>
      </c>
      <c r="AAG126" s="72"/>
      <c r="AAH126" s="72"/>
      <c r="AAI126" s="72"/>
      <c r="AAJ126" s="75"/>
      <c r="AAK126" s="56"/>
      <c r="AAL126" s="90"/>
    </row>
    <row r="127" spans="1:714" s="23" customFormat="1" ht="15" customHeight="1" outlineLevel="1" thickBot="1">
      <c r="A127" s="171"/>
      <c r="B127" s="628" t="s">
        <v>440</v>
      </c>
      <c r="C127" s="377" t="s">
        <v>17</v>
      </c>
      <c r="D127" s="261"/>
      <c r="E127" s="344" t="s">
        <v>0</v>
      </c>
      <c r="F127" s="345" t="s">
        <v>0</v>
      </c>
      <c r="G127" s="346"/>
      <c r="H127" s="346"/>
      <c r="I127" s="244"/>
      <c r="J127" s="194"/>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s="52"/>
      <c r="AAA127" s="192"/>
      <c r="AAD127" s="90"/>
      <c r="AAE127" s="519">
        <f t="shared" ref="AAE127:AAE145" si="57">IF(S.Planning.ProgramWebPage="Y",1,0)</f>
        <v>1</v>
      </c>
      <c r="AAF127" s="190" t="s">
        <v>52</v>
      </c>
      <c r="AAG127" s="71" t="s">
        <v>0</v>
      </c>
      <c r="AAH127" s="71"/>
      <c r="AAI127" s="71"/>
      <c r="AAJ127" s="79"/>
      <c r="AAK127" s="56"/>
      <c r="AAL127" s="90"/>
    </row>
    <row r="128" spans="1:714" s="23" customFormat="1" ht="15.75" customHeight="1" outlineLevel="1" thickBot="1">
      <c r="A128" s="171"/>
      <c r="B128" s="702" t="s">
        <v>464</v>
      </c>
      <c r="C128" s="377" t="s">
        <v>17</v>
      </c>
      <c r="D128" s="608"/>
      <c r="E128" s="350"/>
      <c r="F128" s="350"/>
      <c r="G128" s="346" t="s">
        <v>0</v>
      </c>
      <c r="H128" s="346"/>
      <c r="I128" s="244"/>
      <c r="J128" s="193"/>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s="52"/>
      <c r="AAA128" s="192"/>
      <c r="AAD128" s="90"/>
      <c r="AAE128" s="519">
        <f>IF(S.Notice.InformationMeeting="N",,1)</f>
        <v>1</v>
      </c>
      <c r="AAF128" s="190" t="s">
        <v>52</v>
      </c>
      <c r="AAG128" s="71"/>
      <c r="AAH128" s="71"/>
      <c r="AAI128" s="72"/>
      <c r="AAJ128" s="55"/>
      <c r="AAK128" s="558"/>
      <c r="AAL128" s="90"/>
    </row>
    <row r="129" spans="1:715" s="23" customFormat="1" ht="15" customHeight="1" outlineLevel="2">
      <c r="A129" s="171"/>
      <c r="B129" s="808" t="s">
        <v>429</v>
      </c>
      <c r="C129"/>
      <c r="D129" s="366"/>
      <c r="E129" s="344" t="s">
        <v>0</v>
      </c>
      <c r="F129" s="345" t="s">
        <v>0</v>
      </c>
      <c r="G129" s="346"/>
      <c r="H129" s="346"/>
      <c r="I129" s="244"/>
      <c r="J129" s="194"/>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s="52"/>
      <c r="AAA129" s="192"/>
      <c r="AAD129" s="90"/>
      <c r="AAE129" s="519">
        <f>IF(OR(S.Planning.CommunicationsPlan="Y",S.Planning.MessageMap="Y",S.Planning.ProgramWebPage="Y"),1,0)</f>
        <v>1</v>
      </c>
      <c r="AAF129" s="190" t="s">
        <v>52</v>
      </c>
      <c r="AAG129" s="71" t="s">
        <v>0</v>
      </c>
      <c r="AAH129" s="71"/>
      <c r="AAI129" s="71"/>
      <c r="AAJ129" s="79"/>
      <c r="AAK129" s="56"/>
      <c r="AAL129" s="90"/>
    </row>
    <row r="130" spans="1:715" s="23" customFormat="1" ht="15" customHeight="1" outlineLevel="2">
      <c r="A130" s="171"/>
      <c r="B130" s="809" t="str">
        <f>AAK130</f>
        <v>AndreaRW leads:</v>
      </c>
      <c r="C130" s="271" t="s">
        <v>0</v>
      </c>
      <c r="D130" s="274"/>
      <c r="E130" s="497"/>
      <c r="F130" s="497"/>
      <c r="G130" s="497"/>
      <c r="H130" s="497"/>
      <c r="I130" s="244"/>
      <c r="J130" s="196"/>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s="52"/>
      <c r="AAA130" s="192"/>
      <c r="AAD130" s="90"/>
      <c r="AAE130" s="519">
        <f>IF(OR(S.Planning.CommunicationsPlan="Y",S.Planning.MessageMap="Y",S.Planning.ProgramWebPage="Y"),1,0)</f>
        <v>1</v>
      </c>
      <c r="AAF130" s="190" t="s">
        <v>52</v>
      </c>
      <c r="AAG130" s="60"/>
      <c r="AAH130" s="60"/>
      <c r="AAI130" s="72"/>
      <c r="AAJ130" s="55"/>
      <c r="AAK130" s="76" t="str">
        <f>S.Staff.Lead&amp;" leads:"</f>
        <v>AndreaRW leads:</v>
      </c>
      <c r="AAL130" s="90"/>
    </row>
    <row r="131" spans="1:715" s="23" customFormat="1" ht="15" customHeight="1" outlineLevel="2">
      <c r="A131" s="171"/>
      <c r="B131" s="810" t="s">
        <v>435</v>
      </c>
      <c r="C131" s="364" t="s">
        <v>0</v>
      </c>
      <c r="D131" s="378"/>
      <c r="E131" s="342">
        <f>NETWORKDAYS(G131,H131,S.DDL_DEQClosed)</f>
        <v>1</v>
      </c>
      <c r="F131" s="457">
        <f ca="1">IF(YEAR(H131)&gt;2000,NETWORKDAYS(TODAY(),H131,S.DDL_DEQClosed),0)</f>
        <v>3</v>
      </c>
      <c r="G131" s="264">
        <f t="shared" ref="G131:H133" si="58">AAG131</f>
        <v>41577</v>
      </c>
      <c r="H131" s="343">
        <f t="shared" si="58"/>
        <v>41577</v>
      </c>
      <c r="I131" s="244" t="s">
        <v>508</v>
      </c>
      <c r="J131" s="194"/>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s="52"/>
      <c r="AAA131" s="192"/>
      <c r="AAD131" s="90"/>
      <c r="AAE131" s="519">
        <f>IF(OR(S.Planning.CommunicationsPlan="Y",S.Planning.MessageMap="Y",S.Planning.ProgramWebPage="Y"),1,0)</f>
        <v>1</v>
      </c>
      <c r="AAF131" s="90"/>
      <c r="AAG131" s="73">
        <f>H123</f>
        <v>41577</v>
      </c>
      <c r="AAH131" s="73">
        <f>G131</f>
        <v>41577</v>
      </c>
      <c r="AAI131" s="60"/>
      <c r="AAJ131" s="56"/>
      <c r="AAK131" s="56"/>
      <c r="AAL131" s="90"/>
    </row>
    <row r="132" spans="1:715" s="23" customFormat="1" ht="15.75" customHeight="1" outlineLevel="2">
      <c r="A132" s="171"/>
      <c r="B132" s="811" t="str">
        <f>AAK132</f>
        <v>* drafting COMMUNICATION.PLAN with WilliamK</v>
      </c>
      <c r="C132" s="790" t="str">
        <f>HYPERLINK("http://deq05/intranet/communication/publicinvolvement/index.htm","i")</f>
        <v>i</v>
      </c>
      <c r="D132" s="261"/>
      <c r="E132" s="263">
        <f>NETWORKDAYS(G132,H132,S.DDL_DEQClosed)</f>
        <v>1</v>
      </c>
      <c r="F132" s="457">
        <f ca="1">IF(YEAR(H132)&gt;2000,NETWORKDAYS(TODAY(),H132,S.DDL_DEQClosed),0)</f>
        <v>3</v>
      </c>
      <c r="G132" s="264">
        <f t="shared" si="58"/>
        <v>41577</v>
      </c>
      <c r="H132" s="264">
        <f t="shared" si="58"/>
        <v>41577</v>
      </c>
      <c r="I132" s="244"/>
      <c r="J132" s="193"/>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s="52"/>
      <c r="AAA132" s="192" t="s">
        <v>0</v>
      </c>
      <c r="AAD132" s="90"/>
      <c r="AAE132" s="519">
        <f>IF(S.Planning.CommunicationsPlan="Y",1,0)</f>
        <v>1</v>
      </c>
      <c r="AAF132" s="90"/>
      <c r="AAG132" s="73">
        <f>G131</f>
        <v>41577</v>
      </c>
      <c r="AAH132" s="73">
        <f>G132</f>
        <v>41577</v>
      </c>
      <c r="AAI132" s="72"/>
      <c r="AAJ132" s="75"/>
      <c r="AAK132" s="92" t="str">
        <f>"* drafting COMMUNICATION.PLAN with "&amp;S.Staff.OCOCommunication</f>
        <v>* drafting COMMUNICATION.PLAN with WilliamK</v>
      </c>
      <c r="AAL132" s="90"/>
    </row>
    <row r="133" spans="1:715" ht="15.75" customHeight="1" outlineLevel="2">
      <c r="A133" s="171"/>
      <c r="B133" s="810" t="str">
        <f>AAK133</f>
        <v>* drafting MESSAGE.MAP with WilliamK</v>
      </c>
      <c r="C133" s="790" t="str">
        <f>HYPERLINK("http://deq05/intranet/communication/index.htm","i")</f>
        <v>i</v>
      </c>
      <c r="D133" s="261"/>
      <c r="E133" s="432">
        <f>NETWORKDAYS(G133,H133,S.DDL_DEQClosed)</f>
        <v>1</v>
      </c>
      <c r="F133" s="457">
        <f ca="1">IF(YEAR(H133)&gt;2000,NETWORKDAYS(TODAY(),H133,S.DDL_DEQClosed),0)</f>
        <v>3</v>
      </c>
      <c r="G133" s="446">
        <f t="shared" si="58"/>
        <v>41577</v>
      </c>
      <c r="H133" s="347">
        <f t="shared" si="58"/>
        <v>41577</v>
      </c>
      <c r="I133" s="244"/>
      <c r="J133" s="193"/>
      <c r="K133" s="193"/>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AAA133" s="192" t="s">
        <v>0</v>
      </c>
      <c r="AAD133" s="90"/>
      <c r="AAE133" s="520">
        <f>IF(S.Planning.MessageMap="Y",1,0)</f>
        <v>1</v>
      </c>
      <c r="AAF133" s="90" t="s">
        <v>0</v>
      </c>
      <c r="AAG133" s="73">
        <f>G132</f>
        <v>41577</v>
      </c>
      <c r="AAH133" s="73">
        <f>G133</f>
        <v>41577</v>
      </c>
      <c r="AAI133" s="72"/>
      <c r="AAJ133" s="72"/>
      <c r="AAK133" s="92" t="str">
        <f>"* drafting MESSAGE.MAP with "&amp;S.Staff.OCOCommunication</f>
        <v>* drafting MESSAGE.MAP with WilliamK</v>
      </c>
      <c r="AAL133" s="90"/>
      <c r="AAM133"/>
    </row>
    <row r="134" spans="1:715" s="23" customFormat="1" ht="15" customHeight="1" outlineLevel="2">
      <c r="A134" s="171"/>
      <c r="B134" s="810" t="str">
        <f>AAK134</f>
        <v>* drafting  PROGRAM.WEB.PAGE content with team and Michele</v>
      </c>
      <c r="C134" s="362"/>
      <c r="D134" s="261"/>
      <c r="E134" s="432">
        <f>NETWORKDAYS(G134,H134,S.DDL_DEQClosed)</f>
        <v>1</v>
      </c>
      <c r="F134" s="457">
        <f ca="1">IF(YEAR(H134)&gt;2000,NETWORKDAYS(TODAY(),H134,S.DDL_DEQClosed),0)</f>
        <v>3</v>
      </c>
      <c r="G134" s="446">
        <f t="shared" ref="G134" si="59">AAG134</f>
        <v>41577</v>
      </c>
      <c r="H134" s="347">
        <f t="shared" ref="H134" si="60">AAH134</f>
        <v>41577</v>
      </c>
      <c r="I134" s="244"/>
      <c r="J134" s="194"/>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s="52"/>
      <c r="AAA134" s="192"/>
      <c r="AAD134" s="90"/>
      <c r="AAE134" s="520">
        <f>IF(S.Planning.MessageMap="Y",1,0)</f>
        <v>1</v>
      </c>
      <c r="AAF134" s="90" t="s">
        <v>0</v>
      </c>
      <c r="AAG134" s="73">
        <f>G133</f>
        <v>41577</v>
      </c>
      <c r="AAH134" s="73">
        <f>G134</f>
        <v>41577</v>
      </c>
      <c r="AAI134" s="71"/>
      <c r="AAJ134" s="56"/>
      <c r="AAK134" s="254" t="str">
        <f>"* drafting  PROGRAM.WEB.PAGE content with team and "&amp;S.Staff.WebMaster</f>
        <v>* drafting  PROGRAM.WEB.PAGE content with team and Michele</v>
      </c>
      <c r="AAL134" s="90"/>
    </row>
    <row r="135" spans="1:715" s="23" customFormat="1" ht="15" customHeight="1" outlineLevel="2">
      <c r="A135" s="171"/>
      <c r="B135" s="810" t="s">
        <v>430</v>
      </c>
      <c r="C135" s="362"/>
      <c r="D135" s="378"/>
      <c r="E135" s="342">
        <f t="shared" ref="E135:E145" si="61">NETWORKDAYS(G135,H135,S.DDL_DEQClosed)</f>
        <v>1</v>
      </c>
      <c r="F135" s="457">
        <f t="shared" ref="F135:F145" ca="1" si="62">IF(YEAR(H135)&gt;2000,NETWORKDAYS(TODAY(),H135,S.DDL_DEQClosed),0)</f>
        <v>3</v>
      </c>
      <c r="G135" s="347">
        <f t="shared" ref="G135" si="63">AAG135</f>
        <v>41577</v>
      </c>
      <c r="H135" s="343">
        <f t="shared" ref="H135:H145" si="64">AAH135</f>
        <v>41577</v>
      </c>
      <c r="I135" s="244"/>
      <c r="J135" s="194"/>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s="52"/>
      <c r="AAA135" s="192"/>
      <c r="AAD135" s="90"/>
      <c r="AAE135" s="519">
        <f>IF(OR(S.Planning.CommunicationsPlan="Y",S.Planning.MessageMap="Y",S.Planning.ProgramWebPage="Y"),1,0)</f>
        <v>1</v>
      </c>
      <c r="AAF135" s="90"/>
      <c r="AAG135" s="73">
        <f>G134</f>
        <v>41577</v>
      </c>
      <c r="AAH135" s="73">
        <f t="shared" ref="AAH135:AAH145" si="65">G135</f>
        <v>41577</v>
      </c>
      <c r="AAI135" s="71"/>
      <c r="AAJ135" s="56"/>
      <c r="AAK135" s="85"/>
      <c r="AAL135" s="90"/>
    </row>
    <row r="136" spans="1:715" s="23" customFormat="1" ht="15" customHeight="1" outlineLevel="2">
      <c r="A136" s="171"/>
      <c r="B136" s="809" t="str">
        <f>AAK136</f>
        <v>MargaretMGR::</v>
      </c>
      <c r="C136" s="271" t="s">
        <v>0</v>
      </c>
      <c r="D136" s="274"/>
      <c r="E136" s="497"/>
      <c r="F136" s="497"/>
      <c r="G136" s="497"/>
      <c r="H136" s="497"/>
      <c r="I136" s="244"/>
      <c r="J136" s="196"/>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s="52"/>
      <c r="AAA136" s="192"/>
      <c r="AAD136" s="90"/>
      <c r="AAE136" s="519">
        <f>IF(OR(S.Planning.CommunicationsPlan="Y",S.Planning.MessageMap="Y",S.Planning.ProgramWebPage="Y"),1,0)</f>
        <v>1</v>
      </c>
      <c r="AAF136" s="190" t="s">
        <v>52</v>
      </c>
      <c r="AAG136" s="60"/>
      <c r="AAH136" s="60"/>
      <c r="AAI136" s="72"/>
      <c r="AAJ136" s="55"/>
      <c r="AAK136" s="76" t="str">
        <f>S.Staff.Mgr&amp;"::"</f>
        <v>MargaretMGR::</v>
      </c>
      <c r="AAL136" s="90"/>
    </row>
    <row r="137" spans="1:715" s="23" customFormat="1" ht="15" customHeight="1" outlineLevel="2">
      <c r="A137" s="171"/>
      <c r="B137" s="810" t="str">
        <f>AAK137</f>
        <v>* shares content with Andy and approves content:</v>
      </c>
      <c r="C137" s="362"/>
      <c r="D137" s="378"/>
      <c r="E137" s="342">
        <f t="shared" ref="E137" si="66">NETWORKDAYS(G137,H137,S.DDL_DEQClosed)</f>
        <v>1</v>
      </c>
      <c r="F137" s="457">
        <f t="shared" ref="F137" ca="1" si="67">IF(YEAR(H137)&gt;2000,NETWORKDAYS(TODAY(),H137,S.DDL_DEQClosed),0)</f>
        <v>3</v>
      </c>
      <c r="G137" s="343">
        <f t="shared" ref="G137" si="68">AAG137</f>
        <v>41577</v>
      </c>
      <c r="H137" s="343">
        <f t="shared" ref="H137" si="69">AAH137</f>
        <v>41577</v>
      </c>
      <c r="I137" s="244"/>
      <c r="J137" s="194"/>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s="52"/>
      <c r="AAA137" s="192"/>
      <c r="AAD137" s="90"/>
      <c r="AAE137" s="519">
        <f>IF(OR(S.Planning.CommunicationsPlan="Y",S.Planning.MessageMap="Y",S.Planning.ProgramWebPage="Y"),1,0)</f>
        <v>1</v>
      </c>
      <c r="AAF137" s="90"/>
      <c r="AAG137" s="73">
        <f>H135</f>
        <v>41577</v>
      </c>
      <c r="AAH137" s="73">
        <f t="shared" ref="AAH137" si="70">G137</f>
        <v>41577</v>
      </c>
      <c r="AAI137" s="71"/>
      <c r="AAJ137" s="56"/>
      <c r="AAK137" s="254" t="str">
        <f>"* shares content with "&amp;S.Staff.DA&amp;" and approves content:"</f>
        <v>* shares content with Andy and approves content:</v>
      </c>
      <c r="AAL137" s="90"/>
    </row>
    <row r="138" spans="1:715" s="23" customFormat="1" ht="15" customHeight="1" outlineLevel="2" thickBot="1">
      <c r="A138" s="171"/>
      <c r="B138" s="812" t="s">
        <v>431</v>
      </c>
      <c r="C138" s="360" t="s">
        <v>0</v>
      </c>
      <c r="D138" s="378"/>
      <c r="E138" s="342">
        <f t="shared" si="61"/>
        <v>1</v>
      </c>
      <c r="F138" s="457">
        <f t="shared" ca="1" si="62"/>
        <v>3</v>
      </c>
      <c r="G138" s="343">
        <f>AAG138</f>
        <v>41577</v>
      </c>
      <c r="H138" s="343">
        <f t="shared" si="64"/>
        <v>41577</v>
      </c>
      <c r="I138" s="244"/>
      <c r="J138" s="194"/>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s="52"/>
      <c r="AAA138" s="192" t="s">
        <v>0</v>
      </c>
      <c r="AAD138" s="90"/>
      <c r="AAE138" s="519">
        <f>IF(OR(S.Planning.CommunicationsPlan="Y",S.Planning.MessageMap="Y",S.Planning.ProgramWebPage="Y"),1,0)</f>
        <v>1</v>
      </c>
      <c r="AAF138" s="90"/>
      <c r="AAG138" s="73">
        <f>H137</f>
        <v>41577</v>
      </c>
      <c r="AAH138" s="73">
        <f t="shared" si="65"/>
        <v>41577</v>
      </c>
      <c r="AAI138" s="60"/>
      <c r="AAJ138" s="56"/>
      <c r="AAK138" s="85"/>
      <c r="AAL138" s="90"/>
    </row>
    <row r="139" spans="1:715" s="23" customFormat="1" ht="15" customHeight="1" outlineLevel="2" thickBot="1">
      <c r="A139" s="171"/>
      <c r="B139" s="666" t="s">
        <v>432</v>
      </c>
      <c r="C139" s="611" t="s">
        <v>303</v>
      </c>
      <c r="D139" s="378"/>
      <c r="E139" s="342">
        <f t="shared" si="61"/>
        <v>0</v>
      </c>
      <c r="F139" s="457">
        <f t="shared" ca="1" si="62"/>
        <v>0</v>
      </c>
      <c r="G139" s="347">
        <f>AAG139</f>
        <v>0</v>
      </c>
      <c r="H139" s="343">
        <f t="shared" si="64"/>
        <v>0</v>
      </c>
      <c r="I139" s="244"/>
      <c r="J139" s="194"/>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s="52"/>
      <c r="AAA139" s="192"/>
      <c r="AAD139" s="90"/>
      <c r="AAE139" s="519">
        <f>IF(S.Planning.ApproveCommunicationsLoop2="N",,IF(OR(S.Planning.CommunicationsPlan="Y",S.Planning.MessageMap="Y",S.Planning.ProgramWebPage="Y"),1,0))</f>
        <v>0</v>
      </c>
      <c r="AAF139" s="90"/>
      <c r="AAG139" s="73">
        <f>IF(AAE139=0,,H138)</f>
        <v>0</v>
      </c>
      <c r="AAH139" s="73">
        <f t="shared" si="65"/>
        <v>0</v>
      </c>
      <c r="AAI139" s="60"/>
      <c r="AAJ139" s="56"/>
      <c r="AAK139" s="85"/>
      <c r="AAL139" s="90"/>
    </row>
    <row r="140" spans="1:715" s="23" customFormat="1" ht="15" customHeight="1" outlineLevel="2" thickBot="1">
      <c r="A140" s="171"/>
      <c r="B140" s="663" t="s">
        <v>433</v>
      </c>
      <c r="C140" s="611" t="s">
        <v>303</v>
      </c>
      <c r="D140" s="378"/>
      <c r="E140" s="342">
        <f t="shared" si="61"/>
        <v>0</v>
      </c>
      <c r="F140" s="457">
        <f t="shared" ca="1" si="62"/>
        <v>0</v>
      </c>
      <c r="G140" s="347">
        <f>AAG140</f>
        <v>0</v>
      </c>
      <c r="H140" s="343">
        <f t="shared" si="64"/>
        <v>0</v>
      </c>
      <c r="I140" s="244"/>
      <c r="J140" s="194"/>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s="52"/>
      <c r="AAA140" s="192"/>
      <c r="AAD140" s="90"/>
      <c r="AAE140" s="519">
        <f>IF(S.Planning.ApproveCommunicationsLoop3="N",,IF(OR(S.Planning.CommunicationsPlan="Y",S.Planning.MessageMap="Y",S.Planning.ProgramWebPage="Y"),1,0))</f>
        <v>0</v>
      </c>
      <c r="AAF140" s="90"/>
      <c r="AAG140" s="73">
        <f>IF(AAE140=0,,H139)</f>
        <v>0</v>
      </c>
      <c r="AAH140" s="73">
        <f t="shared" si="65"/>
        <v>0</v>
      </c>
      <c r="AAI140" s="60"/>
      <c r="AAJ140" s="56"/>
      <c r="AAK140" s="85"/>
      <c r="AAL140" s="90"/>
    </row>
    <row r="141" spans="1:715" s="23" customFormat="1" ht="15" customHeight="1" outlineLevel="2" thickBot="1">
      <c r="A141" s="171"/>
      <c r="B141" s="813" t="s">
        <v>436</v>
      </c>
      <c r="C141" s="611" t="s">
        <v>303</v>
      </c>
      <c r="D141" s="378"/>
      <c r="E141" s="342">
        <f t="shared" si="61"/>
        <v>0</v>
      </c>
      <c r="F141" s="457">
        <f t="shared" ca="1" si="62"/>
        <v>0</v>
      </c>
      <c r="G141" s="347">
        <f>AAG141</f>
        <v>0</v>
      </c>
      <c r="H141" s="343">
        <f t="shared" si="64"/>
        <v>0</v>
      </c>
      <c r="I141" s="244"/>
      <c r="J141" s="194"/>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s="52"/>
      <c r="AAA141" s="192"/>
      <c r="AAD141" s="90"/>
      <c r="AAE141" s="519">
        <f>IF(S.Planning.ApproveCommunicationsLoop4="N",,IF(OR(S.Planning.CommunicationsPlan="Y",S.Planning.MessageMap="Y",S.Planning.ProgramWebPage="Y"),1,0))</f>
        <v>0</v>
      </c>
      <c r="AAF141" s="90"/>
      <c r="AAG141" s="73">
        <f>IF(AAE141=0,,H140)</f>
        <v>0</v>
      </c>
      <c r="AAH141" s="73">
        <f t="shared" si="65"/>
        <v>0</v>
      </c>
      <c r="AAI141" s="60"/>
      <c r="AAJ141" s="56"/>
      <c r="AAK141" s="85"/>
      <c r="AAL141" s="90"/>
    </row>
    <row r="142" spans="1:715" s="23" customFormat="1" ht="15" customHeight="1" outlineLevel="2">
      <c r="A142" s="171"/>
      <c r="B142" s="809" t="str">
        <f>AAK142</f>
        <v>AndreaRW:</v>
      </c>
      <c r="C142" s="271" t="s">
        <v>0</v>
      </c>
      <c r="D142" s="274"/>
      <c r="E142" s="497"/>
      <c r="F142" s="497"/>
      <c r="G142" s="796"/>
      <c r="H142" s="497"/>
      <c r="I142" s="244"/>
      <c r="J142" s="196"/>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s="52"/>
      <c r="AAA142" s="192"/>
      <c r="AAD142" s="90"/>
      <c r="AAE142" s="519">
        <f t="shared" si="57"/>
        <v>1</v>
      </c>
      <c r="AAF142" s="190" t="s">
        <v>52</v>
      </c>
      <c r="AAG142" s="60"/>
      <c r="AAH142" s="60"/>
      <c r="AAI142" s="72"/>
      <c r="AAJ142" s="55"/>
      <c r="AAK142" s="76" t="str">
        <f>S.Staff.Lead&amp;":"</f>
        <v>AndreaRW:</v>
      </c>
      <c r="AAL142" s="90"/>
    </row>
    <row r="143" spans="1:715" s="23" customFormat="1" ht="15" customHeight="1" outlineLevel="2">
      <c r="A143" s="171"/>
      <c r="B143" s="810" t="s">
        <v>266</v>
      </c>
      <c r="C143" s="364" t="s">
        <v>0</v>
      </c>
      <c r="D143" s="378"/>
      <c r="E143" s="342">
        <f t="shared" si="61"/>
        <v>0</v>
      </c>
      <c r="F143" s="457">
        <f t="shared" ca="1" si="62"/>
        <v>0</v>
      </c>
      <c r="G143" s="347">
        <f>AAG143</f>
        <v>0</v>
      </c>
      <c r="H143" s="343">
        <f t="shared" si="64"/>
        <v>0</v>
      </c>
      <c r="I143" s="244"/>
      <c r="J143" s="194"/>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s="52"/>
      <c r="AAA143" s="192" t="s">
        <v>0</v>
      </c>
      <c r="AAD143" s="90"/>
      <c r="AAE143" s="519">
        <f t="shared" si="57"/>
        <v>1</v>
      </c>
      <c r="AAF143" s="90"/>
      <c r="AAG143" s="73">
        <f t="shared" ref="AAG143:AAG198" si="71">S.AC.BANNER.Begin</f>
        <v>0</v>
      </c>
      <c r="AAH143" s="73">
        <f t="shared" si="65"/>
        <v>0</v>
      </c>
      <c r="AAI143" s="60"/>
      <c r="AAJ143" s="56"/>
      <c r="AAK143" s="85"/>
      <c r="AAL143" s="90"/>
    </row>
    <row r="144" spans="1:715" s="23" customFormat="1" ht="15" customHeight="1" outlineLevel="2">
      <c r="A144" s="171" t="s">
        <v>353</v>
      </c>
      <c r="B144" s="810" t="s">
        <v>434</v>
      </c>
      <c r="C144" s="364" t="s">
        <v>0</v>
      </c>
      <c r="D144" s="378"/>
      <c r="E144" s="342">
        <f t="shared" ref="E144" si="72">NETWORKDAYS(G144,H144,S.DDL_DEQClosed)</f>
        <v>0</v>
      </c>
      <c r="F144" s="457">
        <f t="shared" ref="F144" ca="1" si="73">IF(YEAR(H144)&gt;2000,NETWORKDAYS(TODAY(),H144,S.DDL_DEQClosed),0)</f>
        <v>0</v>
      </c>
      <c r="G144" s="347">
        <f>AAG144</f>
        <v>0</v>
      </c>
      <c r="H144" s="343">
        <f t="shared" ref="H144" si="74">AAH144</f>
        <v>0</v>
      </c>
      <c r="I144" s="244"/>
      <c r="J144" s="194"/>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s="52"/>
      <c r="AAA144" s="192" t="s">
        <v>0</v>
      </c>
      <c r="AAD144" s="90"/>
      <c r="AAE144" s="519">
        <f t="shared" si="57"/>
        <v>1</v>
      </c>
      <c r="AAF144" s="90"/>
      <c r="AAG144" s="73">
        <f t="shared" si="71"/>
        <v>0</v>
      </c>
      <c r="AAH144" s="73">
        <f t="shared" ref="AAH144" si="75">G144</f>
        <v>0</v>
      </c>
      <c r="AAI144" s="60"/>
      <c r="AAJ144" s="56"/>
      <c r="AAK144" s="85"/>
      <c r="AAL144" s="90"/>
    </row>
    <row r="145" spans="1:715" s="23" customFormat="1" ht="15" customHeight="1" outlineLevel="2">
      <c r="A145" s="171"/>
      <c r="B145" s="811" t="str">
        <f t="shared" ref="B145" si="76">AAK145</f>
        <v>* works with Michele to make adjustments</v>
      </c>
      <c r="C145" s="364" t="s">
        <v>0</v>
      </c>
      <c r="D145" s="378"/>
      <c r="E145" s="342">
        <f t="shared" si="61"/>
        <v>0</v>
      </c>
      <c r="F145" s="457">
        <f t="shared" ca="1" si="62"/>
        <v>0</v>
      </c>
      <c r="G145" s="347">
        <f>AAG145</f>
        <v>0</v>
      </c>
      <c r="H145" s="343">
        <f t="shared" si="64"/>
        <v>0</v>
      </c>
      <c r="I145" s="244"/>
      <c r="J145" s="194"/>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s="52"/>
      <c r="AAA145" s="192"/>
      <c r="AAD145" s="90"/>
      <c r="AAE145" s="519">
        <f t="shared" si="57"/>
        <v>1</v>
      </c>
      <c r="AAF145" s="90"/>
      <c r="AAG145" s="73">
        <f t="shared" si="71"/>
        <v>0</v>
      </c>
      <c r="AAH145" s="73">
        <f t="shared" si="65"/>
        <v>0</v>
      </c>
      <c r="AAI145" s="60"/>
      <c r="AAJ145" s="56"/>
      <c r="AAK145" s="254" t="str">
        <f>"* works with "&amp;S.Staff.WebMaster&amp;" to make adjustments"</f>
        <v>* works with Michele to make adjustments</v>
      </c>
      <c r="AAL145" s="90"/>
    </row>
    <row r="146" spans="1:715" s="23" customFormat="1" ht="15.75" customHeight="1" outlineLevel="1">
      <c r="A146" s="171"/>
      <c r="B146" s="814" t="s">
        <v>465</v>
      </c>
      <c r="I146" s="244"/>
      <c r="J146" s="193"/>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s="52"/>
      <c r="AAA146" s="192"/>
      <c r="AAD146" s="90"/>
      <c r="AAE146" s="519">
        <f t="shared" si="44"/>
        <v>1</v>
      </c>
      <c r="AAF146" s="190" t="s">
        <v>52</v>
      </c>
      <c r="AAG146" s="72"/>
      <c r="AAH146" s="72"/>
      <c r="AAI146" s="72"/>
      <c r="AAJ146" s="75"/>
      <c r="AAK146" s="491"/>
      <c r="AAL146" s="90"/>
    </row>
    <row r="147" spans="1:715" s="23" customFormat="1" ht="15.75" customHeight="1" outlineLevel="1">
      <c r="A147" s="171"/>
      <c r="B147" s="486" t="str">
        <f>AAK147</f>
        <v>AndreaRW coordinates with Team to:</v>
      </c>
      <c r="C147" s="272"/>
      <c r="D147" s="265"/>
      <c r="E147" s="266"/>
      <c r="F147" s="267"/>
      <c r="G147" s="268"/>
      <c r="H147" s="269"/>
      <c r="I147" s="244"/>
      <c r="J147" s="193"/>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s="52"/>
      <c r="AAA147" s="192"/>
      <c r="AAD147" s="90"/>
      <c r="AAE147" s="519">
        <f t="shared" si="44"/>
        <v>1</v>
      </c>
      <c r="AAF147" s="190" t="s">
        <v>52</v>
      </c>
      <c r="AAG147" s="71"/>
      <c r="AAH147" s="71"/>
      <c r="AAI147" s="72"/>
      <c r="AAJ147" s="55"/>
      <c r="AAK147" s="92" t="str">
        <f>S.Staff.Lead&amp;" coordinates with Team to:"</f>
        <v>AndreaRW coordinates with Team to:</v>
      </c>
      <c r="AAL147" s="90"/>
    </row>
    <row r="148" spans="1:715" s="23" customFormat="1" ht="15.75" customHeight="1" outlineLevel="1">
      <c r="A148" s="171"/>
      <c r="B148" s="363" t="str">
        <f>AAK148</f>
        <v>* refine communications plan with WilliamK</v>
      </c>
      <c r="C148" s="272"/>
      <c r="D148" s="261"/>
      <c r="E148" s="263">
        <f t="shared" ref="E148" si="77">NETWORKDAYS(G148,H148,S.DDL_DEQClosed)</f>
        <v>1</v>
      </c>
      <c r="F148" s="457">
        <f ca="1">IF(YEAR(H148)&gt;2000,NETWORKDAYS(TODAY(),H148,S.DDL_DEQClosed),0)</f>
        <v>3</v>
      </c>
      <c r="G148" s="264">
        <f t="shared" ref="G148" si="78">AAG148</f>
        <v>41577</v>
      </c>
      <c r="H148" s="264">
        <f t="shared" ref="H148" si="79">AAH148</f>
        <v>41577</v>
      </c>
      <c r="I148" s="244"/>
      <c r="J148" s="193"/>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s="52"/>
      <c r="AAA148" s="192" t="s">
        <v>0</v>
      </c>
      <c r="AAD148" s="90"/>
      <c r="AAE148" s="519">
        <f>IF(S.Planning.CommunicationsPlan="Y",1,0)</f>
        <v>1</v>
      </c>
      <c r="AAF148" s="90"/>
      <c r="AAG148" s="73">
        <f>S.Planning.AddConcepToPlanDate</f>
        <v>41577</v>
      </c>
      <c r="AAH148" s="73">
        <f t="shared" ref="AAH148" si="80">G148</f>
        <v>41577</v>
      </c>
      <c r="AAI148" s="72"/>
      <c r="AAJ148" s="75"/>
      <c r="AAK148" s="92" t="str">
        <f>"* refine communications plan with "&amp;S.Staff.OCOCommunication</f>
        <v>* refine communications plan with WilliamK</v>
      </c>
      <c r="AAL148" s="90"/>
    </row>
    <row r="149" spans="1:715" s="23" customFormat="1" ht="15.75" customHeight="1" outlineLevel="1">
      <c r="A149" s="171"/>
      <c r="B149" s="363" t="s">
        <v>462</v>
      </c>
      <c r="C149" s="272"/>
      <c r="D149" s="261"/>
      <c r="E149" s="263">
        <f t="shared" ref="E149" si="81">NETWORKDAYS(G149,H149,S.DDL_DEQClosed)</f>
        <v>1</v>
      </c>
      <c r="F149" s="457">
        <f ca="1">IF(YEAR(H149)&gt;2000,NETWORKDAYS(TODAY(),H149,S.DDL_DEQClosed),0)</f>
        <v>3</v>
      </c>
      <c r="G149" s="264">
        <f t="shared" ref="G149" si="82">AAG149</f>
        <v>41577</v>
      </c>
      <c r="H149" s="264">
        <f t="shared" ref="H149" si="83">AAH149</f>
        <v>41577</v>
      </c>
      <c r="I149" s="244"/>
      <c r="J149" s="193"/>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s="52"/>
      <c r="AAA149" s="192" t="s">
        <v>0</v>
      </c>
      <c r="AAD149" s="90"/>
      <c r="AAE149" s="519">
        <f>IF(S.Planning.CommunicationsPlan="Y",1,0)</f>
        <v>1</v>
      </c>
      <c r="AAF149" s="90"/>
      <c r="AAG149" s="73">
        <f>S.Planning.AddConcepToPlanDate</f>
        <v>41577</v>
      </c>
      <c r="AAH149" s="73">
        <f t="shared" ref="AAH149" si="84">G149</f>
        <v>41577</v>
      </c>
      <c r="AAI149" s="72"/>
      <c r="AAJ149" s="75"/>
      <c r="AAK149" s="92" t="str">
        <f>"* reach consensus with communication plan"</f>
        <v>* reach consensus with communication plan</v>
      </c>
      <c r="AAL149" s="90"/>
    </row>
    <row r="150" spans="1:715" s="23" customFormat="1" ht="15.75" customHeight="1" outlineLevel="1">
      <c r="A150" s="171"/>
      <c r="B150" s="363" t="s">
        <v>463</v>
      </c>
      <c r="C150" s="272"/>
      <c r="D150" s="261"/>
      <c r="E150" s="263">
        <f t="shared" ref="E150:E151" si="85">NETWORKDAYS(G150,H150,S.DDL_DEQClosed)</f>
        <v>1</v>
      </c>
      <c r="F150" s="457">
        <f ca="1">IF(YEAR(H150)&gt;2000,NETWORKDAYS(TODAY(),H150,S.DDL_DEQClosed),0)</f>
        <v>3</v>
      </c>
      <c r="G150" s="264">
        <f t="shared" ref="G150:G151" si="86">AAG150</f>
        <v>41577</v>
      </c>
      <c r="H150" s="264">
        <f t="shared" ref="H150:H151" si="87">AAH150</f>
        <v>41577</v>
      </c>
      <c r="I150" s="244"/>
      <c r="J150" s="193"/>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s="52"/>
      <c r="AAA150" s="192" t="s">
        <v>0</v>
      </c>
      <c r="AAD150" s="90"/>
      <c r="AAE150" s="519">
        <f>IF(S.Planning.MessageMap="Y",1,0)</f>
        <v>1</v>
      </c>
      <c r="AAF150" s="90"/>
      <c r="AAG150" s="73">
        <f>S.Planning.AddConcepToPlanDate</f>
        <v>41577</v>
      </c>
      <c r="AAH150" s="73">
        <f t="shared" ref="AAH150:AAH151" si="88">G150</f>
        <v>41577</v>
      </c>
      <c r="AAI150" s="72"/>
      <c r="AAJ150" s="75"/>
      <c r="AAK150" s="92" t="str">
        <f>"* reach consensus with Message Map"</f>
        <v>* reach consensus with Message Map</v>
      </c>
      <c r="AAL150" s="90"/>
    </row>
    <row r="151" spans="1:715" s="23" customFormat="1" ht="15.75" customHeight="1" outlineLevel="1">
      <c r="A151" s="171"/>
      <c r="B151" s="363" t="s">
        <v>425</v>
      </c>
      <c r="C151" s="790" t="str">
        <f>HYPERLINK("http://arcweb.sos.state.or.us/pages/rules/oars_300/oar_340/340_018.html","i")</f>
        <v>i</v>
      </c>
      <c r="D151" s="507"/>
      <c r="E151" s="494">
        <f t="shared" si="85"/>
        <v>1</v>
      </c>
      <c r="F151" s="457">
        <f t="shared" ref="F151" ca="1" si="89">IF(YEAR(H151)&gt;2000,NETWORKDAYS(TODAY(),H151,S.DDL_DEQClosed),0)</f>
        <v>3</v>
      </c>
      <c r="G151" s="264">
        <f t="shared" si="86"/>
        <v>41577</v>
      </c>
      <c r="H151" s="264">
        <f t="shared" si="87"/>
        <v>41577</v>
      </c>
      <c r="I151" s="244"/>
      <c r="J151" s="193"/>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s="52"/>
      <c r="AAA151" s="192"/>
      <c r="AAD151" s="90"/>
      <c r="AAE151" s="519">
        <f t="shared" si="44"/>
        <v>1</v>
      </c>
      <c r="AAF151" s="90"/>
      <c r="AAG151" s="73">
        <f>G162</f>
        <v>41577</v>
      </c>
      <c r="AAH151" s="73">
        <f t="shared" si="88"/>
        <v>41577</v>
      </c>
      <c r="AAI151" s="72"/>
      <c r="AAJ151" s="55"/>
      <c r="AAK151" s="71" t="s">
        <v>0</v>
      </c>
      <c r="AAL151" s="90"/>
    </row>
    <row r="152" spans="1:715" s="23" customFormat="1" ht="15.75" customHeight="1" outlineLevel="1">
      <c r="A152" s="171"/>
      <c r="B152" s="814" t="s">
        <v>278</v>
      </c>
      <c r="C152"/>
      <c r="E152"/>
      <c r="F152"/>
      <c r="G152"/>
      <c r="H152"/>
      <c r="I152" s="244"/>
      <c r="J152" s="193"/>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s="52"/>
      <c r="AAA152" s="192"/>
      <c r="AAD152" s="90"/>
      <c r="AAE152" s="519">
        <f t="shared" si="44"/>
        <v>1</v>
      </c>
      <c r="AAF152" s="190" t="s">
        <v>52</v>
      </c>
      <c r="AAG152" s="72"/>
      <c r="AAH152" s="72"/>
      <c r="AAI152" s="72"/>
      <c r="AAJ152" s="75"/>
      <c r="AAK152" s="491"/>
      <c r="AAL152" s="90"/>
    </row>
    <row r="153" spans="1:715" s="23" customFormat="1" ht="15.75" customHeight="1" outlineLevel="1">
      <c r="A153" s="171"/>
      <c r="B153" s="486" t="str">
        <f>AAK153</f>
        <v>AndreaRW:</v>
      </c>
      <c r="C153" s="272"/>
      <c r="D153" s="265"/>
      <c r="E153" s="266"/>
      <c r="F153" s="267"/>
      <c r="G153" s="268"/>
      <c r="H153" s="269"/>
      <c r="I153" s="244"/>
      <c r="J153" s="193"/>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s="52"/>
      <c r="AAA153" s="192"/>
      <c r="AAD153" s="90"/>
      <c r="AAE153" s="519">
        <f t="shared" si="44"/>
        <v>1</v>
      </c>
      <c r="AAF153" s="190" t="s">
        <v>52</v>
      </c>
      <c r="AAG153" s="71"/>
      <c r="AAH153" s="71"/>
      <c r="AAI153" s="72"/>
      <c r="AAJ153" s="55"/>
      <c r="AAK153" s="92" t="str">
        <f>S.Staff.Lead&amp;":"</f>
        <v>AndreaRW:</v>
      </c>
      <c r="AAL153" s="90"/>
    </row>
    <row r="154" spans="1:715" s="23" customFormat="1" ht="15.75" customHeight="1" outlineLevel="1">
      <c r="A154" s="171"/>
      <c r="B154" s="363" t="s">
        <v>246</v>
      </c>
      <c r="C154" s="790" t="str">
        <f>HYPERLINK("http://arcweb.sos.state.or.us/pages/rules/oars_300/oar_340/340_tofc.html","i")</f>
        <v>i</v>
      </c>
      <c r="D154" s="507"/>
      <c r="E154"/>
      <c r="F154" s="457">
        <f t="shared" ref="F154:F166" ca="1" si="90">IF(YEAR(H154)&gt;2000,NETWORKDAYS(TODAY(),H154,S.DDL_DEQClosed),0)</f>
        <v>3</v>
      </c>
      <c r="G154"/>
      <c r="H154" s="264">
        <f t="shared" ref="H154" si="91">AAH154</f>
        <v>41577</v>
      </c>
      <c r="I154" s="244"/>
      <c r="J154" s="193"/>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s="52"/>
      <c r="AAA154" s="192" t="s">
        <v>0</v>
      </c>
      <c r="AAD154" s="90"/>
      <c r="AAE154" s="519">
        <f t="shared" si="44"/>
        <v>1</v>
      </c>
      <c r="AAF154" s="90"/>
      <c r="AAG154" s="71"/>
      <c r="AAH154" s="73">
        <f>IF(S.Planning.DecisionToAddToPlan="A",H97)</f>
        <v>41577</v>
      </c>
      <c r="AAI154" s="72"/>
      <c r="AAJ154" s="75"/>
      <c r="AAK154" s="491"/>
      <c r="AAL154" s="90"/>
    </row>
    <row r="155" spans="1:715" ht="15.75" customHeight="1" outlineLevel="1">
      <c r="A155" s="171"/>
      <c r="B155" s="363" t="s">
        <v>308</v>
      </c>
      <c r="C155" s="256" t="s">
        <v>0</v>
      </c>
      <c r="D155"/>
      <c r="E155"/>
      <c r="F155"/>
      <c r="G155"/>
      <c r="H155"/>
      <c r="I155" s="244"/>
      <c r="J155" s="193"/>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AAA155" s="192"/>
      <c r="AAD155" s="90"/>
      <c r="AAE155" s="519">
        <f t="shared" si="44"/>
        <v>1</v>
      </c>
      <c r="AAF155" s="90"/>
      <c r="AAG155" s="71"/>
      <c r="AAH155" s="71"/>
      <c r="AAI155" s="72"/>
      <c r="AAJ155" s="62"/>
      <c r="AAK155" s="491"/>
      <c r="AAL155" s="90"/>
      <c r="AAM155"/>
    </row>
    <row r="156" spans="1:715" s="23" customFormat="1" ht="15.75" customHeight="1" outlineLevel="1">
      <c r="A156" s="171"/>
      <c r="B156" s="486" t="s">
        <v>394</v>
      </c>
      <c r="C156" s="272"/>
      <c r="D156" s="265"/>
      <c r="E156" s="266"/>
      <c r="F156" s="267"/>
      <c r="G156" s="268"/>
      <c r="H156" s="269"/>
      <c r="I156" s="244"/>
      <c r="J156" s="193"/>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s="52"/>
      <c r="AAA156" s="192"/>
      <c r="AAD156" s="90"/>
      <c r="AAE156" s="519">
        <f t="shared" si="44"/>
        <v>1</v>
      </c>
      <c r="AAF156" s="190" t="s">
        <v>52</v>
      </c>
      <c r="AAG156" s="71"/>
      <c r="AAH156" s="71"/>
      <c r="AAI156" s="72"/>
      <c r="AAJ156" s="55"/>
      <c r="AAK156" s="491"/>
      <c r="AAL156" s="90"/>
    </row>
    <row r="157" spans="1:715" s="23" customFormat="1" ht="15.75" customHeight="1" outlineLevel="1">
      <c r="A157" s="171"/>
      <c r="B157" s="439" t="s">
        <v>396</v>
      </c>
      <c r="C157" s="272"/>
      <c r="D157" s="265"/>
      <c r="E157" s="266"/>
      <c r="F157" s="267"/>
      <c r="G157" s="268"/>
      <c r="H157" s="269"/>
      <c r="I157" s="244"/>
      <c r="J157" s="193"/>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s="52"/>
      <c r="AAA157" s="192"/>
      <c r="AAD157" s="90"/>
      <c r="AAE157" s="519">
        <f t="shared" si="44"/>
        <v>1</v>
      </c>
      <c r="AAF157" s="190" t="s">
        <v>52</v>
      </c>
      <c r="AAG157" s="71"/>
      <c r="AAH157" s="71"/>
      <c r="AAI157" s="72"/>
      <c r="AAJ157" s="55"/>
      <c r="AAK157" s="491"/>
      <c r="AAL157" s="90"/>
    </row>
    <row r="158" spans="1:715" s="23" customFormat="1" ht="15.75" customHeight="1" outlineLevel="1">
      <c r="A158" s="171"/>
      <c r="B158" s="716" t="s">
        <v>395</v>
      </c>
      <c r="C158" s="272"/>
      <c r="D158" s="265"/>
      <c r="E158" s="266"/>
      <c r="F158" s="267"/>
      <c r="G158" s="268"/>
      <c r="H158" s="269"/>
      <c r="I158" s="244"/>
      <c r="J158" s="193"/>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s="52"/>
      <c r="AAA158" s="192"/>
      <c r="AAD158" s="90"/>
      <c r="AAE158" s="519">
        <f t="shared" si="44"/>
        <v>1</v>
      </c>
      <c r="AAF158" s="190" t="s">
        <v>52</v>
      </c>
      <c r="AAG158" s="71"/>
      <c r="AAH158" s="71"/>
      <c r="AAI158" s="72"/>
      <c r="AAJ158" s="55"/>
      <c r="AAK158" s="491"/>
      <c r="AAL158" s="90"/>
    </row>
    <row r="159" spans="1:715" s="23" customFormat="1" ht="15.75" customHeight="1" outlineLevel="1">
      <c r="A159" s="171"/>
      <c r="B159" s="363" t="s">
        <v>309</v>
      </c>
      <c r="C159" s="256" t="s">
        <v>0</v>
      </c>
      <c r="D159" s="259"/>
      <c r="E159" s="263">
        <f t="shared" ref="E159:E163" si="92">NETWORKDAYS(G159,H159,S.DDL_DEQClosed)</f>
        <v>1</v>
      </c>
      <c r="F159" s="457">
        <f t="shared" ca="1" si="90"/>
        <v>3</v>
      </c>
      <c r="G159" s="264">
        <f t="shared" ref="G159" si="93">AAG159</f>
        <v>41577</v>
      </c>
      <c r="H159" s="264">
        <f t="shared" ref="H159" si="94">AAH159</f>
        <v>41577</v>
      </c>
      <c r="I159" s="244"/>
      <c r="J159" s="193"/>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s="52"/>
      <c r="AAA159" s="192"/>
      <c r="AAD159" s="90"/>
      <c r="AAE159" s="519">
        <f t="shared" si="44"/>
        <v>1</v>
      </c>
      <c r="AAF159" s="90"/>
      <c r="AAG159" s="73">
        <f>H154</f>
        <v>41577</v>
      </c>
      <c r="AAH159" s="73">
        <f t="shared" si="56"/>
        <v>41577</v>
      </c>
      <c r="AAI159" s="72"/>
      <c r="AAJ159" s="62"/>
      <c r="AAK159" s="491"/>
      <c r="AAL159" s="90"/>
    </row>
    <row r="160" spans="1:715" s="23" customFormat="1" ht="15.75" customHeight="1" outlineLevel="1">
      <c r="A160" s="171"/>
      <c r="B160" s="486" t="s">
        <v>424</v>
      </c>
      <c r="C160" s="272"/>
      <c r="D160" s="265"/>
      <c r="E160" s="266"/>
      <c r="F160" s="267"/>
      <c r="G160" s="268"/>
      <c r="H160" s="269"/>
      <c r="I160" s="244"/>
      <c r="J160" s="193"/>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s="52"/>
      <c r="AAA160" s="192"/>
      <c r="AAD160" s="90"/>
      <c r="AAE160" s="519">
        <f t="shared" si="44"/>
        <v>1</v>
      </c>
      <c r="AAF160" s="190" t="s">
        <v>52</v>
      </c>
      <c r="AAG160" s="71"/>
      <c r="AAH160" s="71"/>
      <c r="AAI160" s="72"/>
      <c r="AAJ160" s="55"/>
      <c r="AAK160" s="491"/>
      <c r="AAL160" s="90"/>
    </row>
    <row r="161" spans="1:715" s="23" customFormat="1" ht="15.75" customHeight="1" outlineLevel="1">
      <c r="A161" s="171"/>
      <c r="B161" s="363" t="str">
        <f t="shared" ref="B161:B166" si="95">AAK161</f>
        <v>* requests Maggie provide numbers for new rules/divisions</v>
      </c>
      <c r="C161" s="256" t="s">
        <v>0</v>
      </c>
      <c r="D161" s="259"/>
      <c r="E161" s="263">
        <f t="shared" si="92"/>
        <v>1</v>
      </c>
      <c r="F161" s="457">
        <f t="shared" ca="1" si="90"/>
        <v>3</v>
      </c>
      <c r="G161" s="264">
        <f t="shared" ref="G161" si="96">AAG161</f>
        <v>41577</v>
      </c>
      <c r="H161" s="264">
        <f t="shared" ref="H161" si="97">AAH161</f>
        <v>41577</v>
      </c>
      <c r="I161" s="244"/>
      <c r="J161" s="193"/>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s="52"/>
      <c r="AAA161" s="192"/>
      <c r="AAD161" s="90"/>
      <c r="AAE161" s="519">
        <f t="shared" si="44"/>
        <v>1</v>
      </c>
      <c r="AAF161" s="90"/>
      <c r="AAG161" s="73">
        <f>G159</f>
        <v>41577</v>
      </c>
      <c r="AAH161" s="73">
        <f t="shared" si="56"/>
        <v>41577</v>
      </c>
      <c r="AAI161" s="72"/>
      <c r="AAJ161" s="62"/>
      <c r="AAK161" s="92" t="str">
        <f>"* requests "&amp;S.Staff.AgencyRulesCoordinator&amp;" provide numbers for new rules/divisions"</f>
        <v>* requests Maggie provide numbers for new rules/divisions</v>
      </c>
      <c r="AAL161" s="90"/>
    </row>
    <row r="162" spans="1:715" s="23" customFormat="1" ht="15.75" customHeight="1" outlineLevel="1">
      <c r="A162" s="171"/>
      <c r="B162" s="291" t="str">
        <f t="shared" si="95"/>
        <v>Maggie obtains, verifies, provides previously unused numbers</v>
      </c>
      <c r="C162" s="256" t="s">
        <v>0</v>
      </c>
      <c r="D162" s="259"/>
      <c r="E162" s="263">
        <f t="shared" si="92"/>
        <v>1</v>
      </c>
      <c r="F162" s="457">
        <f t="shared" ca="1" si="90"/>
        <v>3</v>
      </c>
      <c r="G162" s="264">
        <f t="shared" ref="G162:G163" si="98">AAG162</f>
        <v>41577</v>
      </c>
      <c r="H162" s="264">
        <f t="shared" ref="H162:H163" si="99">AAH162</f>
        <v>41577</v>
      </c>
      <c r="I162" s="244"/>
      <c r="J162" s="193"/>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s="52"/>
      <c r="AAA162" s="192"/>
      <c r="AAD162" s="90"/>
      <c r="AAE162" s="519">
        <f t="shared" si="44"/>
        <v>1</v>
      </c>
      <c r="AAF162" s="90"/>
      <c r="AAG162" s="73">
        <f t="shared" ref="AAG162:AAG163" si="100">G161</f>
        <v>41577</v>
      </c>
      <c r="AAH162" s="73">
        <f t="shared" si="56"/>
        <v>41577</v>
      </c>
      <c r="AAI162" s="72"/>
      <c r="AAJ162" s="62"/>
      <c r="AAK162" s="92" t="str">
        <f>S.Staff.AgencyRulesCoordinator&amp;" obtains, verifies, provides previously unused numbers"</f>
        <v>Maggie obtains, verifies, provides previously unused numbers</v>
      </c>
      <c r="AAL162" s="90"/>
    </row>
    <row r="163" spans="1:715" s="23" customFormat="1" ht="15.75" customHeight="1" outlineLevel="1">
      <c r="A163" s="171"/>
      <c r="B163" s="291" t="str">
        <f t="shared" si="95"/>
        <v xml:space="preserve">AndreaDRC identifies rules that may be involved in other rulemakings </v>
      </c>
      <c r="C163" s="256" t="s">
        <v>0</v>
      </c>
      <c r="D163" s="259"/>
      <c r="E163" s="263">
        <f t="shared" si="92"/>
        <v>1</v>
      </c>
      <c r="F163" s="457">
        <f t="shared" ca="1" si="90"/>
        <v>3</v>
      </c>
      <c r="G163" s="264">
        <f t="shared" si="98"/>
        <v>41577</v>
      </c>
      <c r="H163" s="264">
        <f t="shared" si="99"/>
        <v>41577</v>
      </c>
      <c r="I163" s="244"/>
      <c r="J163" s="193"/>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s="52"/>
      <c r="AAA163" s="192"/>
      <c r="AAD163" s="90"/>
      <c r="AAE163" s="519">
        <f t="shared" si="44"/>
        <v>1</v>
      </c>
      <c r="AAF163" s="90"/>
      <c r="AAG163" s="73">
        <f t="shared" si="100"/>
        <v>41577</v>
      </c>
      <c r="AAH163" s="73">
        <f t="shared" si="56"/>
        <v>41577</v>
      </c>
      <c r="AAI163" s="72"/>
      <c r="AAJ163" s="62"/>
      <c r="AAK163" s="92" t="str">
        <f>S.Staff.DivisionRulesCoordinator&amp;" identifies rules that may be involved in other rulemakings "</f>
        <v xml:space="preserve">AndreaDRC identifies rules that may be involved in other rulemakings </v>
      </c>
      <c r="AAL163" s="90"/>
    </row>
    <row r="164" spans="1:715" s="23" customFormat="1" ht="15.75" customHeight="1" outlineLevel="1">
      <c r="A164" s="171"/>
      <c r="B164" s="486" t="str">
        <f>AAK164</f>
        <v>AndreaRW:</v>
      </c>
      <c r="C164" s="272"/>
      <c r="D164" s="265"/>
      <c r="E164" s="266"/>
      <c r="F164" s="267"/>
      <c r="G164" s="268"/>
      <c r="H164" s="269"/>
      <c r="I164" s="244"/>
      <c r="J164" s="193"/>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s="52"/>
      <c r="AAA164" s="192"/>
      <c r="AAD164" s="90"/>
      <c r="AAE164" s="519">
        <f t="shared" si="44"/>
        <v>1</v>
      </c>
      <c r="AAF164" s="190" t="s">
        <v>52</v>
      </c>
      <c r="AAG164" s="71"/>
      <c r="AAH164" s="71"/>
      <c r="AAI164" s="72"/>
      <c r="AAJ164" s="55"/>
      <c r="AAK164" s="92" t="str">
        <f>S.Staff.Lead&amp;":"</f>
        <v>AndreaRW:</v>
      </c>
      <c r="AAL164" s="90"/>
    </row>
    <row r="165" spans="1:715" s="23" customFormat="1" ht="15.75" customHeight="1" outlineLevel="1">
      <c r="A165" s="171"/>
      <c r="B165" s="363" t="str">
        <f t="shared" si="95"/>
        <v>* coordinates with AndreaSIP to identify SIP rules</v>
      </c>
      <c r="C165" s="257"/>
      <c r="D165" s="259"/>
      <c r="E165" s="494">
        <f t="shared" ref="E165" si="101">NETWORKDAYS(G165,H165,S.DDL_DEQClosed)</f>
        <v>1</v>
      </c>
      <c r="F165" s="457">
        <f t="shared" ca="1" si="90"/>
        <v>3</v>
      </c>
      <c r="G165" s="495">
        <f>AAG165</f>
        <v>41577</v>
      </c>
      <c r="H165" s="495">
        <f>AAH165</f>
        <v>41577</v>
      </c>
      <c r="I165" s="244"/>
      <c r="J165" s="194"/>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s="52"/>
      <c r="AAA165" s="192" t="s">
        <v>0</v>
      </c>
      <c r="AAB165"/>
      <c r="AAC165"/>
      <c r="AAD165" s="90"/>
      <c r="AAE165" s="519">
        <f>IF(AND(S.Planning.DecisionToAddToPlan="A",S.SIP.Involved="Y"),1,0)</f>
        <v>1</v>
      </c>
      <c r="AAF165" s="90" t="s">
        <v>0</v>
      </c>
      <c r="AAG165" s="73">
        <f>IF(S.SIP.Involved="Y",S.Planning.AddConcepToPlanDate,)</f>
        <v>41577</v>
      </c>
      <c r="AAH165" s="73">
        <f t="shared" ref="AAH165" si="102">G165</f>
        <v>41577</v>
      </c>
      <c r="AAI165" s="72"/>
      <c r="AAJ165" s="72"/>
      <c r="AAK165" s="92" t="str">
        <f>"* coordinates with "&amp;S.Staff.SIPCo&amp;" to identify SIP rules"</f>
        <v>* coordinates with AndreaSIP to identify SIP rules</v>
      </c>
      <c r="AAL165" s="90"/>
    </row>
    <row r="166" spans="1:715" s="23" customFormat="1" ht="15.75" customHeight="1" outlineLevel="1">
      <c r="A166" s="171"/>
      <c r="B166" s="363" t="str">
        <f t="shared" si="95"/>
        <v>* gathers all planning emails for the Rule Record and saves as:</v>
      </c>
      <c r="C166" s="789" t="str">
        <f>HYPERLINK("\\deqhq1\Rule_Development\Currrent Plan","i")</f>
        <v>i</v>
      </c>
      <c r="D166" s="259"/>
      <c r="E166" s="494">
        <f t="shared" ref="E166" si="103">NETWORKDAYS(G166,H166,S.DDL_DEQClosed)</f>
        <v>1</v>
      </c>
      <c r="F166" s="457">
        <f t="shared" ca="1" si="90"/>
        <v>-2</v>
      </c>
      <c r="G166" s="264">
        <f>AAG166</f>
        <v>41572</v>
      </c>
      <c r="H166" s="264">
        <f t="shared" ref="H166" si="104">AAH166</f>
        <v>41572</v>
      </c>
      <c r="I166" s="244"/>
      <c r="J166" s="194"/>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s="52"/>
      <c r="AAA166" s="192"/>
      <c r="AAD166" s="90"/>
      <c r="AAE166" s="519">
        <f>IF(S.Planning.DecisionToAddToPlan="A",1,0)</f>
        <v>1</v>
      </c>
      <c r="AAF166" s="90"/>
      <c r="AAG166" s="73">
        <f>S.Planning.BANNER.Begin</f>
        <v>41572</v>
      </c>
      <c r="AAH166" s="73">
        <f>G166</f>
        <v>41572</v>
      </c>
      <c r="AAI166" s="72"/>
      <c r="AAJ166" s="72"/>
      <c r="AAK166" s="92" t="str">
        <f>"* gathers all planning emails for the Rule Record and saves as:"</f>
        <v>* gathers all planning emails for the Rule Record and saves as:</v>
      </c>
      <c r="AAL166" s="90"/>
    </row>
    <row r="167" spans="1:715" s="23" customFormat="1" ht="15.75" customHeight="1" outlineLevel="1">
      <c r="A167" s="171"/>
      <c r="B167" s="372" t="s">
        <v>170</v>
      </c>
      <c r="C167" s="111"/>
      <c r="D167" s="302"/>
      <c r="E167" s="161"/>
      <c r="F167" s="161"/>
      <c r="G167" s="157"/>
      <c r="H167" s="157"/>
      <c r="I167" s="244"/>
      <c r="J167" s="194"/>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s="52"/>
      <c r="AAA167" s="192"/>
      <c r="AAD167" s="90"/>
      <c r="AAE167" s="519">
        <f>IF(S.Planning.DecisionToAddToPlan="A",1,0)</f>
        <v>1</v>
      </c>
      <c r="AAF167" s="190" t="s">
        <v>52</v>
      </c>
      <c r="AAG167" s="71"/>
      <c r="AAH167" s="71"/>
      <c r="AAI167" s="71"/>
      <c r="AAJ167" s="56"/>
      <c r="AAK167" s="71" t="s">
        <v>0</v>
      </c>
      <c r="AAL167" s="90"/>
    </row>
    <row r="168" spans="1:715" ht="6" customHeight="1">
      <c r="A168" s="171"/>
      <c r="B168" s="159"/>
      <c r="C168" s="105"/>
      <c r="D168" s="236"/>
      <c r="E168" s="106"/>
      <c r="F168" s="106"/>
      <c r="G168" s="105"/>
      <c r="H168" s="105"/>
      <c r="I168" s="244"/>
      <c r="J168" s="218"/>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AAA168" s="192"/>
      <c r="AAD168" s="90"/>
      <c r="AAE168" s="519" t="s">
        <v>21</v>
      </c>
      <c r="AAF168" s="190" t="s">
        <v>52</v>
      </c>
      <c r="AAG168" s="71"/>
      <c r="AAH168" s="71"/>
      <c r="AAI168" s="72"/>
      <c r="AAJ168" s="55"/>
      <c r="AAK168" s="491"/>
      <c r="AAL168" s="90"/>
      <c r="AAM168"/>
    </row>
    <row r="169" spans="1:715" s="23" customFormat="1" ht="18" customHeight="1">
      <c r="A169" s="171"/>
      <c r="B169" s="890" t="str">
        <f>AAK16</f>
        <v>Advisory Committee - not involved</v>
      </c>
      <c r="C169" s="890"/>
      <c r="D169" s="890"/>
      <c r="E169" s="890"/>
      <c r="F169" s="890"/>
      <c r="G169" s="890"/>
      <c r="H169" s="99" t="s">
        <v>0</v>
      </c>
      <c r="I169" s="244"/>
      <c r="J169" s="21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s="52"/>
      <c r="AAA169" s="192"/>
      <c r="AAB169"/>
      <c r="AAC169"/>
      <c r="AAD169" s="90"/>
      <c r="AAE169" s="519" t="s">
        <v>22</v>
      </c>
      <c r="AAF169" s="190" t="s">
        <v>52</v>
      </c>
      <c r="AAG169" s="90"/>
      <c r="AAH169" s="90"/>
      <c r="AAI169" s="72"/>
      <c r="AAJ169" s="81"/>
      <c r="AAK169" s="491"/>
      <c r="AAL169" s="90"/>
    </row>
    <row r="170" spans="1:715" s="23" customFormat="1" ht="14.25" hidden="1" customHeight="1" outlineLevel="1">
      <c r="A170" s="171"/>
      <c r="B170" s="141" t="s">
        <v>0</v>
      </c>
      <c r="C170" s="100" t="s">
        <v>0</v>
      </c>
      <c r="D170" s="237"/>
      <c r="E170" s="848" t="s">
        <v>225</v>
      </c>
      <c r="F170" s="848"/>
      <c r="G170" s="848" t="s">
        <v>12</v>
      </c>
      <c r="H170" s="848"/>
      <c r="I170" s="244"/>
      <c r="J170" s="195"/>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s="52"/>
      <c r="AAA170" s="192"/>
      <c r="AAD170" s="90"/>
      <c r="AAE170" s="519" t="s">
        <v>63</v>
      </c>
      <c r="AAF170" s="190" t="s">
        <v>52</v>
      </c>
      <c r="AAG170" s="90"/>
      <c r="AAH170" s="90"/>
      <c r="AAI170" s="72"/>
      <c r="AAJ170" s="81"/>
      <c r="AAK170" s="71"/>
      <c r="AAL170" s="90"/>
    </row>
    <row r="171" spans="1:715" s="552" customFormat="1" ht="24" hidden="1" customHeight="1" outlineLevel="1">
      <c r="A171" s="545"/>
      <c r="B171" s="686" t="str">
        <f>S.General.RulemakingTitle</f>
        <v>Incorporate Lane Regional Air Protection Agency Rules into State Implementation Plan</v>
      </c>
      <c r="C171" s="547" t="s">
        <v>0</v>
      </c>
      <c r="D171" s="547"/>
      <c r="E171" s="559" t="s">
        <v>228</v>
      </c>
      <c r="F171" s="560" t="s">
        <v>226</v>
      </c>
      <c r="G171" s="548" t="s">
        <v>61</v>
      </c>
      <c r="H171" s="548" t="s">
        <v>227</v>
      </c>
      <c r="I171" s="549"/>
      <c r="J171" s="550"/>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1"/>
      <c r="AL171" s="551"/>
      <c r="AM171" s="551"/>
      <c r="AN171" s="551"/>
      <c r="AO171" s="551"/>
      <c r="AP171" s="551"/>
      <c r="AQ171" s="551"/>
      <c r="AR171" s="551"/>
      <c r="AS171" s="551"/>
      <c r="AT171" s="551"/>
      <c r="AU171" s="551"/>
      <c r="AV171" s="551"/>
      <c r="AW171" s="551"/>
      <c r="AX171" s="551"/>
      <c r="AY171" s="551"/>
      <c r="AZ171" s="551"/>
      <c r="BA171" s="551"/>
      <c r="BB171" s="551"/>
      <c r="BC171" s="551"/>
      <c r="BD171" s="551"/>
      <c r="BE171" s="551"/>
      <c r="BF171" s="551"/>
      <c r="BG171" s="551"/>
      <c r="BH171" s="551"/>
      <c r="BI171" s="551"/>
      <c r="BJ171" s="551"/>
      <c r="BK171" s="551"/>
      <c r="BL171" s="551"/>
      <c r="BM171" s="551"/>
      <c r="BN171" s="551"/>
      <c r="BO171" s="551"/>
      <c r="BP171" s="551"/>
      <c r="BQ171" s="551"/>
      <c r="BR171" s="551"/>
      <c r="BS171" s="551"/>
      <c r="BT171" s="551"/>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c r="CZ171" s="551"/>
      <c r="DA171" s="551"/>
      <c r="DB171" s="551"/>
      <c r="DC171" s="551"/>
      <c r="DD171" s="551"/>
      <c r="DE171" s="551"/>
      <c r="DF171" s="551"/>
      <c r="DG171" s="551"/>
      <c r="DH171" s="551"/>
      <c r="DI171" s="551"/>
      <c r="DJ171" s="551"/>
      <c r="DK171" s="551"/>
      <c r="DL171" s="551"/>
      <c r="DM171" s="551"/>
      <c r="DN171" s="551"/>
      <c r="DO171" s="551"/>
      <c r="DP171" s="55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s="52"/>
      <c r="AAA171" s="770"/>
      <c r="AAD171" s="553"/>
      <c r="AAE171" s="554" t="s">
        <v>63</v>
      </c>
      <c r="AAF171" s="555" t="s">
        <v>52</v>
      </c>
      <c r="AAG171" s="553"/>
      <c r="AAH171" s="553"/>
      <c r="AAI171" s="556"/>
      <c r="AAJ171" s="557"/>
      <c r="AAK171" s="558"/>
      <c r="AAL171" s="553"/>
    </row>
    <row r="172" spans="1:715" ht="18" hidden="1" customHeight="1" outlineLevel="1">
      <c r="A172" s="171"/>
      <c r="B172" s="562" t="s">
        <v>12</v>
      </c>
      <c r="C172" s="130" t="s">
        <v>0</v>
      </c>
      <c r="D172" s="238"/>
      <c r="E172" s="130"/>
      <c r="F172" s="277">
        <f>NETWORKDAYS(G172,S.AC.BANNER.End,S.DDL_DEQClosed)</f>
        <v>0</v>
      </c>
      <c r="G172" s="276">
        <f>S.AC.BANNER.Begin</f>
        <v>0</v>
      </c>
      <c r="H172" s="276">
        <f>S.AC.BANNER.End</f>
        <v>0</v>
      </c>
      <c r="I172" s="244"/>
      <c r="J172" s="216"/>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219"/>
      <c r="DE172" s="219"/>
      <c r="DF172" s="219"/>
      <c r="DG172" s="219"/>
      <c r="DH172" s="219"/>
      <c r="DI172" s="219"/>
      <c r="DJ172" s="219"/>
      <c r="DK172" s="219"/>
      <c r="DL172" s="219"/>
      <c r="DM172" s="219"/>
      <c r="DN172" s="219"/>
      <c r="DO172" s="219"/>
      <c r="DP172" s="219"/>
      <c r="AAA172" s="192"/>
      <c r="AAD172" s="90"/>
      <c r="AAE172" s="519" t="s">
        <v>63</v>
      </c>
      <c r="AAF172" s="190" t="s">
        <v>52</v>
      </c>
      <c r="AAG172" s="73">
        <f>S.AC.BANNER.Begin</f>
        <v>0</v>
      </c>
      <c r="AAH172" s="73">
        <f>S.AC.BANNER.End</f>
        <v>0</v>
      </c>
      <c r="AAI172" s="60"/>
      <c r="AAJ172" s="74"/>
      <c r="AAK172" s="491"/>
      <c r="AAL172" s="90"/>
      <c r="AAM172"/>
    </row>
    <row r="173" spans="1:715" ht="6" hidden="1" customHeight="1" outlineLevel="1">
      <c r="A173" s="171"/>
      <c r="B173" s="120"/>
      <c r="C173" s="112"/>
      <c r="D173" s="230"/>
      <c r="E173" s="113"/>
      <c r="F173" s="113"/>
      <c r="G173" s="112"/>
      <c r="H173" s="112"/>
      <c r="I173" s="244"/>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AAA173" s="192"/>
      <c r="AAD173" s="90"/>
      <c r="AAE173" s="520" t="s">
        <v>17</v>
      </c>
      <c r="AAF173" s="190" t="s">
        <v>52</v>
      </c>
      <c r="AAG173" s="60"/>
      <c r="AAH173" s="60"/>
      <c r="AAI173" s="60"/>
      <c r="AAJ173" s="55"/>
      <c r="AAK173" s="491"/>
      <c r="AAL173" s="90"/>
      <c r="AAM173"/>
    </row>
    <row r="174" spans="1:715" s="23" customFormat="1" ht="12.75" hidden="1" customHeight="1" outlineLevel="1">
      <c r="A174" s="171"/>
      <c r="B174" s="798" t="s">
        <v>518</v>
      </c>
      <c r="C174" s="797" t="str">
        <f>HYPERLINK("","i")</f>
        <v>i</v>
      </c>
      <c r="D174" s="231"/>
      <c r="E174" s="97"/>
      <c r="F174" s="97"/>
      <c r="G174" s="96"/>
      <c r="H174" s="96"/>
      <c r="I174" s="244"/>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ZZ174" s="52"/>
      <c r="AAA174" s="192"/>
      <c r="AAD174" s="90"/>
      <c r="AAE174" s="520" t="s">
        <v>21</v>
      </c>
      <c r="AAF174" s="190" t="s">
        <v>52</v>
      </c>
      <c r="AAG174" s="60"/>
      <c r="AAH174" s="60"/>
      <c r="AAI174" s="82"/>
      <c r="AAJ174" s="82"/>
      <c r="AAK174" s="40"/>
      <c r="AAL174" s="90"/>
    </row>
    <row r="175" spans="1:715" s="23" customFormat="1" ht="15.75" hidden="1" customHeight="1" outlineLevel="1">
      <c r="A175" s="171"/>
      <c r="B175" s="437" t="str">
        <f>AAK175</f>
        <v xml:space="preserve">During team meeting, AndreaDRC leads discussion on:    (future iLearn) </v>
      </c>
      <c r="C175" s="375" t="s">
        <v>0</v>
      </c>
      <c r="D175" s="442"/>
      <c r="E175" s="443"/>
      <c r="F175" s="444"/>
      <c r="G175" s="443"/>
      <c r="H175" s="443"/>
      <c r="I175" s="244"/>
      <c r="J175" s="193"/>
      <c r="K175" s="193"/>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s="52"/>
      <c r="AAA175" s="192"/>
      <c r="AAD175" s="90"/>
      <c r="AAE175" s="520">
        <f t="shared" ref="AAE175:AAE194" si="105">IF(S.AC.CommitteeInvolved="Y",1,0)</f>
        <v>0</v>
      </c>
      <c r="AAF175" s="190" t="s">
        <v>52</v>
      </c>
      <c r="AAG175" s="39"/>
      <c r="AAH175" s="39" t="s">
        <v>0</v>
      </c>
      <c r="AAI175" s="72"/>
      <c r="AAJ175" s="72"/>
      <c r="AAK175" s="92" t="str">
        <f>"During team meeting, "&amp;S.Staff.DivisionRulesCoordinator&amp;" leads discussion on:    (future iLearn) "</f>
        <v xml:space="preserve">During team meeting, AndreaDRC leads discussion on:    (future iLearn) </v>
      </c>
      <c r="AAL175" s="90"/>
    </row>
    <row r="176" spans="1:715" s="23" customFormat="1" ht="15.75" hidden="1" customHeight="1" outlineLevel="1">
      <c r="A176" s="171"/>
      <c r="B176" s="635" t="s">
        <v>497</v>
      </c>
      <c r="C176" s="789" t="str">
        <f>HYPERLINK("\\deqhq1\Rule_Resources\i\2-AdvisoryCommittee.pdf","i")</f>
        <v>i</v>
      </c>
      <c r="D176" s="508"/>
      <c r="E176" s="445">
        <f t="shared" ref="E176" si="106">NETWORKDAYS(G176,H176,S.DDL_DEQClosed)</f>
        <v>0</v>
      </c>
      <c r="F176" s="457">
        <f t="shared" ref="F176:F184" ca="1" si="107">IF(YEAR(H176)&gt;2000,NETWORKDAYS(TODAY(),H176,S.DDL_DEQClosed),0)</f>
        <v>0</v>
      </c>
      <c r="G176" s="446">
        <f t="shared" ref="G176:G184" si="108">AAG176</f>
        <v>0</v>
      </c>
      <c r="H176" s="347">
        <f t="shared" ref="H176:H184" si="109">AAH176</f>
        <v>0</v>
      </c>
      <c r="I176" s="244" t="s">
        <v>0</v>
      </c>
      <c r="J176" s="193"/>
      <c r="K176" s="193"/>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s="52"/>
      <c r="AAA176" s="192"/>
      <c r="AAD176" s="90"/>
      <c r="AAE176" s="520">
        <f t="shared" si="105"/>
        <v>0</v>
      </c>
      <c r="AAF176" s="90" t="s">
        <v>0</v>
      </c>
      <c r="AAG176" s="73">
        <f t="shared" ref="AAG176:AAG184" si="110">S.AC.BANNER.Begin</f>
        <v>0</v>
      </c>
      <c r="AAH176" s="73">
        <f t="shared" ref="AAH176:AAH183" si="111">G176</f>
        <v>0</v>
      </c>
      <c r="AAI176" s="72"/>
      <c r="AAJ176" s="72"/>
      <c r="AAK176" s="491"/>
      <c r="AAL176" s="90"/>
    </row>
    <row r="177" spans="1:715" ht="15.75" hidden="1" customHeight="1" outlineLevel="1">
      <c r="A177" s="171"/>
      <c r="B177" s="638" t="str">
        <f>AAK177</f>
        <v>* Public Involvement Resources including when to engage WilliamK</v>
      </c>
      <c r="C177" s="790" t="str">
        <f>HYPERLINK("http://deq05/intranet/communication/publicinvolvement/index.htm","i")</f>
        <v>i</v>
      </c>
      <c r="D177" s="510"/>
      <c r="E177" s="445">
        <f t="shared" ref="E177:E195" si="112">NETWORKDAYS(G177,H177,S.DDL_DEQClosed)</f>
        <v>0</v>
      </c>
      <c r="F177" s="457">
        <f t="shared" ca="1" si="107"/>
        <v>0</v>
      </c>
      <c r="G177" s="446">
        <f t="shared" si="108"/>
        <v>0</v>
      </c>
      <c r="H177" s="347">
        <f t="shared" si="109"/>
        <v>0</v>
      </c>
      <c r="I177" s="244" t="s">
        <v>0</v>
      </c>
      <c r="J177" s="193"/>
      <c r="K177" s="193"/>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AAA177" s="192" t="s">
        <v>0</v>
      </c>
      <c r="AAD177" s="90"/>
      <c r="AAE177" s="520">
        <f t="shared" si="105"/>
        <v>0</v>
      </c>
      <c r="AAF177" s="90" t="s">
        <v>0</v>
      </c>
      <c r="AAG177" s="73">
        <f t="shared" si="110"/>
        <v>0</v>
      </c>
      <c r="AAH177" s="73">
        <f t="shared" si="111"/>
        <v>0</v>
      </c>
      <c r="AAI177" s="72"/>
      <c r="AAJ177" s="72"/>
      <c r="AAK177" s="92" t="str">
        <f>"* Public Involvement Resources including when to engage "&amp;S.Staff.OCOCommunication</f>
        <v>* Public Involvement Resources including when to engage WilliamK</v>
      </c>
      <c r="AAL177" s="90"/>
      <c r="AAM177"/>
    </row>
    <row r="178" spans="1:715" s="23" customFormat="1" ht="15.75" hidden="1" customHeight="1" outlineLevel="1">
      <c r="A178" s="171"/>
      <c r="B178" s="636" t="s">
        <v>149</v>
      </c>
      <c r="C178" s="448"/>
      <c r="D178" s="447"/>
      <c r="E178" s="449">
        <f t="shared" ref="E178" si="113">NETWORKDAYS(G178,H178,S.DDL_DEQClosed)</f>
        <v>0</v>
      </c>
      <c r="F178" s="457">
        <f t="shared" ca="1" si="107"/>
        <v>0</v>
      </c>
      <c r="G178" s="446">
        <f t="shared" si="108"/>
        <v>0</v>
      </c>
      <c r="H178" s="347">
        <f t="shared" si="109"/>
        <v>0</v>
      </c>
      <c r="I178" s="244"/>
      <c r="J178" s="193"/>
      <c r="K178" s="193"/>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s="52"/>
      <c r="AAA178" s="192"/>
      <c r="AAD178" s="90"/>
      <c r="AAE178" s="520">
        <f t="shared" si="105"/>
        <v>0</v>
      </c>
      <c r="AAF178" s="90"/>
      <c r="AAG178" s="73">
        <f t="shared" si="110"/>
        <v>0</v>
      </c>
      <c r="AAH178" s="73">
        <f t="shared" si="111"/>
        <v>0</v>
      </c>
      <c r="AAI178" s="60"/>
      <c r="AAJ178" s="55"/>
      <c r="AAK178" s="491"/>
      <c r="AAL178" s="90"/>
    </row>
    <row r="179" spans="1:715" ht="15.75" hidden="1" customHeight="1" outlineLevel="1" thickBot="1">
      <c r="A179" s="171"/>
      <c r="B179" s="636" t="s">
        <v>148</v>
      </c>
      <c r="C179" s="790" t="str">
        <f>HYPERLINK("http://www.doj.state.or.us/pdf/public_records_and_meetings_manual.pdf","i")</f>
        <v>i</v>
      </c>
      <c r="D179" s="510"/>
      <c r="E179" s="432"/>
      <c r="F179" s="457">
        <f t="shared" ca="1" si="107"/>
        <v>0</v>
      </c>
      <c r="G179" s="446">
        <f t="shared" si="108"/>
        <v>0</v>
      </c>
      <c r="H179" s="347">
        <f t="shared" si="109"/>
        <v>0</v>
      </c>
      <c r="I179" s="244"/>
      <c r="J179" s="193"/>
      <c r="K179" s="193"/>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AAA179" s="192"/>
      <c r="AAD179" s="90"/>
      <c r="AAE179" s="520">
        <f t="shared" si="105"/>
        <v>0</v>
      </c>
      <c r="AAF179" s="90" t="s">
        <v>0</v>
      </c>
      <c r="AAG179" s="73">
        <f t="shared" si="110"/>
        <v>0</v>
      </c>
      <c r="AAH179" s="73">
        <f t="shared" si="111"/>
        <v>0</v>
      </c>
      <c r="AAI179" s="60"/>
      <c r="AAJ179" s="55"/>
      <c r="AAK179" s="39" t="s">
        <v>317</v>
      </c>
      <c r="AAL179" s="90"/>
      <c r="AAM179"/>
    </row>
    <row r="180" spans="1:715" ht="15.75" hidden="1" customHeight="1" outlineLevel="1" thickBot="1">
      <c r="A180" s="171"/>
      <c r="B180" s="636" t="s">
        <v>316</v>
      </c>
      <c r="C180" s="790" t="str">
        <f>HYPERLINK("http://www.oregonlaws.org/ors/192.630","i")</f>
        <v>i</v>
      </c>
      <c r="D180" s="510"/>
      <c r="E180" s="432">
        <f t="shared" ref="E180" si="114">NETWORKDAYS(G180,H180,S.DDL_DEQClosed)</f>
        <v>0</v>
      </c>
      <c r="F180" s="457">
        <f t="shared" ca="1" si="107"/>
        <v>0</v>
      </c>
      <c r="G180" s="446">
        <f t="shared" si="108"/>
        <v>0</v>
      </c>
      <c r="H180" s="347">
        <f t="shared" si="109"/>
        <v>0</v>
      </c>
      <c r="I180" s="244"/>
      <c r="J180" s="193"/>
      <c r="K180" s="193"/>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AAA180" s="192"/>
      <c r="AAD180" s="90"/>
      <c r="AAE180" s="520">
        <f t="shared" si="105"/>
        <v>0</v>
      </c>
      <c r="AAF180" s="90" t="s">
        <v>0</v>
      </c>
      <c r="AAG180" s="73">
        <f t="shared" si="110"/>
        <v>0</v>
      </c>
      <c r="AAH180" s="73">
        <f t="shared" si="111"/>
        <v>0</v>
      </c>
      <c r="AAI180" s="60"/>
      <c r="AAJ180" s="55"/>
      <c r="AAK180" s="660" t="s">
        <v>310</v>
      </c>
      <c r="AAL180" s="509" t="s">
        <v>53</v>
      </c>
      <c r="AAM180"/>
    </row>
    <row r="181" spans="1:715" s="23" customFormat="1" ht="15.75" hidden="1" customHeight="1" outlineLevel="1">
      <c r="A181" s="171"/>
      <c r="B181" s="636" t="s">
        <v>427</v>
      </c>
      <c r="C181" s="448"/>
      <c r="D181" s="447"/>
      <c r="E181" s="449">
        <f t="shared" ref="E181" si="115">NETWORKDAYS(G181,H181,S.DDL_DEQClosed)</f>
        <v>0</v>
      </c>
      <c r="F181" s="659">
        <f t="shared" ca="1" si="107"/>
        <v>0</v>
      </c>
      <c r="G181" s="446">
        <f t="shared" si="108"/>
        <v>0</v>
      </c>
      <c r="H181" s="347">
        <f t="shared" si="109"/>
        <v>0</v>
      </c>
      <c r="I181" s="244"/>
      <c r="J181" s="193"/>
      <c r="K181" s="193"/>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s="52"/>
      <c r="AAA181" s="192"/>
      <c r="AAD181" s="90"/>
      <c r="AAE181" s="520">
        <f t="shared" si="105"/>
        <v>0</v>
      </c>
      <c r="AAF181" s="90"/>
      <c r="AAG181" s="73">
        <f t="shared" si="110"/>
        <v>0</v>
      </c>
      <c r="AAH181" s="73">
        <f t="shared" si="111"/>
        <v>0</v>
      </c>
      <c r="AAI181" s="60"/>
      <c r="AAJ181" s="55"/>
      <c r="AAK181" s="491"/>
      <c r="AAL181" s="90"/>
    </row>
    <row r="182" spans="1:715" s="23" customFormat="1" ht="15.75" hidden="1" customHeight="1" outlineLevel="1">
      <c r="A182" s="171"/>
      <c r="B182" s="636" t="s">
        <v>426</v>
      </c>
      <c r="C182" s="448"/>
      <c r="D182" s="447"/>
      <c r="E182" s="449">
        <f t="shared" ref="E182" si="116">NETWORKDAYS(G182,H182,S.DDL_DEQClosed)</f>
        <v>0</v>
      </c>
      <c r="F182" s="659">
        <f t="shared" ref="F182" ca="1" si="117">IF(YEAR(H182)&gt;2000,NETWORKDAYS(TODAY(),H182,S.DDL_DEQClosed),0)</f>
        <v>0</v>
      </c>
      <c r="G182" s="446">
        <f t="shared" ref="G182" si="118">AAG182</f>
        <v>0</v>
      </c>
      <c r="H182" s="347">
        <f t="shared" ref="H182" si="119">AAH182</f>
        <v>0</v>
      </c>
      <c r="I182" s="244"/>
      <c r="J182" s="193"/>
      <c r="K182" s="193"/>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s="52"/>
      <c r="AAA182" s="192"/>
      <c r="AAD182" s="90"/>
      <c r="AAE182" s="520">
        <f t="shared" si="105"/>
        <v>0</v>
      </c>
      <c r="AAF182" s="90"/>
      <c r="AAG182" s="73">
        <f t="shared" si="110"/>
        <v>0</v>
      </c>
      <c r="AAH182" s="73">
        <f t="shared" ref="AAH182" si="120">G182</f>
        <v>0</v>
      </c>
      <c r="AAI182" s="60"/>
      <c r="AAJ182" s="55"/>
      <c r="AAK182" s="491"/>
      <c r="AAL182" s="90"/>
    </row>
    <row r="183" spans="1:715" s="23" customFormat="1" ht="15.75" hidden="1" customHeight="1" outlineLevel="1">
      <c r="A183" s="171"/>
      <c r="B183" s="636" t="s">
        <v>150</v>
      </c>
      <c r="C183" s="448"/>
      <c r="D183" s="447"/>
      <c r="E183" s="449">
        <f t="shared" ref="E183:E184" si="121">NETWORKDAYS(G183,H183,S.DDL_DEQClosed)</f>
        <v>0</v>
      </c>
      <c r="F183" s="457">
        <f t="shared" ca="1" si="107"/>
        <v>0</v>
      </c>
      <c r="G183" s="446">
        <f t="shared" si="108"/>
        <v>0</v>
      </c>
      <c r="H183" s="347">
        <f t="shared" si="109"/>
        <v>0</v>
      </c>
      <c r="I183" s="244"/>
      <c r="J183" s="193"/>
      <c r="K183" s="193"/>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s="52"/>
      <c r="AAA183" s="192"/>
      <c r="AAD183" s="90"/>
      <c r="AAE183" s="520">
        <f t="shared" si="105"/>
        <v>0</v>
      </c>
      <c r="AAF183" s="90"/>
      <c r="AAG183" s="73">
        <f t="shared" si="110"/>
        <v>0</v>
      </c>
      <c r="AAH183" s="73">
        <f t="shared" si="111"/>
        <v>0</v>
      </c>
      <c r="AAI183" s="60"/>
      <c r="AAJ183" s="55"/>
      <c r="AAK183" s="491"/>
      <c r="AAL183" s="90"/>
    </row>
    <row r="184" spans="1:715" s="23" customFormat="1" ht="15.75" hidden="1" customHeight="1" outlineLevel="1">
      <c r="A184" s="171"/>
      <c r="B184" s="635" t="s">
        <v>151</v>
      </c>
      <c r="C184" s="425" t="s">
        <v>0</v>
      </c>
      <c r="D184" s="447"/>
      <c r="E184" s="342">
        <f t="shared" si="121"/>
        <v>0</v>
      </c>
      <c r="F184" s="457">
        <f t="shared" ca="1" si="107"/>
        <v>0</v>
      </c>
      <c r="G184" s="446">
        <f t="shared" si="108"/>
        <v>0</v>
      </c>
      <c r="H184" s="347">
        <f t="shared" si="109"/>
        <v>0</v>
      </c>
      <c r="I184" s="244"/>
      <c r="J184" s="193"/>
      <c r="K184" s="193"/>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s="52"/>
      <c r="AAA184" s="192"/>
      <c r="AAD184" s="90"/>
      <c r="AAE184" s="520">
        <f t="shared" si="105"/>
        <v>0</v>
      </c>
      <c r="AAF184" s="90" t="s">
        <v>0</v>
      </c>
      <c r="AAG184" s="73">
        <f t="shared" si="110"/>
        <v>0</v>
      </c>
      <c r="AAH184" s="73">
        <f t="shared" ref="AAH184" si="122">G184</f>
        <v>0</v>
      </c>
      <c r="AAI184" s="72"/>
      <c r="AAJ184" s="72"/>
      <c r="AAK184" s="491"/>
      <c r="AAL184" s="90"/>
    </row>
    <row r="185" spans="1:715" s="23" customFormat="1" ht="15.75" hidden="1" customHeight="1" outlineLevel="1">
      <c r="A185" s="171"/>
      <c r="B185" s="438" t="str">
        <f>AAK185</f>
        <v>AndreaRW coordinates with team to:</v>
      </c>
      <c r="C185" s="425" t="s">
        <v>0</v>
      </c>
      <c r="D185" s="374"/>
      <c r="E185" s="374"/>
      <c r="F185" s="374"/>
      <c r="G185" s="374"/>
      <c r="H185" s="374"/>
      <c r="I185" s="244"/>
      <c r="J185" s="193"/>
      <c r="K185" s="193"/>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s="52"/>
      <c r="AAA185" s="192"/>
      <c r="AAD185" s="90"/>
      <c r="AAE185" s="520">
        <f t="shared" si="105"/>
        <v>0</v>
      </c>
      <c r="AAF185" s="190" t="s">
        <v>52</v>
      </c>
      <c r="AAG185" s="39"/>
      <c r="AAH185" s="39" t="s">
        <v>0</v>
      </c>
      <c r="AAI185" s="72"/>
      <c r="AAJ185" s="72"/>
      <c r="AAK185" s="92" t="str">
        <f>S.Staff.Lead&amp;" coordinates with team to:"</f>
        <v>AndreaRW coordinates with team to:</v>
      </c>
      <c r="AAL185" s="90"/>
    </row>
    <row r="186" spans="1:715" ht="15.75" hidden="1" customHeight="1" outlineLevel="1">
      <c r="A186" s="171"/>
      <c r="B186" s="637" t="s">
        <v>312</v>
      </c>
      <c r="C186" s="425" t="s">
        <v>0</v>
      </c>
      <c r="D186" s="450"/>
      <c r="E186" s="342">
        <f t="shared" si="112"/>
        <v>0</v>
      </c>
      <c r="F186" s="457">
        <f t="shared" ref="F186:F195" ca="1" si="123">IF(YEAR(H186)&gt;2000,NETWORKDAYS(TODAY(),H186,S.DDL_DEQClosed),0)</f>
        <v>0</v>
      </c>
      <c r="G186" s="451">
        <f t="shared" ref="G186:G195" si="124">AAG186</f>
        <v>0</v>
      </c>
      <c r="H186" s="343">
        <f t="shared" ref="H186:H195" si="125">AAH186</f>
        <v>0</v>
      </c>
      <c r="I186" s="244"/>
      <c r="J186" s="193"/>
      <c r="K186" s="193"/>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AAA186" s="192"/>
      <c r="AAD186" s="90"/>
      <c r="AAE186" s="520">
        <f t="shared" si="105"/>
        <v>0</v>
      </c>
      <c r="AAF186" s="90" t="s">
        <v>0</v>
      </c>
      <c r="AAG186" s="73">
        <f t="shared" si="71"/>
        <v>0</v>
      </c>
      <c r="AAH186" s="73">
        <f t="shared" ref="AAH186:AAH195" si="126">G186</f>
        <v>0</v>
      </c>
      <c r="AAI186" s="72"/>
      <c r="AAJ186" s="72"/>
      <c r="AAK186" s="491"/>
      <c r="AAL186" s="90"/>
      <c r="AAM186"/>
    </row>
    <row r="187" spans="1:715" s="23" customFormat="1" ht="15.75" hidden="1" customHeight="1" outlineLevel="1">
      <c r="A187" s="171"/>
      <c r="B187" s="637" t="s">
        <v>516</v>
      </c>
      <c r="C187" s="425" t="s">
        <v>0</v>
      </c>
      <c r="D187" s="450"/>
      <c r="E187" s="342">
        <f t="shared" ref="E187" si="127">NETWORKDAYS(G187,H187,S.DDL_DEQClosed)</f>
        <v>0</v>
      </c>
      <c r="F187" s="457">
        <f t="shared" ref="F187" ca="1" si="128">IF(YEAR(H187)&gt;2000,NETWORKDAYS(TODAY(),H187,S.DDL_DEQClosed),0)</f>
        <v>0</v>
      </c>
      <c r="G187" s="451">
        <f t="shared" ref="G187" si="129">AAG187</f>
        <v>0</v>
      </c>
      <c r="H187" s="343">
        <f t="shared" ref="H187" si="130">AAH187</f>
        <v>0</v>
      </c>
      <c r="I187" s="244"/>
      <c r="J187" s="193"/>
      <c r="K187" s="193"/>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ZZ187" s="52"/>
      <c r="AAA187" s="192"/>
      <c r="AAD187" s="90"/>
      <c r="AAE187" s="520">
        <f t="shared" si="105"/>
        <v>0</v>
      </c>
      <c r="AAF187" s="90" t="s">
        <v>0</v>
      </c>
      <c r="AAG187" s="73">
        <f t="shared" si="71"/>
        <v>0</v>
      </c>
      <c r="AAH187" s="73">
        <f t="shared" ref="AAH187" si="131">G187</f>
        <v>0</v>
      </c>
      <c r="AAI187" s="72"/>
      <c r="AAJ187" s="72"/>
      <c r="AAK187" s="491"/>
      <c r="AAL187" s="90"/>
    </row>
    <row r="188" spans="1:715" s="23" customFormat="1" ht="15" hidden="1" customHeight="1" outlineLevel="1">
      <c r="A188" s="171"/>
      <c r="B188" s="799" t="s">
        <v>511</v>
      </c>
      <c r="C188" s="376"/>
      <c r="I188" s="244"/>
      <c r="J188" s="194"/>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ZZ188" s="52"/>
      <c r="AAA188" s="192"/>
      <c r="AAD188" s="90"/>
      <c r="AAE188" s="519">
        <f t="shared" ref="AAE188:AAE192" si="132">IF(S.Notice.Involved="Y",1,0)</f>
        <v>1</v>
      </c>
      <c r="AAF188" s="190" t="s">
        <v>52</v>
      </c>
      <c r="AAG188" s="94"/>
      <c r="AAH188" s="94"/>
      <c r="AAI188" s="72"/>
      <c r="AAJ188" s="56"/>
      <c r="AAK188" s="56"/>
      <c r="AAL188" s="90"/>
    </row>
    <row r="189" spans="1:715" s="23" customFormat="1" ht="15" hidden="1" customHeight="1" outlineLevel="1">
      <c r="A189" s="171"/>
      <c r="B189" s="800" t="s">
        <v>512</v>
      </c>
      <c r="C189" s="376"/>
      <c r="I189" s="244"/>
      <c r="J189" s="194"/>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ZZ189" s="52"/>
      <c r="AAA189" s="192"/>
      <c r="AAD189" s="90"/>
      <c r="AAE189" s="519">
        <f t="shared" si="132"/>
        <v>1</v>
      </c>
      <c r="AAF189" s="190" t="s">
        <v>52</v>
      </c>
      <c r="AAG189" s="94"/>
      <c r="AAH189" s="94"/>
      <c r="AAI189" s="72"/>
      <c r="AAJ189" s="56"/>
      <c r="AAK189" s="56"/>
      <c r="AAL189" s="90"/>
    </row>
    <row r="190" spans="1:715" s="23" customFormat="1" ht="15" hidden="1" customHeight="1" outlineLevel="1">
      <c r="A190" s="171"/>
      <c r="B190" s="799" t="s">
        <v>513</v>
      </c>
      <c r="C190" s="376"/>
      <c r="I190" s="244"/>
      <c r="J190" s="194"/>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ZZ190" s="52"/>
      <c r="AAA190" s="192"/>
      <c r="AAD190" s="90"/>
      <c r="AAE190" s="519">
        <f t="shared" si="132"/>
        <v>1</v>
      </c>
      <c r="AAF190" s="190" t="s">
        <v>52</v>
      </c>
      <c r="AAG190" s="94"/>
      <c r="AAH190" s="94"/>
      <c r="AAI190" s="72"/>
      <c r="AAJ190" s="56"/>
      <c r="AAK190" s="56"/>
      <c r="AAL190" s="90"/>
    </row>
    <row r="191" spans="1:715" s="23" customFormat="1" ht="15" hidden="1" customHeight="1" outlineLevel="1">
      <c r="A191" s="171"/>
      <c r="B191" s="799" t="s">
        <v>514</v>
      </c>
      <c r="C191" s="376"/>
      <c r="I191" s="244"/>
      <c r="J191" s="194"/>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ZZ191" s="52"/>
      <c r="AAA191" s="192"/>
      <c r="AAD191" s="90"/>
      <c r="AAE191" s="519">
        <f t="shared" si="132"/>
        <v>1</v>
      </c>
      <c r="AAF191" s="190" t="s">
        <v>52</v>
      </c>
      <c r="AAG191" s="94"/>
      <c r="AAH191" s="94"/>
      <c r="AAI191" s="72"/>
      <c r="AAJ191" s="56"/>
      <c r="AAK191" s="56"/>
      <c r="AAL191" s="90"/>
    </row>
    <row r="192" spans="1:715" s="23" customFormat="1" ht="15" hidden="1" customHeight="1" outlineLevel="1">
      <c r="A192" s="171"/>
      <c r="B192" s="801" t="s">
        <v>515</v>
      </c>
      <c r="C192" s="376"/>
      <c r="I192" s="244"/>
      <c r="J192" s="194"/>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ZZ192" s="52"/>
      <c r="AAA192" s="192"/>
      <c r="AAD192" s="90"/>
      <c r="AAE192" s="519">
        <f t="shared" si="132"/>
        <v>1</v>
      </c>
      <c r="AAF192" s="190" t="s">
        <v>52</v>
      </c>
      <c r="AAG192" s="94"/>
      <c r="AAH192" s="94"/>
      <c r="AAI192" s="72"/>
      <c r="AAJ192" s="56"/>
      <c r="AAK192" s="56"/>
      <c r="AAL192" s="90"/>
    </row>
    <row r="193" spans="1:715" ht="15.75" hidden="1" customHeight="1" outlineLevel="1">
      <c r="A193" s="171"/>
      <c r="B193" s="638" t="s">
        <v>313</v>
      </c>
      <c r="C193" s="425" t="s">
        <v>0</v>
      </c>
      <c r="D193" s="380"/>
      <c r="E193" s="342">
        <f t="shared" si="112"/>
        <v>0</v>
      </c>
      <c r="F193" s="457">
        <f t="shared" ca="1" si="123"/>
        <v>0</v>
      </c>
      <c r="G193" s="446">
        <f t="shared" si="124"/>
        <v>0</v>
      </c>
      <c r="H193" s="347">
        <f t="shared" si="125"/>
        <v>0</v>
      </c>
      <c r="I193" s="244"/>
      <c r="J193" s="193"/>
      <c r="K193" s="193"/>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AAA193" s="192"/>
      <c r="AAD193" s="90"/>
      <c r="AAE193" s="520">
        <f t="shared" si="105"/>
        <v>0</v>
      </c>
      <c r="AAF193" s="90" t="s">
        <v>0</v>
      </c>
      <c r="AAG193" s="73">
        <f t="shared" si="71"/>
        <v>0</v>
      </c>
      <c r="AAH193" s="73">
        <f t="shared" si="126"/>
        <v>0</v>
      </c>
      <c r="AAI193" s="72"/>
      <c r="AAJ193" s="72"/>
      <c r="AAK193" s="491"/>
      <c r="AAL193" s="90"/>
      <c r="AAM193"/>
    </row>
    <row r="194" spans="1:715" ht="15.75" hidden="1" customHeight="1" outlineLevel="1" thickBot="1">
      <c r="A194" s="171"/>
      <c r="B194" s="638" t="s">
        <v>314</v>
      </c>
      <c r="C194" s="425" t="s">
        <v>0</v>
      </c>
      <c r="D194" s="380"/>
      <c r="E194" s="342">
        <f t="shared" si="112"/>
        <v>0</v>
      </c>
      <c r="F194" s="457">
        <f t="shared" ca="1" si="123"/>
        <v>0</v>
      </c>
      <c r="G194" s="446">
        <f t="shared" si="124"/>
        <v>0</v>
      </c>
      <c r="H194" s="347">
        <f t="shared" si="125"/>
        <v>0</v>
      </c>
      <c r="I194" s="244"/>
      <c r="J194" s="193"/>
      <c r="K194" s="193"/>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AAA194" s="192"/>
      <c r="AAD194" s="90"/>
      <c r="AAE194" s="520">
        <f t="shared" si="105"/>
        <v>0</v>
      </c>
      <c r="AAF194" s="90" t="s">
        <v>0</v>
      </c>
      <c r="AAG194" s="73">
        <f t="shared" si="71"/>
        <v>0</v>
      </c>
      <c r="AAH194" s="73">
        <f t="shared" si="126"/>
        <v>0</v>
      </c>
      <c r="AAI194" s="72"/>
      <c r="AAJ194" s="72"/>
      <c r="AAK194" s="491"/>
      <c r="AAL194" s="90"/>
      <c r="AAM194"/>
    </row>
    <row r="195" spans="1:715" ht="15.75" hidden="1" customHeight="1" outlineLevel="1" thickBot="1">
      <c r="A195" s="171"/>
      <c r="B195" s="657" t="s">
        <v>398</v>
      </c>
      <c r="C195" s="377" t="s">
        <v>17</v>
      </c>
      <c r="D195" s="380"/>
      <c r="E195" s="342">
        <f t="shared" si="112"/>
        <v>0</v>
      </c>
      <c r="F195" s="457">
        <f t="shared" ca="1" si="123"/>
        <v>0</v>
      </c>
      <c r="G195" s="446">
        <f t="shared" si="124"/>
        <v>0</v>
      </c>
      <c r="H195" s="347">
        <f t="shared" si="125"/>
        <v>0</v>
      </c>
      <c r="I195" s="244" t="s">
        <v>0</v>
      </c>
      <c r="J195" s="193"/>
      <c r="K195" s="193"/>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AAA195" s="192"/>
      <c r="AAD195" s="90"/>
      <c r="AAE195" s="520">
        <f>IF(AND(S.AC.WebPage="Y",S.AC.CommitteeInvolved="Y"),1,0)</f>
        <v>0</v>
      </c>
      <c r="AAF195" s="90" t="s">
        <v>0</v>
      </c>
      <c r="AAG195" s="73">
        <f t="shared" si="71"/>
        <v>0</v>
      </c>
      <c r="AAH195" s="73">
        <f t="shared" si="126"/>
        <v>0</v>
      </c>
      <c r="AAI195" s="72"/>
      <c r="AAJ195" s="72"/>
      <c r="AAK195" s="491"/>
      <c r="AAL195" s="90"/>
      <c r="AAM195"/>
    </row>
    <row r="196" spans="1:715" ht="15.75" hidden="1" customHeight="1" outlineLevel="1" thickBot="1">
      <c r="A196" s="171"/>
      <c r="B196" s="802" t="s">
        <v>315</v>
      </c>
      <c r="C196" s="377" t="s">
        <v>17</v>
      </c>
      <c r="D196" s="380"/>
      <c r="E196" s="342">
        <f>NETWORKDAYS(G196,H196,S.DDL_DEQClosed)</f>
        <v>0</v>
      </c>
      <c r="F196" s="457">
        <f ca="1">IF(YEAR(H196)&gt;2000,NETWORKDAYS(TODAY(),H196,S.DDL_DEQClosed),0)</f>
        <v>0</v>
      </c>
      <c r="G196" s="446">
        <f>AAG196</f>
        <v>0</v>
      </c>
      <c r="H196" s="347">
        <f>AAH196</f>
        <v>0</v>
      </c>
      <c r="I196" s="244"/>
      <c r="J196" s="193"/>
      <c r="K196" s="193"/>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AAA196" s="192"/>
      <c r="AAD196" s="90"/>
      <c r="AAE196" s="520">
        <f>IF(AND(S.AC.Charter="Y",S.AC.CommitteeInvolved="Y"),1,0)</f>
        <v>0</v>
      </c>
      <c r="AAF196" s="90" t="s">
        <v>0</v>
      </c>
      <c r="AAG196" s="73">
        <f t="shared" si="71"/>
        <v>0</v>
      </c>
      <c r="AAH196" s="73">
        <f>G196</f>
        <v>0</v>
      </c>
      <c r="AAI196" s="72"/>
      <c r="AAJ196" s="72"/>
      <c r="AAK196" s="491"/>
      <c r="AAL196" s="90"/>
      <c r="AAM196"/>
    </row>
    <row r="197" spans="1:715" s="23" customFormat="1" ht="15.75" hidden="1" customHeight="1" outlineLevel="1">
      <c r="A197" s="171"/>
      <c r="B197" s="486" t="str">
        <f t="shared" ref="B197" si="133">AAK197</f>
        <v>MargaretMGR shares draft roster and invitation with Andy</v>
      </c>
      <c r="C197" s="362" t="s">
        <v>0</v>
      </c>
      <c r="D197" s="380"/>
      <c r="E197" s="342">
        <f t="shared" ref="E197" si="134">NETWORKDAYS(G197,H197,S.DDL_DEQClosed)</f>
        <v>0</v>
      </c>
      <c r="F197" s="457">
        <f t="shared" ref="F197:F203" ca="1" si="135">IF(YEAR(H197)&gt;2000,NETWORKDAYS(TODAY(),H197,S.DDL_DEQClosed),0)</f>
        <v>0</v>
      </c>
      <c r="G197" s="451">
        <f t="shared" ref="G197:G202" si="136">AAG197</f>
        <v>0</v>
      </c>
      <c r="H197" s="343">
        <f t="shared" ref="H197:H202" si="137">AAH197</f>
        <v>0</v>
      </c>
      <c r="I197" s="244"/>
      <c r="J197" s="193"/>
      <c r="K197" s="193"/>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s="52"/>
      <c r="AAA197" s="192" t="s">
        <v>0</v>
      </c>
      <c r="AAD197" s="90"/>
      <c r="AAE197" s="520">
        <f>IF(S.AC.CommitteeInvolved="Y",1,0)</f>
        <v>0</v>
      </c>
      <c r="AAF197" s="90" t="s">
        <v>0</v>
      </c>
      <c r="AAG197" s="73">
        <f t="shared" si="71"/>
        <v>0</v>
      </c>
      <c r="AAH197" s="73">
        <f t="shared" ref="AAH197:AAH203" si="138">G197</f>
        <v>0</v>
      </c>
      <c r="AAI197" s="60"/>
      <c r="AAJ197" s="55"/>
      <c r="AAK197" s="92" t="str">
        <f>S.Staff.Mgr&amp;" shares draft roster and invitation with "&amp;S.Staff.DA</f>
        <v>MargaretMGR shares draft roster and invitation with Andy</v>
      </c>
      <c r="AAL197" s="90"/>
    </row>
    <row r="198" spans="1:715" s="23" customFormat="1" ht="15.75" hidden="1" customHeight="1" outlineLevel="1">
      <c r="A198" s="171"/>
      <c r="B198" s="486" t="s">
        <v>239</v>
      </c>
      <c r="C198" s="362" t="s">
        <v>0</v>
      </c>
      <c r="D198" s="380"/>
      <c r="E198" s="342">
        <f t="shared" ref="E198" si="139">NETWORKDAYS(G198,H198,S.DDL_DEQClosed)</f>
        <v>0</v>
      </c>
      <c r="F198" s="457">
        <f t="shared" ca="1" si="135"/>
        <v>0</v>
      </c>
      <c r="G198" s="451">
        <f t="shared" si="136"/>
        <v>0</v>
      </c>
      <c r="H198" s="343">
        <f t="shared" si="137"/>
        <v>0</v>
      </c>
      <c r="I198" s="244"/>
      <c r="J198" s="193"/>
      <c r="K198" s="193"/>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s="52"/>
      <c r="AAA198" s="192"/>
      <c r="AAD198" s="90"/>
      <c r="AAE198" s="520">
        <f>IF(S.AC.CommitteeInvolved="Y",1,0)</f>
        <v>0</v>
      </c>
      <c r="AAF198" s="90" t="s">
        <v>0</v>
      </c>
      <c r="AAG198" s="73">
        <f t="shared" si="71"/>
        <v>0</v>
      </c>
      <c r="AAH198" s="73">
        <f t="shared" si="138"/>
        <v>0</v>
      </c>
      <c r="AAI198" s="60"/>
      <c r="AAJ198" s="55"/>
      <c r="AAK198" s="39"/>
      <c r="AAL198" s="90"/>
    </row>
    <row r="199" spans="1:715" s="23" customFormat="1" ht="15.75" hidden="1" customHeight="1" outlineLevel="1">
      <c r="A199" s="171"/>
      <c r="B199" s="486" t="str">
        <f>AAK199</f>
        <v>MargaretMGR approves:</v>
      </c>
      <c r="C199" s="272"/>
      <c r="D199" s="265"/>
      <c r="E199" s="266"/>
      <c r="F199" s="267"/>
      <c r="G199" s="268"/>
      <c r="H199" s="269"/>
      <c r="I199" s="244"/>
      <c r="J199" s="193"/>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s="52"/>
      <c r="AAA199" s="192"/>
      <c r="AAD199" s="90"/>
      <c r="AAE199" s="519">
        <f t="shared" ref="AAE199" si="140">IF(S.Planning.DecisionToAddToPlan="A",1,0)</f>
        <v>1</v>
      </c>
      <c r="AAF199" s="190" t="s">
        <v>52</v>
      </c>
      <c r="AAG199" s="71"/>
      <c r="AAH199" s="71"/>
      <c r="AAI199" s="72"/>
      <c r="AAJ199" s="55"/>
      <c r="AAK199" s="92" t="str">
        <f>S.Staff.Mgr&amp;" approves:"</f>
        <v>MargaretMGR approves:</v>
      </c>
      <c r="AAL199" s="90"/>
    </row>
    <row r="200" spans="1:715" s="23" customFormat="1" ht="15.75" hidden="1" customHeight="1" outlineLevel="1">
      <c r="A200" s="171"/>
      <c r="B200" s="658" t="str">
        <f>"* potential committee roster"</f>
        <v>* potential committee roster</v>
      </c>
      <c r="C200" s="362" t="s">
        <v>0</v>
      </c>
      <c r="D200" s="380"/>
      <c r="E200" s="342">
        <f t="shared" ref="E200" si="141">NETWORKDAYS(G200,H200,S.DDL_DEQClosed)</f>
        <v>0</v>
      </c>
      <c r="F200" s="457">
        <f ca="1">IF(YEAR(H200)&gt;2000,NETWORKDAYS(TODAY(),H200,S.DDL_DEQClosed),0)</f>
        <v>0</v>
      </c>
      <c r="G200" s="451">
        <f>AAG200</f>
        <v>0</v>
      </c>
      <c r="H200" s="343">
        <f>AAH200</f>
        <v>0</v>
      </c>
      <c r="I200" s="244"/>
      <c r="J200" s="193"/>
      <c r="K200" s="193"/>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s="52"/>
      <c r="AAA200" s="192"/>
      <c r="AAD200" s="90"/>
      <c r="AAE200" s="520">
        <f>IF(S.AC.CommitteeInvolved="Y",1,0)</f>
        <v>0</v>
      </c>
      <c r="AAF200" s="90" t="s">
        <v>0</v>
      </c>
      <c r="AAG200" s="73">
        <f>H197</f>
        <v>0</v>
      </c>
      <c r="AAH200" s="73">
        <f>G200</f>
        <v>0</v>
      </c>
      <c r="AAI200" s="60"/>
      <c r="AAJ200" s="55"/>
      <c r="AAK200" s="39"/>
      <c r="AAL200" s="90"/>
    </row>
    <row r="201" spans="1:715" s="23" customFormat="1" ht="15.75" hidden="1" customHeight="1" outlineLevel="1">
      <c r="A201" s="171"/>
      <c r="B201" s="486" t="s">
        <v>167</v>
      </c>
      <c r="C201" s="272"/>
      <c r="D201" s="265"/>
      <c r="E201" s="266"/>
      <c r="F201" s="267"/>
      <c r="G201" s="268"/>
      <c r="H201" s="269"/>
      <c r="I201" s="244"/>
      <c r="J201" s="193"/>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s="52"/>
      <c r="AAA201" s="192"/>
      <c r="AAD201" s="90"/>
      <c r="AAE201" s="519">
        <f t="shared" ref="AAE201" si="142">IF(S.Planning.DecisionToAddToPlan="A",1,0)</f>
        <v>1</v>
      </c>
      <c r="AAF201" s="190" t="s">
        <v>52</v>
      </c>
      <c r="AAG201" s="71"/>
      <c r="AAH201" s="71"/>
      <c r="AAI201" s="72"/>
      <c r="AAJ201" s="55"/>
      <c r="AAK201" s="39"/>
      <c r="AAL201" s="90"/>
    </row>
    <row r="202" spans="1:715" ht="15.75" hidden="1" customHeight="1" outlineLevel="1">
      <c r="A202" s="171"/>
      <c r="B202" s="440" t="s">
        <v>238</v>
      </c>
      <c r="C202" s="362" t="s">
        <v>0</v>
      </c>
      <c r="D202" s="380"/>
      <c r="E202" s="342">
        <f t="shared" ref="E202:E210" si="143">NETWORKDAYS(G202,H202,S.DDL_DEQClosed)</f>
        <v>0</v>
      </c>
      <c r="F202" s="457">
        <f t="shared" ca="1" si="135"/>
        <v>0</v>
      </c>
      <c r="G202" s="451">
        <f t="shared" si="136"/>
        <v>0</v>
      </c>
      <c r="H202" s="343">
        <f t="shared" si="137"/>
        <v>0</v>
      </c>
      <c r="I202" s="244"/>
      <c r="J202" s="193"/>
      <c r="K202" s="193"/>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AAA202" s="192" t="s">
        <v>0</v>
      </c>
      <c r="AAD202" s="90"/>
      <c r="AAE202" s="520">
        <f>IF(S.AC.CommitteeInvolved="Y",1,0)</f>
        <v>0</v>
      </c>
      <c r="AAF202" s="90" t="s">
        <v>0</v>
      </c>
      <c r="AAG202" s="73">
        <f>H200</f>
        <v>0</v>
      </c>
      <c r="AAH202" s="73">
        <f t="shared" si="138"/>
        <v>0</v>
      </c>
      <c r="AAI202" s="60"/>
      <c r="AAJ202" s="55"/>
      <c r="AAK202" s="39"/>
      <c r="AAL202" s="90"/>
      <c r="AAM202"/>
    </row>
    <row r="203" spans="1:715" s="23" customFormat="1" ht="15.75" hidden="1" customHeight="1" outlineLevel="1">
      <c r="A203" s="171"/>
      <c r="B203" s="440" t="s">
        <v>311</v>
      </c>
      <c r="C203" s="362" t="s">
        <v>0</v>
      </c>
      <c r="D203" s="380"/>
      <c r="E203" s="342">
        <f t="shared" ref="E203" si="144">NETWORKDAYS(G203,H203,S.DDL_DEQClosed)</f>
        <v>0</v>
      </c>
      <c r="F203" s="457">
        <f t="shared" ca="1" si="135"/>
        <v>0</v>
      </c>
      <c r="G203" s="451">
        <f t="shared" ref="G203" si="145">AAG203</f>
        <v>0</v>
      </c>
      <c r="H203" s="343">
        <f t="shared" ref="H203" si="146">AAH203</f>
        <v>0</v>
      </c>
      <c r="I203" s="244"/>
      <c r="J203" s="193"/>
      <c r="K203" s="193"/>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s="52"/>
      <c r="AAA203" s="192" t="s">
        <v>0</v>
      </c>
      <c r="AAD203" s="90"/>
      <c r="AAE203" s="520">
        <f>IF(S.AC.CommitteeInvolved="Y",1,0)</f>
        <v>0</v>
      </c>
      <c r="AAF203" s="90" t="s">
        <v>0</v>
      </c>
      <c r="AAG203" s="73">
        <f>H202</f>
        <v>0</v>
      </c>
      <c r="AAH203" s="73">
        <f t="shared" si="138"/>
        <v>0</v>
      </c>
      <c r="AAI203" s="60"/>
      <c r="AAJ203" s="55"/>
      <c r="AAK203" s="39"/>
      <c r="AAL203" s="90"/>
    </row>
    <row r="204" spans="1:715" s="23" customFormat="1" ht="15.75" hidden="1" customHeight="1" outlineLevel="1">
      <c r="A204" s="171"/>
      <c r="B204" s="614" t="str">
        <f>AAK204</f>
        <v>AndreaRW:</v>
      </c>
      <c r="C204" s="362" t="s">
        <v>0</v>
      </c>
      <c r="D204" s="374"/>
      <c r="E204" s="374"/>
      <c r="F204" s="374"/>
      <c r="G204" s="374"/>
      <c r="H204" s="374"/>
      <c r="I204" s="244"/>
      <c r="J204" s="193"/>
      <c r="K204" s="193"/>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s="52"/>
      <c r="AAA204" s="192"/>
      <c r="AAD204" s="90"/>
      <c r="AAE204" s="520">
        <f>IF(S.AC.CommitteeInvolved="Y",1,0)</f>
        <v>0</v>
      </c>
      <c r="AAF204" s="190" t="s">
        <v>52</v>
      </c>
      <c r="AAG204" s="39"/>
      <c r="AAH204" s="39" t="s">
        <v>0</v>
      </c>
      <c r="AAI204" s="72"/>
      <c r="AAJ204" s="72"/>
      <c r="AAK204" s="92" t="str">
        <f>S.Staff.Lead&amp;":"</f>
        <v>AndreaRW:</v>
      </c>
      <c r="AAL204" s="90"/>
    </row>
    <row r="205" spans="1:715" s="23" customFormat="1" ht="15.75" hidden="1" customHeight="1" outlineLevel="1">
      <c r="A205" s="171"/>
      <c r="B205" s="439" t="s">
        <v>242</v>
      </c>
      <c r="C205" s="792" t="str">
        <f>HYPERLINK("http://deq05/intranet/communication/WebRequests.htm","i")</f>
        <v>i</v>
      </c>
      <c r="D205" s="380"/>
      <c r="E205" s="342">
        <f t="shared" ref="E205" si="147">NETWORKDAYS(G205,H205,S.DDL_DEQClosed)</f>
        <v>0</v>
      </c>
      <c r="F205" s="457">
        <f t="shared" ref="F205:F208" ca="1" si="148">IF(YEAR(H205)&gt;2000,NETWORKDAYS(TODAY(),H205,S.DDL_DEQClosed),0)</f>
        <v>0</v>
      </c>
      <c r="G205" s="451">
        <f t="shared" ref="G205:H231" si="149">AAG205</f>
        <v>0</v>
      </c>
      <c r="H205" s="343">
        <f t="shared" si="149"/>
        <v>0</v>
      </c>
      <c r="I205" s="244"/>
      <c r="J205" s="193"/>
      <c r="K205" s="193"/>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s="52"/>
      <c r="AAA205" s="192"/>
      <c r="AAD205" s="90"/>
      <c r="AAE205" s="520">
        <f>IF(AND(S.AC.WebPage="Y",S.AC.CommitteeInvolved="Y"),1,0)</f>
        <v>0</v>
      </c>
      <c r="AAF205" s="90" t="s">
        <v>0</v>
      </c>
      <c r="AAG205" s="73">
        <f t="shared" ref="AAG205:AAG208" si="150">S.AC.BANNER.Begin</f>
        <v>0</v>
      </c>
      <c r="AAH205" s="73">
        <f t="shared" ref="AAH205" si="151">G205</f>
        <v>0</v>
      </c>
      <c r="AAI205" s="60"/>
      <c r="AAJ205" s="55"/>
      <c r="AAK205" s="39" t="s">
        <v>0</v>
      </c>
      <c r="AAL205" s="90"/>
    </row>
    <row r="206" spans="1:715" ht="15.75" hidden="1" customHeight="1" outlineLevel="1">
      <c r="A206" s="171"/>
      <c r="B206" s="437" t="s">
        <v>243</v>
      </c>
      <c r="C206" s="362" t="s">
        <v>0</v>
      </c>
      <c r="D206" s="380"/>
      <c r="E206" s="342">
        <f>NETWORKDAYS(G206,H206,S.DDL_DEQClosed)</f>
        <v>0</v>
      </c>
      <c r="F206" s="457">
        <f t="shared" ca="1" si="148"/>
        <v>0</v>
      </c>
      <c r="G206" s="451">
        <f t="shared" si="149"/>
        <v>0</v>
      </c>
      <c r="H206" s="343">
        <f t="shared" si="149"/>
        <v>0</v>
      </c>
      <c r="I206" s="244"/>
      <c r="J206" s="193"/>
      <c r="K206" s="193"/>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AAA206" s="192"/>
      <c r="AAD206" s="90"/>
      <c r="AAE206" s="520">
        <f>IF(AND(S.AC.WebPage="Y",S.AC.CommitteeInvolved="Y"),1,0)</f>
        <v>0</v>
      </c>
      <c r="AAF206" s="90" t="s">
        <v>0</v>
      </c>
      <c r="AAG206" s="73">
        <f t="shared" si="150"/>
        <v>0</v>
      </c>
      <c r="AAH206" s="73">
        <f>S.AC.BANNER.End</f>
        <v>0</v>
      </c>
      <c r="AAI206" s="60"/>
      <c r="AAJ206" s="55"/>
      <c r="AAK206" s="39" t="s">
        <v>0</v>
      </c>
      <c r="AAL206" s="90"/>
      <c r="AAM206"/>
    </row>
    <row r="207" spans="1:715" ht="15.75" hidden="1" customHeight="1" outlineLevel="1">
      <c r="A207" s="171"/>
      <c r="B207" s="439" t="s">
        <v>152</v>
      </c>
      <c r="C207" s="362" t="s">
        <v>0</v>
      </c>
      <c r="D207" s="380"/>
      <c r="E207" s="342">
        <f t="shared" si="143"/>
        <v>0</v>
      </c>
      <c r="F207" s="457">
        <f t="shared" ca="1" si="148"/>
        <v>0</v>
      </c>
      <c r="G207" s="451">
        <f t="shared" si="149"/>
        <v>0</v>
      </c>
      <c r="H207" s="343">
        <f t="shared" si="149"/>
        <v>0</v>
      </c>
      <c r="I207" s="244"/>
      <c r="J207" s="193"/>
      <c r="K207" s="193"/>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AAA207" s="192"/>
      <c r="AAD207" s="90"/>
      <c r="AAE207" s="520">
        <f>IF(S.AC.CommitteeInvolved="Y",1,0)</f>
        <v>0</v>
      </c>
      <c r="AAF207" s="90" t="s">
        <v>0</v>
      </c>
      <c r="AAG207" s="73">
        <f t="shared" si="150"/>
        <v>0</v>
      </c>
      <c r="AAH207" s="73">
        <f t="shared" ref="AAH207" si="152">G207</f>
        <v>0</v>
      </c>
      <c r="AAI207" s="60"/>
      <c r="AAJ207" s="55"/>
      <c r="AAK207" s="39" t="s">
        <v>0</v>
      </c>
      <c r="AAL207" s="90"/>
      <c r="AAM207"/>
    </row>
    <row r="208" spans="1:715" s="23" customFormat="1" ht="15" hidden="1" customHeight="1" outlineLevel="1" thickBot="1">
      <c r="A208" s="171"/>
      <c r="B208" s="286" t="s">
        <v>153</v>
      </c>
      <c r="C208" s="362" t="s">
        <v>0</v>
      </c>
      <c r="D208" s="380"/>
      <c r="E208" s="342">
        <f t="shared" ref="E208" si="153">NETWORKDAYS(G208,H208,S.DDL_DEQClosed)</f>
        <v>0</v>
      </c>
      <c r="F208" s="457">
        <f t="shared" ca="1" si="148"/>
        <v>0</v>
      </c>
      <c r="G208" s="451">
        <f t="shared" ref="G208" si="154">AAG208</f>
        <v>0</v>
      </c>
      <c r="H208" s="343">
        <f t="shared" si="149"/>
        <v>0</v>
      </c>
      <c r="I208" s="244"/>
      <c r="J208" s="193"/>
      <c r="K208" s="193"/>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s="52"/>
      <c r="AAA208" s="192"/>
      <c r="AAD208" s="90"/>
      <c r="AAE208" s="520">
        <f>IF(S.AC.CommitteeInvolved="Y",1,0)</f>
        <v>0</v>
      </c>
      <c r="AAF208" s="90" t="s">
        <v>0</v>
      </c>
      <c r="AAG208" s="73">
        <f t="shared" si="150"/>
        <v>0</v>
      </c>
      <c r="AAH208" s="73">
        <f>S.AC.BANNER.End</f>
        <v>0</v>
      </c>
      <c r="AAI208" s="60"/>
      <c r="AAJ208" s="55"/>
      <c r="AAK208" s="39"/>
      <c r="AAL208" s="90"/>
    </row>
    <row r="209" spans="1:715" ht="15" hidden="1" customHeight="1" outlineLevel="1" thickBot="1">
      <c r="A209" s="171"/>
      <c r="B209" s="528" t="s">
        <v>26</v>
      </c>
      <c r="C209" s="377" t="s">
        <v>17</v>
      </c>
      <c r="D209" s="374"/>
      <c r="E209" s="374"/>
      <c r="F209" s="374"/>
      <c r="G209" s="339">
        <f>AAG209</f>
        <v>16</v>
      </c>
      <c r="H209" s="524" t="s">
        <v>54</v>
      </c>
      <c r="I209" s="244"/>
      <c r="J209" s="193"/>
      <c r="K209" s="193"/>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AAA209" s="192"/>
      <c r="AAD209" s="90"/>
      <c r="AAE209" s="520">
        <f t="shared" ref="AAE209:AAE219" si="155">IF(AND(S.AC.InvolveMeeting1="Y",S.AC.CommitteeInvolved="Y"),1,0)</f>
        <v>0</v>
      </c>
      <c r="AAF209" s="190" t="s">
        <v>52</v>
      </c>
      <c r="AAG209" s="73">
        <f>WORKDAY(S.AC.SendInvitation+13,1,S.DDL_DEQClosed)</f>
        <v>16</v>
      </c>
      <c r="AAH209" s="39" t="s">
        <v>0</v>
      </c>
      <c r="AAI209" s="39"/>
      <c r="AAJ209" s="55"/>
      <c r="AAK209" s="39"/>
      <c r="AAL209" s="90"/>
      <c r="AAM209"/>
    </row>
    <row r="210" spans="1:715" ht="15" hidden="1" customHeight="1" outlineLevel="2">
      <c r="A210" s="171"/>
      <c r="B210" s="613" t="s">
        <v>154</v>
      </c>
      <c r="C210" s="346"/>
      <c r="D210" s="380"/>
      <c r="E210" s="342">
        <f t="shared" si="143"/>
        <v>1</v>
      </c>
      <c r="F210" s="457">
        <f ca="1">IF(YEAR(H210)&gt;2000,NETWORKDAYS(TODAY(),H210,S.DDL_DEQClosed),0)</f>
        <v>0</v>
      </c>
      <c r="G210" s="451">
        <f t="shared" si="149"/>
        <v>2</v>
      </c>
      <c r="H210" s="343">
        <f t="shared" si="149"/>
        <v>2</v>
      </c>
      <c r="I210" s="244"/>
      <c r="J210" s="193"/>
      <c r="K210" s="193"/>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AAA210" s="192"/>
      <c r="AAD210" s="90"/>
      <c r="AAE210" s="520">
        <f t="shared" si="155"/>
        <v>0</v>
      </c>
      <c r="AAF210" s="90"/>
      <c r="AAG210" s="73">
        <f>WORKDAY(S.AC.DateMeeting1-13,-1,S.DDL_DEQClosed)</f>
        <v>2</v>
      </c>
      <c r="AAH210" s="73">
        <f t="shared" ref="AAH210" si="156">G210</f>
        <v>2</v>
      </c>
      <c r="AAI210" s="60"/>
      <c r="AAJ210" s="55"/>
      <c r="AAK210" s="39"/>
      <c r="AAL210" s="90"/>
      <c r="AAM210"/>
    </row>
    <row r="211" spans="1:715" s="23" customFormat="1" ht="15" hidden="1" customHeight="1" outlineLevel="2">
      <c r="A211" s="171"/>
      <c r="B211" s="384" t="str">
        <f>AAK211</f>
        <v>AndreaRW coordinates or drafts:</v>
      </c>
      <c r="C211" s="346"/>
      <c r="D211" s="374"/>
      <c r="E211" s="350"/>
      <c r="F211" s="350"/>
      <c r="G211" s="346"/>
      <c r="H211" s="409"/>
      <c r="I211" s="244"/>
      <c r="J211" s="193"/>
      <c r="K211" s="193"/>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s="52"/>
      <c r="AAA211" s="192"/>
      <c r="AAD211" s="90"/>
      <c r="AAE211" s="520">
        <f t="shared" si="155"/>
        <v>0</v>
      </c>
      <c r="AAF211" s="190" t="s">
        <v>52</v>
      </c>
      <c r="AAG211" s="60"/>
      <c r="AAH211" s="71"/>
      <c r="AAI211" s="71"/>
      <c r="AAJ211" s="55"/>
      <c r="AAK211" s="80" t="str">
        <f>S.Staff.Lead&amp;" coordinates or drafts:"</f>
        <v>AndreaRW coordinates or drafts:</v>
      </c>
      <c r="AAL211" s="90"/>
    </row>
    <row r="212" spans="1:715" ht="15" hidden="1" customHeight="1" outlineLevel="2">
      <c r="A212" s="171"/>
      <c r="B212" s="437" t="str">
        <f>AAK212</f>
        <v>* AC.AGENDA.01.16.00, gets team agreement</v>
      </c>
      <c r="C212" s="790" t="str">
        <f>HYPERLINK("\\deq000\templates\General\Agenda Template.dotx","i")</f>
        <v>i</v>
      </c>
      <c r="D212" s="511"/>
      <c r="E212" s="342">
        <f t="shared" ref="E212:E213" si="157">NETWORKDAYS(G212,H212,S.DDL_DEQClosed)</f>
        <v>1</v>
      </c>
      <c r="F212" s="457">
        <f t="shared" ref="F212:F219" ca="1" si="158">IF(YEAR(H212)&gt;2000,NETWORKDAYS(TODAY(),H212,S.DDL_DEQClosed),0)</f>
        <v>0</v>
      </c>
      <c r="G212" s="451">
        <f t="shared" si="149"/>
        <v>2</v>
      </c>
      <c r="H212" s="343">
        <f t="shared" si="149"/>
        <v>2</v>
      </c>
      <c r="I212" s="244"/>
      <c r="J212" s="193"/>
      <c r="K212" s="193"/>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AAA212" s="192"/>
      <c r="AAD212" s="90"/>
      <c r="AAE212" s="520">
        <f t="shared" si="155"/>
        <v>0</v>
      </c>
      <c r="AAF212" s="90" t="s">
        <v>0</v>
      </c>
      <c r="AAG212" s="73">
        <f>G210</f>
        <v>2</v>
      </c>
      <c r="AAH212" s="73">
        <f>G212</f>
        <v>2</v>
      </c>
      <c r="AAI212" s="72"/>
      <c r="AAJ212" s="74"/>
      <c r="AAK212" s="80" t="str">
        <f>"* AC.AGENDA."&amp; TEXT(S.AC.DateMeeting1,"mm.dd.yy")&amp;", gets team agreement"</f>
        <v>* AC.AGENDA.01.16.00, gets team agreement</v>
      </c>
      <c r="AAL212" s="90"/>
      <c r="AAM212"/>
    </row>
    <row r="213" spans="1:715" ht="15" hidden="1" customHeight="1" outlineLevel="2">
      <c r="A213" s="171"/>
      <c r="B213" s="437" t="str">
        <f>AAK213</f>
        <v>* AC.NOTIFICATION.01.16.00</v>
      </c>
      <c r="C213" s="362" t="s">
        <v>0</v>
      </c>
      <c r="D213" s="380"/>
      <c r="E213" s="342">
        <f t="shared" si="157"/>
        <v>1</v>
      </c>
      <c r="F213" s="457">
        <f t="shared" ca="1" si="158"/>
        <v>0</v>
      </c>
      <c r="G213" s="451">
        <f t="shared" si="149"/>
        <v>2</v>
      </c>
      <c r="H213" s="343">
        <f t="shared" si="149"/>
        <v>2</v>
      </c>
      <c r="I213" s="244"/>
      <c r="J213" s="193"/>
      <c r="K213" s="193"/>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AAA213" s="192"/>
      <c r="AAD213" s="90"/>
      <c r="AAE213" s="520">
        <f t="shared" si="155"/>
        <v>0</v>
      </c>
      <c r="AAF213" s="90" t="s">
        <v>0</v>
      </c>
      <c r="AAG213" s="73">
        <f>G212</f>
        <v>2</v>
      </c>
      <c r="AAH213" s="73">
        <f t="shared" ref="AAH213" si="159">G213</f>
        <v>2</v>
      </c>
      <c r="AAI213" s="72"/>
      <c r="AAJ213" s="72"/>
      <c r="AAK213" s="80" t="str">
        <f>"* AC.NOTIFICATION."&amp;TEXT(S.AC.DateMeeting1,"mm.dd.yy")</f>
        <v>* AC.NOTIFICATION.01.16.00</v>
      </c>
      <c r="AAL213" s="90"/>
      <c r="AAM213"/>
    </row>
    <row r="214" spans="1:715" ht="15" hidden="1" customHeight="1" outlineLevel="2">
      <c r="A214" s="171"/>
      <c r="B214" s="441" t="s">
        <v>318</v>
      </c>
      <c r="C214" s="790" t="str">
        <f>HYPERLINK("http://deq05/intranet/contentmanagement/login.asp","i")</f>
        <v>i</v>
      </c>
      <c r="D214" s="512"/>
      <c r="E214" s="342">
        <f t="shared" ref="E214:E219" si="160">NETWORKDAYS(G214,H214,S.DDL_DEQClosed)</f>
        <v>1</v>
      </c>
      <c r="F214" s="457">
        <f t="shared" ca="1" si="158"/>
        <v>0</v>
      </c>
      <c r="G214" s="451">
        <f t="shared" si="149"/>
        <v>2</v>
      </c>
      <c r="H214" s="343">
        <f t="shared" si="149"/>
        <v>2</v>
      </c>
      <c r="I214" s="244"/>
      <c r="J214" s="193"/>
      <c r="K214" s="193"/>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AAA214" s="192" t="s">
        <v>0</v>
      </c>
      <c r="AAD214" s="90"/>
      <c r="AAE214" s="520">
        <f t="shared" si="155"/>
        <v>0</v>
      </c>
      <c r="AAF214" s="90" t="s">
        <v>0</v>
      </c>
      <c r="AAG214" s="73">
        <f t="shared" ref="AAG214:AAG219" si="161">G213</f>
        <v>2</v>
      </c>
      <c r="AAH214" s="73">
        <f t="shared" ref="AAH214:AAH215" si="162">G214</f>
        <v>2</v>
      </c>
      <c r="AAI214" s="60"/>
      <c r="AAJ214" s="55"/>
      <c r="AAK214" s="55"/>
      <c r="AAL214" s="90"/>
      <c r="AAM214"/>
    </row>
    <row r="215" spans="1:715" ht="15" hidden="1" customHeight="1" outlineLevel="2">
      <c r="A215" s="171"/>
      <c r="B215" s="407" t="s">
        <v>241</v>
      </c>
      <c r="C215" s="362" t="s">
        <v>0</v>
      </c>
      <c r="D215" s="380"/>
      <c r="E215" s="342">
        <f t="shared" si="160"/>
        <v>1</v>
      </c>
      <c r="F215" s="457">
        <f t="shared" ca="1" si="158"/>
        <v>0</v>
      </c>
      <c r="G215" s="451">
        <f t="shared" si="149"/>
        <v>2</v>
      </c>
      <c r="H215" s="343">
        <f t="shared" ref="H215:H219" si="163">AAH215</f>
        <v>2</v>
      </c>
      <c r="I215" s="244"/>
      <c r="J215" s="193"/>
      <c r="K215" s="193"/>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AAA215" s="192"/>
      <c r="AAD215" s="90"/>
      <c r="AAE215" s="520">
        <f t="shared" si="155"/>
        <v>0</v>
      </c>
      <c r="AAF215" s="90" t="s">
        <v>0</v>
      </c>
      <c r="AAG215" s="73">
        <f t="shared" si="161"/>
        <v>2</v>
      </c>
      <c r="AAH215" s="73">
        <f t="shared" si="162"/>
        <v>2</v>
      </c>
      <c r="AAI215" s="60"/>
      <c r="AAJ215" s="55"/>
      <c r="AAK215" s="55"/>
      <c r="AAL215" s="90"/>
      <c r="AAM215"/>
    </row>
    <row r="216" spans="1:715" ht="15" hidden="1" customHeight="1" outlineLevel="2">
      <c r="A216" s="171"/>
      <c r="B216" s="615" t="s">
        <v>155</v>
      </c>
      <c r="C216" s="362" t="s">
        <v>0</v>
      </c>
      <c r="D216" s="380"/>
      <c r="E216" s="342">
        <f t="shared" si="160"/>
        <v>1</v>
      </c>
      <c r="F216" s="457">
        <f t="shared" ca="1" si="158"/>
        <v>0</v>
      </c>
      <c r="G216" s="451">
        <f t="shared" si="149"/>
        <v>2</v>
      </c>
      <c r="H216" s="343">
        <f t="shared" si="163"/>
        <v>2</v>
      </c>
      <c r="I216" s="244"/>
      <c r="J216" s="193"/>
      <c r="K216" s="193"/>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AAA216" s="192"/>
      <c r="AAD216" s="90"/>
      <c r="AAE216" s="520">
        <f t="shared" si="155"/>
        <v>0</v>
      </c>
      <c r="AAF216" s="90" t="s">
        <v>0</v>
      </c>
      <c r="AAG216" s="73">
        <f t="shared" si="161"/>
        <v>2</v>
      </c>
      <c r="AAH216" s="73">
        <f>G216</f>
        <v>2</v>
      </c>
      <c r="AAI216" s="60"/>
      <c r="AAJ216" s="55"/>
      <c r="AAK216" s="55"/>
      <c r="AAL216" s="90"/>
      <c r="AAM216"/>
    </row>
    <row r="217" spans="1:715" ht="15" hidden="1" customHeight="1" outlineLevel="2">
      <c r="A217" s="171"/>
      <c r="B217" s="615" t="s">
        <v>155</v>
      </c>
      <c r="C217" s="362" t="s">
        <v>0</v>
      </c>
      <c r="D217" s="380"/>
      <c r="E217" s="342">
        <f t="shared" si="160"/>
        <v>1</v>
      </c>
      <c r="F217" s="457">
        <f t="shared" ca="1" si="158"/>
        <v>0</v>
      </c>
      <c r="G217" s="451">
        <f t="shared" si="149"/>
        <v>2</v>
      </c>
      <c r="H217" s="343">
        <f t="shared" si="163"/>
        <v>2</v>
      </c>
      <c r="I217" s="244"/>
      <c r="J217" s="193"/>
      <c r="K217" s="193"/>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AAA217" s="192"/>
      <c r="AAD217" s="90"/>
      <c r="AAE217" s="520">
        <f t="shared" si="155"/>
        <v>0</v>
      </c>
      <c r="AAF217" s="90" t="s">
        <v>0</v>
      </c>
      <c r="AAG217" s="73">
        <f t="shared" si="161"/>
        <v>2</v>
      </c>
      <c r="AAH217" s="73">
        <f>G217</f>
        <v>2</v>
      </c>
      <c r="AAI217" s="60"/>
      <c r="AAJ217" s="55"/>
      <c r="AAK217" s="55"/>
      <c r="AAL217" s="90"/>
      <c r="AAM217"/>
    </row>
    <row r="218" spans="1:715" ht="15" hidden="1" customHeight="1" outlineLevel="2">
      <c r="A218" s="171"/>
      <c r="B218" s="615" t="s">
        <v>155</v>
      </c>
      <c r="C218" s="362" t="s">
        <v>0</v>
      </c>
      <c r="D218" s="380"/>
      <c r="E218" s="342">
        <f t="shared" si="160"/>
        <v>1</v>
      </c>
      <c r="F218" s="457">
        <f t="shared" ca="1" si="158"/>
        <v>0</v>
      </c>
      <c r="G218" s="451">
        <f t="shared" si="149"/>
        <v>2</v>
      </c>
      <c r="H218" s="343">
        <f t="shared" si="163"/>
        <v>2</v>
      </c>
      <c r="I218" s="244"/>
      <c r="J218" s="193"/>
      <c r="K218" s="193"/>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AAA218" s="192"/>
      <c r="AAD218" s="90"/>
      <c r="AAE218" s="520">
        <f t="shared" si="155"/>
        <v>0</v>
      </c>
      <c r="AAF218" s="90" t="s">
        <v>0</v>
      </c>
      <c r="AAG218" s="73">
        <f t="shared" si="161"/>
        <v>2</v>
      </c>
      <c r="AAH218" s="73">
        <f>G218</f>
        <v>2</v>
      </c>
      <c r="AAI218" s="60"/>
      <c r="AAJ218" s="55"/>
      <c r="AAK218" s="55"/>
      <c r="AAL218" s="90"/>
      <c r="AAM218"/>
    </row>
    <row r="219" spans="1:715" ht="15" hidden="1" customHeight="1" outlineLevel="2" thickBot="1">
      <c r="A219" s="171"/>
      <c r="B219" s="615" t="s">
        <v>155</v>
      </c>
      <c r="C219" s="362" t="s">
        <v>0</v>
      </c>
      <c r="D219" s="380"/>
      <c r="E219" s="342">
        <f t="shared" si="160"/>
        <v>1</v>
      </c>
      <c r="F219" s="457">
        <f t="shared" ca="1" si="158"/>
        <v>0</v>
      </c>
      <c r="G219" s="451">
        <f t="shared" si="149"/>
        <v>2</v>
      </c>
      <c r="H219" s="343">
        <f t="shared" si="163"/>
        <v>2</v>
      </c>
      <c r="I219" s="244"/>
      <c r="J219" s="193"/>
      <c r="K219" s="193"/>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AAA219" s="192"/>
      <c r="AAD219" s="90"/>
      <c r="AAE219" s="520">
        <f t="shared" si="155"/>
        <v>0</v>
      </c>
      <c r="AAF219" s="90" t="s">
        <v>0</v>
      </c>
      <c r="AAG219" s="73">
        <f t="shared" si="161"/>
        <v>2</v>
      </c>
      <c r="AAH219" s="73">
        <f>G219</f>
        <v>2</v>
      </c>
      <c r="AAI219" s="60"/>
      <c r="AAJ219" s="55"/>
      <c r="AAK219" s="55"/>
      <c r="AAL219" s="90"/>
      <c r="AAM219"/>
    </row>
    <row r="220" spans="1:715" s="23" customFormat="1" ht="15" hidden="1" customHeight="1" outlineLevel="3" thickBot="1">
      <c r="A220" s="171"/>
      <c r="B220" s="661" t="s">
        <v>216</v>
      </c>
      <c r="C220" s="377" t="s">
        <v>17</v>
      </c>
      <c r="D220" s="452"/>
      <c r="E220" s="453"/>
      <c r="F220" s="453"/>
      <c r="G220" s="453"/>
      <c r="H220" s="453"/>
      <c r="I220" s="244"/>
      <c r="J220" s="193"/>
      <c r="K220" s="193"/>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s="52"/>
      <c r="AAA220" s="192"/>
      <c r="AAB220"/>
      <c r="AAC220"/>
      <c r="AAD220" s="90"/>
      <c r="AAE220" s="520">
        <f t="shared" ref="AAE220:AAE227" si="164">IF(AND(S.AC.InvolveMeeting1="Y",S.AC.CommitteeInvolved="Y",S.AC.Presentation1="Y"),1,0)</f>
        <v>0</v>
      </c>
      <c r="AAF220" s="190" t="s">
        <v>52</v>
      </c>
      <c r="AAG220" s="39"/>
      <c r="AAH220" s="39"/>
      <c r="AAI220" s="39"/>
      <c r="AAJ220" s="55"/>
      <c r="AAK220" s="55"/>
      <c r="AAL220" s="90"/>
    </row>
    <row r="221" spans="1:715" s="23" customFormat="1" ht="15" hidden="1" customHeight="1" outlineLevel="3">
      <c r="A221" s="171"/>
      <c r="B221" s="662" t="s">
        <v>156</v>
      </c>
      <c r="C221" s="362" t="s">
        <v>0</v>
      </c>
      <c r="D221" s="454"/>
      <c r="E221" s="442"/>
      <c r="F221" s="442"/>
      <c r="G221" s="442"/>
      <c r="H221" s="442"/>
      <c r="I221" s="244"/>
      <c r="J221" s="193"/>
      <c r="K221" s="193"/>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s="52"/>
      <c r="AAA221" s="192"/>
      <c r="AAD221" s="90"/>
      <c r="AAE221" s="520">
        <f t="shared" si="164"/>
        <v>0</v>
      </c>
      <c r="AAF221" s="190" t="s">
        <v>52</v>
      </c>
      <c r="AAG221" s="39"/>
      <c r="AAH221" s="39"/>
      <c r="AAI221" s="60"/>
      <c r="AAJ221" s="55"/>
      <c r="AAK221" s="55"/>
      <c r="AAL221" s="90"/>
    </row>
    <row r="222" spans="1:715" ht="15" hidden="1" customHeight="1" outlineLevel="3">
      <c r="A222" s="171"/>
      <c r="B222" s="663" t="str">
        <f>AAK222</f>
        <v>* drafts optional AC.PRESENTATION.01.16.00</v>
      </c>
      <c r="C222" s="790" t="str">
        <f>HYPERLINK("http://deq05/intranet/communication/docs/DEQAgencyTemplate1.potx","i")</f>
        <v>i</v>
      </c>
      <c r="D222" s="511"/>
      <c r="E222" s="342">
        <f>NETWORKDAYS(G222,H222,S.DDL_DEQClosed)</f>
        <v>1</v>
      </c>
      <c r="F222" s="457">
        <f ca="1">IF(YEAR(H222)&gt;2000,NETWORKDAYS(TODAY(),H222,S.DDL_DEQClosed),0)</f>
        <v>0</v>
      </c>
      <c r="G222" s="451">
        <f t="shared" si="149"/>
        <v>2</v>
      </c>
      <c r="H222" s="343">
        <f>AAH222</f>
        <v>2</v>
      </c>
      <c r="I222" s="244"/>
      <c r="J222" s="193"/>
      <c r="K222" s="193"/>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AAA222" s="192"/>
      <c r="AAD222" s="90"/>
      <c r="AAE222" s="520">
        <f t="shared" si="164"/>
        <v>0</v>
      </c>
      <c r="AAF222" s="90" t="s">
        <v>0</v>
      </c>
      <c r="AAG222" s="73">
        <f>G219</f>
        <v>2</v>
      </c>
      <c r="AAH222" s="73">
        <f>G222</f>
        <v>2</v>
      </c>
      <c r="AAI222" s="60"/>
      <c r="AAJ222" s="55"/>
      <c r="AAK222" s="92" t="str">
        <f>"* drafts optional AC.PRESENTATION."&amp;TEXT($G$209,"mm.dd.yy")</f>
        <v>* drafts optional AC.PRESENTATION.01.16.00</v>
      </c>
      <c r="AAL222" s="90"/>
      <c r="AAM222"/>
    </row>
    <row r="223" spans="1:715" s="23" customFormat="1" ht="15" hidden="1" customHeight="1" outlineLevel="3">
      <c r="A223" s="171"/>
      <c r="B223" s="662" t="s">
        <v>156</v>
      </c>
      <c r="C223" s="362" t="s">
        <v>0</v>
      </c>
      <c r="D223" s="454"/>
      <c r="E223" s="453"/>
      <c r="F223" s="453"/>
      <c r="G223" s="453"/>
      <c r="H223" s="453"/>
      <c r="I223" s="244"/>
      <c r="J223" s="193"/>
      <c r="K223" s="193"/>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s="52"/>
      <c r="AAA223" s="192"/>
      <c r="AAD223" s="90"/>
      <c r="AAE223" s="520">
        <f t="shared" si="164"/>
        <v>0</v>
      </c>
      <c r="AAF223" s="190" t="s">
        <v>52</v>
      </c>
      <c r="AAG223" s="39"/>
      <c r="AAH223" s="39"/>
      <c r="AAI223" s="60"/>
      <c r="AAJ223" s="55"/>
      <c r="AAK223" s="55"/>
      <c r="AAL223" s="90"/>
    </row>
    <row r="224" spans="1:715" s="23" customFormat="1" ht="15" hidden="1" customHeight="1" outlineLevel="3">
      <c r="A224" s="171"/>
      <c r="B224" s="664" t="s">
        <v>240</v>
      </c>
      <c r="C224" s="362" t="s">
        <v>0</v>
      </c>
      <c r="D224" s="380"/>
      <c r="E224" s="342">
        <f t="shared" ref="E224" si="165">NETWORKDAYS(G224,H224,S.DDL_DEQClosed)</f>
        <v>1</v>
      </c>
      <c r="F224" s="457">
        <f ca="1">IF(YEAR(H224)&gt;2000,NETWORKDAYS(TODAY(),H224,S.DDL_DEQClosed),0)</f>
        <v>0</v>
      </c>
      <c r="G224" s="451">
        <f t="shared" si="149"/>
        <v>2</v>
      </c>
      <c r="H224" s="343">
        <f>AAH224</f>
        <v>2</v>
      </c>
      <c r="I224" s="244"/>
      <c r="J224" s="193"/>
      <c r="K224" s="193"/>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s="52"/>
      <c r="AAA224" s="192"/>
      <c r="AAB224"/>
      <c r="AAC224"/>
      <c r="AAD224" s="90"/>
      <c r="AAE224" s="520">
        <f t="shared" si="164"/>
        <v>0</v>
      </c>
      <c r="AAF224" s="90" t="s">
        <v>0</v>
      </c>
      <c r="AAG224" s="73">
        <f>G222</f>
        <v>2</v>
      </c>
      <c r="AAH224" s="73">
        <f t="shared" ref="AAH224" si="166">G224</f>
        <v>2</v>
      </c>
      <c r="AAI224" s="60"/>
      <c r="AAJ224" s="55"/>
      <c r="AAK224" s="55"/>
      <c r="AAL224" s="90"/>
    </row>
    <row r="225" spans="1:715" ht="15" hidden="1" customHeight="1" outlineLevel="3">
      <c r="A225" s="171"/>
      <c r="B225" s="665" t="s">
        <v>319</v>
      </c>
      <c r="C225" s="362" t="s">
        <v>0</v>
      </c>
      <c r="D225" s="380"/>
      <c r="E225" s="342">
        <f>NETWORKDAYS(G225,H225,S.DDL_DEQClosed)</f>
        <v>1</v>
      </c>
      <c r="F225" s="457">
        <f ca="1">IF(YEAR(H225)&gt;2000,NETWORKDAYS(TODAY(),H225,S.DDL_DEQClosed),0)</f>
        <v>0</v>
      </c>
      <c r="G225" s="451">
        <f t="shared" si="149"/>
        <v>2</v>
      </c>
      <c r="H225" s="343">
        <f>AAH225</f>
        <v>2</v>
      </c>
      <c r="I225" s="244"/>
      <c r="J225" s="193"/>
      <c r="K225" s="193"/>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AAA225" s="192"/>
      <c r="AAD225" s="90"/>
      <c r="AAE225" s="520">
        <f t="shared" si="164"/>
        <v>0</v>
      </c>
      <c r="AAF225" s="90" t="s">
        <v>0</v>
      </c>
      <c r="AAG225" s="73">
        <f>G224</f>
        <v>2</v>
      </c>
      <c r="AAH225" s="73">
        <f>G225</f>
        <v>2</v>
      </c>
      <c r="AAI225" s="60" t="s">
        <v>0</v>
      </c>
      <c r="AAJ225" s="55"/>
      <c r="AAK225" s="55"/>
      <c r="AAL225" s="90"/>
      <c r="AAM225"/>
    </row>
    <row r="226" spans="1:715" ht="15" hidden="1" customHeight="1" outlineLevel="3">
      <c r="A226" s="171"/>
      <c r="B226" s="666" t="str">
        <f>AAK226</f>
        <v>AndreaRW submits Web Request to post materials</v>
      </c>
      <c r="C226" s="792" t="str">
        <f>HYPERLINK("http://deq05/intranet/communication/WebRequests.htm","i")</f>
        <v>i</v>
      </c>
      <c r="D226" s="380"/>
      <c r="E226" s="342">
        <f>NETWORKDAYS(G226,H226,S.DDL_DEQClosed)</f>
        <v>1</v>
      </c>
      <c r="F226" s="457">
        <f t="shared" ref="F226:F231" ca="1" si="167">IF(YEAR(H226)&gt;2000,NETWORKDAYS(TODAY(),H226,S.DDL_DEQClosed),0)</f>
        <v>0</v>
      </c>
      <c r="G226" s="451">
        <f t="shared" si="149"/>
        <v>2</v>
      </c>
      <c r="H226" s="343">
        <f>AAH226</f>
        <v>2</v>
      </c>
      <c r="I226" s="244"/>
      <c r="J226" s="193"/>
      <c r="K226" s="193"/>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AAA226" s="192"/>
      <c r="AAD226" s="90"/>
      <c r="AAE226" s="520">
        <f t="shared" si="164"/>
        <v>0</v>
      </c>
      <c r="AAF226" s="90" t="s">
        <v>0</v>
      </c>
      <c r="AAG226" s="73">
        <f t="shared" ref="AAG226:AAG228" si="168">G225</f>
        <v>2</v>
      </c>
      <c r="AAH226" s="73">
        <f>G226</f>
        <v>2</v>
      </c>
      <c r="AAI226" s="60"/>
      <c r="AAJ226" s="55"/>
      <c r="AAK226" s="92" t="str">
        <f>S.Staff.Lead&amp;" submits Web Request to post materials"</f>
        <v>AndreaRW submits Web Request to post materials</v>
      </c>
      <c r="AAL226" s="90"/>
      <c r="AAM226"/>
    </row>
    <row r="227" spans="1:715" s="23" customFormat="1" ht="15" hidden="1" customHeight="1" outlineLevel="3">
      <c r="A227" s="171"/>
      <c r="B227" s="665" t="s">
        <v>159</v>
      </c>
      <c r="C227" s="425" t="s">
        <v>0</v>
      </c>
      <c r="D227" s="380"/>
      <c r="E227" s="342">
        <f>NETWORKDAYS(G227,H227,S.DDL_DEQClosed)</f>
        <v>1</v>
      </c>
      <c r="F227" s="457">
        <f t="shared" ca="1" si="167"/>
        <v>0</v>
      </c>
      <c r="G227" s="451">
        <f t="shared" si="149"/>
        <v>2</v>
      </c>
      <c r="H227" s="343">
        <f>AAH227</f>
        <v>2</v>
      </c>
      <c r="I227" s="244"/>
      <c r="J227" s="193"/>
      <c r="K227" s="193"/>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s="52"/>
      <c r="AAA227" s="192"/>
      <c r="AAD227" s="90"/>
      <c r="AAE227" s="520">
        <f t="shared" si="164"/>
        <v>0</v>
      </c>
      <c r="AAF227" s="90"/>
      <c r="AAG227" s="73">
        <f t="shared" si="168"/>
        <v>2</v>
      </c>
      <c r="AAH227" s="73">
        <f>G227</f>
        <v>2</v>
      </c>
      <c r="AAI227" s="72"/>
      <c r="AAJ227" s="72"/>
      <c r="AAK227" s="55"/>
      <c r="AAL227" s="90"/>
    </row>
    <row r="228" spans="1:715" ht="15" hidden="1" customHeight="1" outlineLevel="2">
      <c r="A228" s="171"/>
      <c r="B228" s="486" t="str">
        <f>AAK228</f>
        <v>AndreaRW sends meeting notice with link to Web page</v>
      </c>
      <c r="C228" s="425" t="s">
        <v>0</v>
      </c>
      <c r="D228" s="380"/>
      <c r="E228" s="342">
        <f>NETWORKDAYS(G228,H228,S.DDL_DEQClosed)</f>
        <v>1</v>
      </c>
      <c r="F228" s="457">
        <f t="shared" ca="1" si="167"/>
        <v>0</v>
      </c>
      <c r="G228" s="451">
        <f t="shared" si="149"/>
        <v>2</v>
      </c>
      <c r="H228" s="343">
        <f t="shared" ref="H228:H231" si="169">AAH228</f>
        <v>2</v>
      </c>
      <c r="I228" s="244"/>
      <c r="J228" s="193"/>
      <c r="K228" s="193"/>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AAA228" s="192"/>
      <c r="AAD228" s="90"/>
      <c r="AAE228" s="520">
        <f>IF(AND(S.AC.InvolveMeeting1="Y",S.AC.CommitteeInvolved="Y"),1,0)</f>
        <v>0</v>
      </c>
      <c r="AAF228" s="90"/>
      <c r="AAG228" s="73">
        <f t="shared" si="168"/>
        <v>2</v>
      </c>
      <c r="AAH228" s="73">
        <f>G228</f>
        <v>2</v>
      </c>
      <c r="AAI228" s="72"/>
      <c r="AAJ228" s="72"/>
      <c r="AAK228" s="92" t="str">
        <f>S.Staff.Lead&amp;" sends meeting notice with link to Web page"</f>
        <v>AndreaRW sends meeting notice with link to Web page</v>
      </c>
      <c r="AAL228" s="90"/>
      <c r="AAM228"/>
    </row>
    <row r="229" spans="1:715" ht="15" hidden="1" customHeight="1" outlineLevel="2">
      <c r="A229" s="171"/>
      <c r="B229" s="616" t="s">
        <v>157</v>
      </c>
      <c r="C229" s="425" t="s">
        <v>0</v>
      </c>
      <c r="D229" s="843" t="s">
        <v>324</v>
      </c>
      <c r="E229" s="843"/>
      <c r="F229" s="843"/>
      <c r="G229" s="844"/>
      <c r="H229" s="351">
        <f t="shared" si="169"/>
        <v>16</v>
      </c>
      <c r="I229" s="244"/>
      <c r="J229" s="193"/>
      <c r="K229" s="193"/>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AAA229" s="192"/>
      <c r="AAD229" s="90"/>
      <c r="AAE229" s="520">
        <f>IF(AND(S.AC.InvolveMeeting1="Y",S.AC.CommitteeInvolved="Y"),1,0)</f>
        <v>0</v>
      </c>
      <c r="AAF229" s="90"/>
      <c r="AAG229" s="72"/>
      <c r="AAH229" s="73">
        <f>S.AC.DateMeeting1</f>
        <v>16</v>
      </c>
      <c r="AAI229" s="72"/>
      <c r="AAJ229" s="72"/>
      <c r="AAK229" s="55"/>
      <c r="AAL229" s="90"/>
      <c r="AAM229"/>
    </row>
    <row r="230" spans="1:715" ht="15" hidden="1" customHeight="1" outlineLevel="2">
      <c r="A230" s="171"/>
      <c r="B230" s="486" t="str">
        <f>AAK230</f>
        <v>AndreaRW drafts AC.MINUTES 01.16.00</v>
      </c>
      <c r="C230" s="790" t="str">
        <f>HYPERLINK("\\deq000\templates\General\Minutes Template.dotx","i")</f>
        <v>i</v>
      </c>
      <c r="D230" s="511"/>
      <c r="E230" s="342">
        <f t="shared" ref="E230:E231" si="170">NETWORKDAYS(G230,H230,S.DDL_DEQClosed)</f>
        <v>1</v>
      </c>
      <c r="F230" s="457">
        <f t="shared" ca="1" si="167"/>
        <v>0</v>
      </c>
      <c r="G230" s="451">
        <f t="shared" si="149"/>
        <v>16</v>
      </c>
      <c r="H230" s="343">
        <f t="shared" si="169"/>
        <v>16</v>
      </c>
      <c r="I230" s="244"/>
      <c r="J230" s="193"/>
      <c r="K230" s="193"/>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AAA230" s="192"/>
      <c r="AAD230" s="90"/>
      <c r="AAE230" s="520">
        <f>IF(AND(S.AC.InvolveMeeting1="Y",S.AC.CommitteeInvolved="Y"),1,0)</f>
        <v>0</v>
      </c>
      <c r="AAF230" s="90"/>
      <c r="AAG230" s="73">
        <f>S.AC.DateMeeting1</f>
        <v>16</v>
      </c>
      <c r="AAH230" s="73">
        <f t="shared" ref="AAH230:AAH231" si="171">G230</f>
        <v>16</v>
      </c>
      <c r="AAI230" s="72"/>
      <c r="AAJ230" s="72"/>
      <c r="AAK230" s="80" t="str">
        <f>S.Staff.Lead&amp;" drafts AC.MINUTES "&amp;TEXT(S.AC.DateMeeting1,"mm.dd.yy")</f>
        <v>AndreaRW drafts AC.MINUTES 01.16.00</v>
      </c>
      <c r="AAL230" s="90"/>
      <c r="AAM230"/>
    </row>
    <row r="231" spans="1:715" ht="15" hidden="1" customHeight="1" outlineLevel="2" thickBot="1">
      <c r="A231" s="171"/>
      <c r="B231" s="616" t="s">
        <v>158</v>
      </c>
      <c r="C231" s="425" t="s">
        <v>0</v>
      </c>
      <c r="D231" s="380"/>
      <c r="E231" s="342">
        <f t="shared" si="170"/>
        <v>1</v>
      </c>
      <c r="F231" s="457">
        <f t="shared" ca="1" si="167"/>
        <v>0</v>
      </c>
      <c r="G231" s="451">
        <f t="shared" si="149"/>
        <v>16</v>
      </c>
      <c r="H231" s="343">
        <f t="shared" si="169"/>
        <v>16</v>
      </c>
      <c r="I231" s="244"/>
      <c r="J231" s="193"/>
      <c r="K231" s="193"/>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AAA231" s="192"/>
      <c r="AAD231" s="90"/>
      <c r="AAE231" s="520">
        <f>IF(AND(S.AC.InvolveMeeting1="Y",S.AC.CommitteeInvolved="Y"),1,0)</f>
        <v>0</v>
      </c>
      <c r="AAF231" s="90"/>
      <c r="AAG231" s="73">
        <f>S.AC.DateMeeting1</f>
        <v>16</v>
      </c>
      <c r="AAH231" s="73">
        <f t="shared" si="171"/>
        <v>16</v>
      </c>
      <c r="AAI231" s="72"/>
      <c r="AAJ231" s="72"/>
      <c r="AAK231" s="55"/>
      <c r="AAL231" s="90"/>
      <c r="AAM231"/>
    </row>
    <row r="232" spans="1:715" s="23" customFormat="1" ht="15" hidden="1" customHeight="1" outlineLevel="1" collapsed="1" thickBot="1">
      <c r="A232" s="171"/>
      <c r="B232" s="528" t="s">
        <v>25</v>
      </c>
      <c r="C232" s="377" t="s">
        <v>17</v>
      </c>
      <c r="D232" s="515"/>
      <c r="E232" s="515"/>
      <c r="F232" s="527"/>
      <c r="G232" s="339">
        <f>AAG232</f>
        <v>16</v>
      </c>
      <c r="H232" s="524" t="s">
        <v>54</v>
      </c>
      <c r="I232" s="244"/>
      <c r="J232" s="193"/>
      <c r="K232" s="193"/>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s="52"/>
      <c r="AAA232" s="192"/>
      <c r="AAB232"/>
      <c r="AAC232"/>
      <c r="AAD232" s="90"/>
      <c r="AAE232" s="520">
        <f>IF(AND(S.AC.InvolveMeeting2="Y",S.AC.CommitteeInvolved="Y"),1,0)</f>
        <v>0</v>
      </c>
      <c r="AAF232" s="190" t="s">
        <v>52</v>
      </c>
      <c r="AAG232" s="73">
        <f>S.AC.DateMeeting1</f>
        <v>16</v>
      </c>
      <c r="AAH232" s="39" t="s">
        <v>0</v>
      </c>
      <c r="AAI232" s="39"/>
      <c r="AAJ232" s="55"/>
      <c r="AAK232" s="55"/>
      <c r="AAL232" s="90"/>
    </row>
    <row r="233" spans="1:715" s="23" customFormat="1" ht="15" hidden="1" customHeight="1" outlineLevel="2">
      <c r="A233" s="171"/>
      <c r="B233" s="613" t="s">
        <v>154</v>
      </c>
      <c r="C233" s="346"/>
      <c r="D233" s="380"/>
      <c r="E233" s="342">
        <f t="shared" ref="E233" si="172">NETWORKDAYS(G233,H233,S.DDL_DEQClosed)</f>
        <v>1</v>
      </c>
      <c r="F233" s="457">
        <f ca="1">IF(YEAR(H233)&gt;2000,NETWORKDAYS(TODAY(),H233,S.DDL_DEQClosed),0)</f>
        <v>0</v>
      </c>
      <c r="G233" s="451">
        <f t="shared" ref="G233" si="173">AAG233</f>
        <v>2</v>
      </c>
      <c r="H233" s="343">
        <f t="shared" ref="H233" si="174">AAH233</f>
        <v>2</v>
      </c>
      <c r="I233" s="244"/>
      <c r="J233" s="193"/>
      <c r="K233" s="193"/>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s="52"/>
      <c r="AAA233" s="192"/>
      <c r="AAD233" s="90"/>
      <c r="AAE233" s="520">
        <f>IF(AND(S.AC.InvolveMeeting2="Y",S.AC.CommitteeInvolved="Y"),1,0)</f>
        <v>0</v>
      </c>
      <c r="AAF233" s="90"/>
      <c r="AAG233" s="73">
        <f>WORKDAY(S.AC.DateMeeting2-13,-1,S.DDL_DEQClosed)</f>
        <v>2</v>
      </c>
      <c r="AAH233" s="73">
        <f t="shared" ref="AAH233" si="175">G233</f>
        <v>2</v>
      </c>
      <c r="AAI233" s="60"/>
      <c r="AAJ233" s="55"/>
      <c r="AAK233" s="39"/>
      <c r="AAL233" s="90"/>
    </row>
    <row r="234" spans="1:715" s="23" customFormat="1" ht="15" hidden="1" customHeight="1" outlineLevel="2">
      <c r="A234" s="171"/>
      <c r="B234" s="384" t="str">
        <f>AAK234</f>
        <v>AndreaRW coordinates or drafts:</v>
      </c>
      <c r="C234" s="346"/>
      <c r="D234" s="374"/>
      <c r="E234" s="350"/>
      <c r="F234" s="350"/>
      <c r="G234" s="346"/>
      <c r="H234" s="409"/>
      <c r="I234" s="244"/>
      <c r="J234" s="193"/>
      <c r="K234" s="193"/>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s="52"/>
      <c r="AAA234" s="192"/>
      <c r="AAD234" s="90"/>
      <c r="AAE234" s="520">
        <f>IF(AND(S.AC.InvolveMeeting2="Y",S.AC.CommitteeInvolved="Y"),1,0)</f>
        <v>0</v>
      </c>
      <c r="AAF234" s="190" t="s">
        <v>52</v>
      </c>
      <c r="AAG234" s="60"/>
      <c r="AAH234" s="71"/>
      <c r="AAI234" s="71"/>
      <c r="AAJ234" s="55"/>
      <c r="AAK234" s="80" t="str">
        <f>S.Staff.Lead&amp;" coordinates or drafts:"</f>
        <v>AndreaRW coordinates or drafts:</v>
      </c>
      <c r="AAL234" s="90"/>
    </row>
    <row r="235" spans="1:715" s="23" customFormat="1" ht="15" hidden="1" customHeight="1" outlineLevel="2">
      <c r="A235" s="171"/>
      <c r="B235" s="437" t="str">
        <f>AAK235</f>
        <v>* AC.AGENDA.01.16.00, gets team agreement</v>
      </c>
      <c r="C235" s="790" t="str">
        <f>HYPERLINK("\\deq000\templates\General\Agenda Template.dotx","i")</f>
        <v>i</v>
      </c>
      <c r="D235" s="511"/>
      <c r="E235" s="342">
        <f t="shared" ref="E235:E238" si="176">NETWORKDAYS(G235,H235,S.DDL_DEQClosed)</f>
        <v>1</v>
      </c>
      <c r="F235" s="457">
        <f t="shared" ref="F235:F238" ca="1" si="177">IF(YEAR(H235)&gt;2000,NETWORKDAYS(TODAY(),H235,S.DDL_DEQClosed),0)</f>
        <v>0</v>
      </c>
      <c r="G235" s="451">
        <f t="shared" ref="G235:G242" si="178">AAG235</f>
        <v>2</v>
      </c>
      <c r="H235" s="343">
        <f t="shared" ref="H235:H238" si="179">AAH235</f>
        <v>2</v>
      </c>
      <c r="I235" s="244"/>
      <c r="J235" s="193"/>
      <c r="K235" s="193"/>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s="52"/>
      <c r="AAA235" s="192"/>
      <c r="AAD235" s="90"/>
      <c r="AAE235" s="520">
        <f>IF(AND(S.AC.InvolveMeeting1="Y",S.AC.CommitteeInvolved="Y"),1,0)</f>
        <v>0</v>
      </c>
      <c r="AAF235" s="90" t="s">
        <v>0</v>
      </c>
      <c r="AAG235" s="73">
        <f>G233</f>
        <v>2</v>
      </c>
      <c r="AAH235" s="73">
        <f>G235</f>
        <v>2</v>
      </c>
      <c r="AAI235" s="72"/>
      <c r="AAJ235" s="74"/>
      <c r="AAK235" s="80" t="str">
        <f>"* AC.AGENDA."&amp; TEXT(S.AC.DateMeeting1,"mm.dd.yy")&amp;", gets team agreement"</f>
        <v>* AC.AGENDA.01.16.00, gets team agreement</v>
      </c>
      <c r="AAL235" s="90"/>
    </row>
    <row r="236" spans="1:715" s="23" customFormat="1" ht="15" hidden="1" customHeight="1" outlineLevel="2">
      <c r="A236" s="171"/>
      <c r="B236" s="437" t="str">
        <f>AAK236</f>
        <v>* AC.NOTIFICATION.01.16.00</v>
      </c>
      <c r="C236" s="362" t="s">
        <v>0</v>
      </c>
      <c r="D236" s="380"/>
      <c r="E236" s="342">
        <f t="shared" si="176"/>
        <v>1</v>
      </c>
      <c r="F236" s="457">
        <f t="shared" ca="1" si="177"/>
        <v>0</v>
      </c>
      <c r="G236" s="451">
        <f t="shared" si="178"/>
        <v>2</v>
      </c>
      <c r="H236" s="343">
        <f t="shared" si="179"/>
        <v>2</v>
      </c>
      <c r="I236" s="244"/>
      <c r="J236" s="193"/>
      <c r="K236" s="193"/>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s="52"/>
      <c r="AAA236" s="192"/>
      <c r="AAD236" s="90"/>
      <c r="AAE236" s="520">
        <f>IF(AND(S.AC.InvolveMeeting1="Y",S.AC.CommitteeInvolved="Y"),1,0)</f>
        <v>0</v>
      </c>
      <c r="AAF236" s="90" t="s">
        <v>0</v>
      </c>
      <c r="AAG236" s="73">
        <f>G235</f>
        <v>2</v>
      </c>
      <c r="AAH236" s="73">
        <f t="shared" ref="AAH236:AAH238" si="180">G236</f>
        <v>2</v>
      </c>
      <c r="AAI236" s="72"/>
      <c r="AAJ236" s="72"/>
      <c r="AAK236" s="80" t="str">
        <f>"* AC.NOTIFICATION."&amp;TEXT(S.AC.DateMeeting1,"mm.dd.yy")</f>
        <v>* AC.NOTIFICATION.01.16.00</v>
      </c>
      <c r="AAL236" s="90"/>
    </row>
    <row r="237" spans="1:715" s="23" customFormat="1" ht="15" hidden="1" customHeight="1" outlineLevel="2">
      <c r="A237" s="171"/>
      <c r="B237" s="441" t="s">
        <v>318</v>
      </c>
      <c r="C237" s="790" t="str">
        <f>HYPERLINK("http://deq05/intranet/contentmanagement/login.asp","i")</f>
        <v>i</v>
      </c>
      <c r="D237" s="512"/>
      <c r="E237" s="342">
        <f t="shared" si="176"/>
        <v>1</v>
      </c>
      <c r="F237" s="457">
        <f t="shared" ca="1" si="177"/>
        <v>0</v>
      </c>
      <c r="G237" s="451">
        <f t="shared" si="178"/>
        <v>2</v>
      </c>
      <c r="H237" s="343">
        <f t="shared" si="179"/>
        <v>2</v>
      </c>
      <c r="I237" s="244"/>
      <c r="J237" s="193"/>
      <c r="K237" s="193"/>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s="52"/>
      <c r="AAA237" s="192" t="s">
        <v>0</v>
      </c>
      <c r="AAD237" s="90"/>
      <c r="AAE237" s="520">
        <f>IF(AND(S.AC.InvolveMeeting1="Y",S.AC.CommitteeInvolved="Y"),1,0)</f>
        <v>0</v>
      </c>
      <c r="AAF237" s="90" t="s">
        <v>0</v>
      </c>
      <c r="AAG237" s="73">
        <f t="shared" ref="AAG237:AAG242" si="181">G236</f>
        <v>2</v>
      </c>
      <c r="AAH237" s="73">
        <f t="shared" si="180"/>
        <v>2</v>
      </c>
      <c r="AAI237" s="60"/>
      <c r="AAJ237" s="55"/>
      <c r="AAK237" s="55"/>
      <c r="AAL237" s="90"/>
    </row>
    <row r="238" spans="1:715" s="23" customFormat="1" ht="15" hidden="1" customHeight="1" outlineLevel="2">
      <c r="A238" s="171"/>
      <c r="B238" s="407" t="s">
        <v>241</v>
      </c>
      <c r="C238" s="362" t="s">
        <v>0</v>
      </c>
      <c r="D238" s="380"/>
      <c r="E238" s="342">
        <f t="shared" si="176"/>
        <v>1</v>
      </c>
      <c r="F238" s="457">
        <f t="shared" ca="1" si="177"/>
        <v>0</v>
      </c>
      <c r="G238" s="451">
        <f t="shared" si="178"/>
        <v>2</v>
      </c>
      <c r="H238" s="343">
        <f t="shared" si="179"/>
        <v>2</v>
      </c>
      <c r="I238" s="244"/>
      <c r="J238" s="193"/>
      <c r="K238" s="193"/>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s="52"/>
      <c r="AAA238" s="192"/>
      <c r="AAD238" s="90"/>
      <c r="AAE238" s="520">
        <f>IF(AND(S.AC.InvolveMeeting1="Y",S.AC.CommitteeInvolved="Y"),1,0)</f>
        <v>0</v>
      </c>
      <c r="AAF238" s="90" t="s">
        <v>0</v>
      </c>
      <c r="AAG238" s="73">
        <f t="shared" si="181"/>
        <v>2</v>
      </c>
      <c r="AAH238" s="73">
        <f t="shared" si="180"/>
        <v>2</v>
      </c>
      <c r="AAI238" s="60"/>
      <c r="AAJ238" s="55"/>
      <c r="AAK238" s="55"/>
      <c r="AAL238" s="90"/>
    </row>
    <row r="239" spans="1:715" s="23" customFormat="1" ht="15" hidden="1" customHeight="1" outlineLevel="2">
      <c r="A239" s="171"/>
      <c r="B239" s="615" t="s">
        <v>155</v>
      </c>
      <c r="C239" s="362" t="s">
        <v>0</v>
      </c>
      <c r="D239" s="380"/>
      <c r="E239" s="342">
        <f t="shared" ref="E239:E242" si="182">NETWORKDAYS(G239,H239,S.DDL_DEQClosed)</f>
        <v>1</v>
      </c>
      <c r="F239" s="457">
        <f t="shared" ref="F239:F242" ca="1" si="183">IF(YEAR(H239)&gt;2000,NETWORKDAYS(TODAY(),H239,S.DDL_DEQClosed),0)</f>
        <v>0</v>
      </c>
      <c r="G239" s="451">
        <f t="shared" si="178"/>
        <v>2</v>
      </c>
      <c r="H239" s="343">
        <f t="shared" ref="H239:H242" si="184">AAH239</f>
        <v>2</v>
      </c>
      <c r="I239" s="244"/>
      <c r="J239" s="193"/>
      <c r="K239" s="193"/>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s="52"/>
      <c r="AAA239" s="192"/>
      <c r="AAD239" s="90"/>
      <c r="AAE239" s="520">
        <f>IF(AND(S.AC.InvolveMeeting2="Y",S.AC.CommitteeInvolved="Y"),1,0)</f>
        <v>0</v>
      </c>
      <c r="AAF239" s="90" t="s">
        <v>0</v>
      </c>
      <c r="AAG239" s="73">
        <f t="shared" si="181"/>
        <v>2</v>
      </c>
      <c r="AAH239" s="73">
        <f>G239</f>
        <v>2</v>
      </c>
      <c r="AAI239" s="60"/>
      <c r="AAJ239" s="55"/>
      <c r="AAK239" s="55"/>
      <c r="AAL239" s="90"/>
    </row>
    <row r="240" spans="1:715" s="23" customFormat="1" ht="15" hidden="1" customHeight="1" outlineLevel="2">
      <c r="A240" s="171"/>
      <c r="B240" s="615" t="s">
        <v>155</v>
      </c>
      <c r="C240" s="362" t="s">
        <v>0</v>
      </c>
      <c r="D240" s="380"/>
      <c r="E240" s="342">
        <f t="shared" si="182"/>
        <v>1</v>
      </c>
      <c r="F240" s="457">
        <f t="shared" ca="1" si="183"/>
        <v>0</v>
      </c>
      <c r="G240" s="451">
        <f t="shared" si="178"/>
        <v>2</v>
      </c>
      <c r="H240" s="343">
        <f t="shared" si="184"/>
        <v>2</v>
      </c>
      <c r="I240" s="244"/>
      <c r="J240" s="193"/>
      <c r="K240" s="193"/>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s="52"/>
      <c r="AAA240" s="192"/>
      <c r="AAD240" s="90"/>
      <c r="AAE240" s="520">
        <f>IF(AND(S.AC.InvolveMeeting2="Y",S.AC.CommitteeInvolved="Y"),1,0)</f>
        <v>0</v>
      </c>
      <c r="AAF240" s="90" t="s">
        <v>0</v>
      </c>
      <c r="AAG240" s="73">
        <f t="shared" si="181"/>
        <v>2</v>
      </c>
      <c r="AAH240" s="73">
        <f>G240</f>
        <v>2</v>
      </c>
      <c r="AAI240" s="60"/>
      <c r="AAJ240" s="55"/>
      <c r="AAK240" s="55"/>
      <c r="AAL240" s="90"/>
    </row>
    <row r="241" spans="1:714" s="23" customFormat="1" ht="15" hidden="1" customHeight="1" outlineLevel="2">
      <c r="A241" s="171"/>
      <c r="B241" s="615" t="s">
        <v>155</v>
      </c>
      <c r="C241" s="362" t="s">
        <v>0</v>
      </c>
      <c r="D241" s="380"/>
      <c r="E241" s="342">
        <f t="shared" si="182"/>
        <v>1</v>
      </c>
      <c r="F241" s="457">
        <f t="shared" ca="1" si="183"/>
        <v>0</v>
      </c>
      <c r="G241" s="451">
        <f t="shared" si="178"/>
        <v>2</v>
      </c>
      <c r="H241" s="343">
        <f t="shared" si="184"/>
        <v>2</v>
      </c>
      <c r="I241" s="244"/>
      <c r="J241" s="193"/>
      <c r="K241" s="193"/>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s="52"/>
      <c r="AAA241" s="192"/>
      <c r="AAD241" s="90"/>
      <c r="AAE241" s="520">
        <f>IF(AND(S.AC.InvolveMeeting2="Y",S.AC.CommitteeInvolved="Y"),1,0)</f>
        <v>0</v>
      </c>
      <c r="AAF241" s="90" t="s">
        <v>0</v>
      </c>
      <c r="AAG241" s="73">
        <f t="shared" si="181"/>
        <v>2</v>
      </c>
      <c r="AAH241" s="73">
        <f>G241</f>
        <v>2</v>
      </c>
      <c r="AAI241" s="60"/>
      <c r="AAJ241" s="55"/>
      <c r="AAK241" s="55"/>
      <c r="AAL241" s="90"/>
    </row>
    <row r="242" spans="1:714" s="23" customFormat="1" ht="15" hidden="1" customHeight="1" outlineLevel="2" thickBot="1">
      <c r="A242" s="171"/>
      <c r="B242" s="615" t="s">
        <v>155</v>
      </c>
      <c r="C242" s="362" t="s">
        <v>0</v>
      </c>
      <c r="D242" s="380"/>
      <c r="E242" s="342">
        <f t="shared" si="182"/>
        <v>1</v>
      </c>
      <c r="F242" s="457">
        <f t="shared" ca="1" si="183"/>
        <v>0</v>
      </c>
      <c r="G242" s="451">
        <f t="shared" si="178"/>
        <v>2</v>
      </c>
      <c r="H242" s="343">
        <f t="shared" si="184"/>
        <v>2</v>
      </c>
      <c r="I242" s="244"/>
      <c r="J242" s="193"/>
      <c r="K242" s="193"/>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s="52"/>
      <c r="AAA242" s="192"/>
      <c r="AAD242" s="90"/>
      <c r="AAE242" s="520">
        <f>IF(AND(S.AC.InvolveMeeting2="Y",S.AC.CommitteeInvolved="Y"),1,0)</f>
        <v>0</v>
      </c>
      <c r="AAF242" s="90" t="s">
        <v>0</v>
      </c>
      <c r="AAG242" s="73">
        <f t="shared" si="181"/>
        <v>2</v>
      </c>
      <c r="AAH242" s="73">
        <f>G242</f>
        <v>2</v>
      </c>
      <c r="AAI242" s="60"/>
      <c r="AAJ242" s="55"/>
      <c r="AAK242" s="55"/>
      <c r="AAL242" s="90"/>
    </row>
    <row r="243" spans="1:714" s="23" customFormat="1" ht="15" hidden="1" customHeight="1" outlineLevel="3" thickBot="1">
      <c r="A243" s="171"/>
      <c r="B243" s="661" t="s">
        <v>216</v>
      </c>
      <c r="C243" s="377" t="s">
        <v>17</v>
      </c>
      <c r="D243" s="452"/>
      <c r="E243" s="453"/>
      <c r="F243" s="453"/>
      <c r="G243" s="453"/>
      <c r="H243" s="453"/>
      <c r="I243" s="244"/>
      <c r="J243" s="193"/>
      <c r="K243" s="193"/>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s="52"/>
      <c r="AAA243" s="192"/>
      <c r="AAD243" s="90"/>
      <c r="AAE243" s="520">
        <f>IF(AND(S.AC.InvolveMeeting2="Y",S.AC.CommitteeInvolved="Y",S.AC.Presentation2="Y"),1,0)</f>
        <v>0</v>
      </c>
      <c r="AAF243" s="190" t="s">
        <v>52</v>
      </c>
      <c r="AAG243" s="39"/>
      <c r="AAH243" s="39"/>
      <c r="AAI243" s="39"/>
      <c r="AAJ243" s="55"/>
      <c r="AAK243" s="55"/>
      <c r="AAL243" s="90"/>
    </row>
    <row r="244" spans="1:714" s="23" customFormat="1" ht="15" hidden="1" customHeight="1" outlineLevel="3">
      <c r="A244" s="171"/>
      <c r="B244" s="662" t="s">
        <v>156</v>
      </c>
      <c r="C244" s="362" t="s">
        <v>0</v>
      </c>
      <c r="D244" s="454"/>
      <c r="E244" s="442"/>
      <c r="F244" s="442"/>
      <c r="G244" s="442"/>
      <c r="H244" s="442"/>
      <c r="I244" s="244"/>
      <c r="J244" s="193"/>
      <c r="K244" s="193"/>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s="52"/>
      <c r="AAA244" s="192"/>
      <c r="AAD244" s="90"/>
      <c r="AAE244" s="520">
        <f t="shared" ref="AAE244:AAE250" si="185">IF(AND(S.AC.InvolveMeeting1="Y",S.AC.CommitteeInvolved="Y",S.AC.Presentation1="Y"),1,0)</f>
        <v>0</v>
      </c>
      <c r="AAF244" s="190" t="s">
        <v>52</v>
      </c>
      <c r="AAG244" s="39"/>
      <c r="AAH244" s="39"/>
      <c r="AAI244" s="60"/>
      <c r="AAJ244" s="55"/>
      <c r="AAK244" s="55"/>
      <c r="AAL244" s="90"/>
    </row>
    <row r="245" spans="1:714" s="23" customFormat="1" ht="15" hidden="1" customHeight="1" outlineLevel="3">
      <c r="A245" s="171"/>
      <c r="B245" s="663" t="str">
        <f>AAK245</f>
        <v>* drafts optional AC.PRESENTATION.01.16.00</v>
      </c>
      <c r="C245" s="790" t="str">
        <f>HYPERLINK("http://deq05/intranet/communication/docs/DEQAgencyTemplate1.potx","i")</f>
        <v>i</v>
      </c>
      <c r="D245" s="511"/>
      <c r="E245" s="342">
        <f>NETWORKDAYS(G245,H245,S.DDL_DEQClosed)</f>
        <v>1</v>
      </c>
      <c r="F245" s="457">
        <f ca="1">IF(YEAR(H245)&gt;2000,NETWORKDAYS(TODAY(),H245,S.DDL_DEQClosed),0)</f>
        <v>0</v>
      </c>
      <c r="G245" s="451">
        <f t="shared" ref="G245" si="186">AAG245</f>
        <v>2</v>
      </c>
      <c r="H245" s="343">
        <f>AAH245</f>
        <v>2</v>
      </c>
      <c r="I245" s="244"/>
      <c r="J245" s="193"/>
      <c r="K245" s="193"/>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s="52"/>
      <c r="AAA245" s="192"/>
      <c r="AAD245" s="90"/>
      <c r="AAE245" s="520">
        <f t="shared" si="185"/>
        <v>0</v>
      </c>
      <c r="AAF245" s="90" t="s">
        <v>0</v>
      </c>
      <c r="AAG245" s="73">
        <f>G242</f>
        <v>2</v>
      </c>
      <c r="AAH245" s="73">
        <f>G245</f>
        <v>2</v>
      </c>
      <c r="AAI245" s="60"/>
      <c r="AAJ245" s="55"/>
      <c r="AAK245" s="92" t="str">
        <f>"* drafts optional AC.PRESENTATION."&amp;TEXT($G$209,"mm.dd.yy")</f>
        <v>* drafts optional AC.PRESENTATION.01.16.00</v>
      </c>
      <c r="AAL245" s="90"/>
    </row>
    <row r="246" spans="1:714" s="23" customFormat="1" ht="15" hidden="1" customHeight="1" outlineLevel="3">
      <c r="A246" s="171"/>
      <c r="B246" s="662" t="s">
        <v>156</v>
      </c>
      <c r="C246" s="362" t="s">
        <v>0</v>
      </c>
      <c r="D246" s="454"/>
      <c r="E246" s="453"/>
      <c r="F246" s="453"/>
      <c r="G246" s="453"/>
      <c r="H246" s="453"/>
      <c r="I246" s="244"/>
      <c r="J246" s="193"/>
      <c r="K246" s="193"/>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c r="DN246" s="46"/>
      <c r="DO246" s="46"/>
      <c r="DP246" s="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s="52"/>
      <c r="AAA246" s="192"/>
      <c r="AAD246" s="90"/>
      <c r="AAE246" s="520">
        <f t="shared" si="185"/>
        <v>0</v>
      </c>
      <c r="AAF246" s="190" t="s">
        <v>52</v>
      </c>
      <c r="AAG246" s="39"/>
      <c r="AAH246" s="39"/>
      <c r="AAI246" s="60"/>
      <c r="AAJ246" s="55"/>
      <c r="AAK246" s="55"/>
      <c r="AAL246" s="90"/>
    </row>
    <row r="247" spans="1:714" s="23" customFormat="1" ht="15" hidden="1" customHeight="1" outlineLevel="3">
      <c r="A247" s="171"/>
      <c r="B247" s="664" t="s">
        <v>240</v>
      </c>
      <c r="C247" s="362" t="s">
        <v>0</v>
      </c>
      <c r="D247" s="380"/>
      <c r="E247" s="342">
        <f t="shared" ref="E247" si="187">NETWORKDAYS(G247,H247,S.DDL_DEQClosed)</f>
        <v>1</v>
      </c>
      <c r="F247" s="457">
        <f ca="1">IF(YEAR(H247)&gt;2000,NETWORKDAYS(TODAY(),H247,S.DDL_DEQClosed),0)</f>
        <v>0</v>
      </c>
      <c r="G247" s="451">
        <f t="shared" ref="G247:G251" si="188">AAG247</f>
        <v>2</v>
      </c>
      <c r="H247" s="343">
        <f>AAH247</f>
        <v>2</v>
      </c>
      <c r="I247" s="244"/>
      <c r="J247" s="193"/>
      <c r="K247" s="193"/>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CZ247" s="46"/>
      <c r="DA247" s="46"/>
      <c r="DB247" s="46"/>
      <c r="DC247" s="46"/>
      <c r="DD247" s="46"/>
      <c r="DE247" s="46"/>
      <c r="DF247" s="46"/>
      <c r="DG247" s="46"/>
      <c r="DH247" s="46"/>
      <c r="DI247" s="46"/>
      <c r="DJ247" s="46"/>
      <c r="DK247" s="46"/>
      <c r="DL247" s="46"/>
      <c r="DM247" s="46"/>
      <c r="DN247" s="46"/>
      <c r="DO247" s="46"/>
      <c r="DP247" s="46"/>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s="52"/>
      <c r="AAA247" s="192"/>
      <c r="AAD247" s="90"/>
      <c r="AAE247" s="520">
        <f t="shared" si="185"/>
        <v>0</v>
      </c>
      <c r="AAF247" s="90" t="s">
        <v>0</v>
      </c>
      <c r="AAG247" s="73">
        <f>G245</f>
        <v>2</v>
      </c>
      <c r="AAH247" s="73">
        <f t="shared" ref="AAH247" si="189">G247</f>
        <v>2</v>
      </c>
      <c r="AAI247" s="60"/>
      <c r="AAJ247" s="55"/>
      <c r="AAK247" s="55"/>
      <c r="AAL247" s="90"/>
    </row>
    <row r="248" spans="1:714" s="23" customFormat="1" ht="15" hidden="1" customHeight="1" outlineLevel="3">
      <c r="A248" s="171"/>
      <c r="B248" s="665" t="s">
        <v>319</v>
      </c>
      <c r="C248" s="362" t="s">
        <v>0</v>
      </c>
      <c r="D248" s="380"/>
      <c r="E248" s="342">
        <f>NETWORKDAYS(G248,H248,S.DDL_DEQClosed)</f>
        <v>1</v>
      </c>
      <c r="F248" s="457">
        <f ca="1">IF(YEAR(H248)&gt;2000,NETWORKDAYS(TODAY(),H248,S.DDL_DEQClosed),0)</f>
        <v>0</v>
      </c>
      <c r="G248" s="451">
        <f t="shared" si="188"/>
        <v>2</v>
      </c>
      <c r="H248" s="343">
        <f>AAH248</f>
        <v>2</v>
      </c>
      <c r="I248" s="244"/>
      <c r="J248" s="193"/>
      <c r="K248" s="193"/>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s="52"/>
      <c r="AAA248" s="192"/>
      <c r="AAD248" s="90"/>
      <c r="AAE248" s="520">
        <f t="shared" si="185"/>
        <v>0</v>
      </c>
      <c r="AAF248" s="90" t="s">
        <v>0</v>
      </c>
      <c r="AAG248" s="73">
        <f>G247</f>
        <v>2</v>
      </c>
      <c r="AAH248" s="73">
        <f>G248</f>
        <v>2</v>
      </c>
      <c r="AAI248" s="60" t="s">
        <v>0</v>
      </c>
      <c r="AAJ248" s="55"/>
      <c r="AAK248" s="55"/>
      <c r="AAL248" s="90"/>
    </row>
    <row r="249" spans="1:714" s="23" customFormat="1" ht="15" hidden="1" customHeight="1" outlineLevel="3">
      <c r="A249" s="171"/>
      <c r="B249" s="666" t="str">
        <f>AAK249</f>
        <v>AndreaRW submits Web Request to post materials</v>
      </c>
      <c r="C249" s="792" t="str">
        <f>HYPERLINK("http://deq05/intranet/communication/WebRequests.htm","i")</f>
        <v>i</v>
      </c>
      <c r="D249" s="380"/>
      <c r="E249" s="342">
        <f>NETWORKDAYS(G249,H249,S.DDL_DEQClosed)</f>
        <v>1</v>
      </c>
      <c r="F249" s="457">
        <f t="shared" ref="F249:F254" ca="1" si="190">IF(YEAR(H249)&gt;2000,NETWORKDAYS(TODAY(),H249,S.DDL_DEQClosed),0)</f>
        <v>0</v>
      </c>
      <c r="G249" s="451">
        <f t="shared" si="188"/>
        <v>2</v>
      </c>
      <c r="H249" s="343">
        <f>AAH249</f>
        <v>2</v>
      </c>
      <c r="I249" s="244"/>
      <c r="J249" s="193"/>
      <c r="K249" s="193"/>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s="52"/>
      <c r="AAA249" s="192"/>
      <c r="AAD249" s="90"/>
      <c r="AAE249" s="520">
        <f t="shared" si="185"/>
        <v>0</v>
      </c>
      <c r="AAF249" s="90" t="s">
        <v>0</v>
      </c>
      <c r="AAG249" s="73">
        <f>G248</f>
        <v>2</v>
      </c>
      <c r="AAH249" s="73">
        <f>G249</f>
        <v>2</v>
      </c>
      <c r="AAI249" s="60"/>
      <c r="AAJ249" s="55"/>
      <c r="AAK249" s="92" t="str">
        <f>S.Staff.Lead&amp;" submits Web Request to post materials"</f>
        <v>AndreaRW submits Web Request to post materials</v>
      </c>
      <c r="AAL249" s="90"/>
    </row>
    <row r="250" spans="1:714" s="23" customFormat="1" ht="15" hidden="1" customHeight="1" outlineLevel="3">
      <c r="A250" s="171"/>
      <c r="B250" s="665" t="s">
        <v>159</v>
      </c>
      <c r="C250" s="425" t="s">
        <v>0</v>
      </c>
      <c r="D250" s="380"/>
      <c r="E250" s="342">
        <f>NETWORKDAYS(G250,H250,S.DDL_DEQClosed)</f>
        <v>1</v>
      </c>
      <c r="F250" s="457">
        <f t="shared" ca="1" si="190"/>
        <v>0</v>
      </c>
      <c r="G250" s="451">
        <f t="shared" si="188"/>
        <v>2</v>
      </c>
      <c r="H250" s="343">
        <f>AAH250</f>
        <v>2</v>
      </c>
      <c r="I250" s="244"/>
      <c r="J250" s="193"/>
      <c r="K250" s="193"/>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G250" s="46"/>
      <c r="DH250" s="46"/>
      <c r="DI250" s="46"/>
      <c r="DJ250" s="46"/>
      <c r="DK250" s="46"/>
      <c r="DL250" s="46"/>
      <c r="DM250" s="46"/>
      <c r="DN250" s="46"/>
      <c r="DO250" s="46"/>
      <c r="DP250" s="46"/>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s="52"/>
      <c r="AAA250" s="192"/>
      <c r="AAD250" s="90"/>
      <c r="AAE250" s="520">
        <f t="shared" si="185"/>
        <v>0</v>
      </c>
      <c r="AAF250" s="90"/>
      <c r="AAG250" s="73">
        <f t="shared" ref="AAG250:AAG251" si="191">G249</f>
        <v>2</v>
      </c>
      <c r="AAH250" s="73">
        <f>G250</f>
        <v>2</v>
      </c>
      <c r="AAI250" s="72"/>
      <c r="AAJ250" s="72"/>
      <c r="AAK250" s="55"/>
      <c r="AAL250" s="90"/>
    </row>
    <row r="251" spans="1:714" s="23" customFormat="1" ht="15" hidden="1" customHeight="1" outlineLevel="2">
      <c r="A251" s="171"/>
      <c r="B251" s="486" t="str">
        <f>AAK251</f>
        <v>AndreaRW sends meeting notice with link to Web page</v>
      </c>
      <c r="C251" s="425" t="s">
        <v>0</v>
      </c>
      <c r="D251" s="380"/>
      <c r="E251" s="342">
        <f>NETWORKDAYS(G251,H251,S.DDL_DEQClosed)</f>
        <v>1</v>
      </c>
      <c r="F251" s="457">
        <f t="shared" ca="1" si="190"/>
        <v>0</v>
      </c>
      <c r="G251" s="451">
        <f t="shared" si="188"/>
        <v>2</v>
      </c>
      <c r="H251" s="343">
        <f t="shared" ref="H251:H254" si="192">AAH251</f>
        <v>2</v>
      </c>
      <c r="I251" s="244"/>
      <c r="J251" s="193"/>
      <c r="K251" s="193"/>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s="52"/>
      <c r="AAA251" s="192"/>
      <c r="AAD251" s="90"/>
      <c r="AAE251" s="520">
        <f>IF(AND(S.AC.InvolveMeeting1="Y",S.AC.CommitteeInvolved="Y"),1,0)</f>
        <v>0</v>
      </c>
      <c r="AAF251" s="90"/>
      <c r="AAG251" s="73">
        <f t="shared" si="191"/>
        <v>2</v>
      </c>
      <c r="AAH251" s="73">
        <f>G251</f>
        <v>2</v>
      </c>
      <c r="AAI251" s="72"/>
      <c r="AAJ251" s="72"/>
      <c r="AAK251" s="92" t="str">
        <f>S.Staff.Lead&amp;" sends meeting notice with link to Web page"</f>
        <v>AndreaRW sends meeting notice with link to Web page</v>
      </c>
      <c r="AAL251" s="90"/>
    </row>
    <row r="252" spans="1:714" s="23" customFormat="1" ht="15" hidden="1" customHeight="1" outlineLevel="2">
      <c r="A252" s="171"/>
      <c r="B252" s="616" t="s">
        <v>157</v>
      </c>
      <c r="C252" s="425" t="s">
        <v>0</v>
      </c>
      <c r="D252" s="843" t="s">
        <v>323</v>
      </c>
      <c r="E252" s="843"/>
      <c r="F252" s="843"/>
      <c r="G252" s="844"/>
      <c r="H252" s="351">
        <f t="shared" si="192"/>
        <v>16</v>
      </c>
      <c r="I252" s="244"/>
      <c r="J252" s="193"/>
      <c r="K252" s="193"/>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6"/>
      <c r="DO252" s="46"/>
      <c r="DP252" s="46"/>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s="52"/>
      <c r="AAA252" s="192"/>
      <c r="AAD252" s="90"/>
      <c r="AAE252" s="520">
        <f>IF(AND(S.AC.InvolveMeeting1="Y",S.AC.CommitteeInvolved="Y"),1,0)</f>
        <v>0</v>
      </c>
      <c r="AAF252" s="90"/>
      <c r="AAG252" s="72"/>
      <c r="AAH252" s="73">
        <f>S.AC.DateMeeting2</f>
        <v>16</v>
      </c>
      <c r="AAI252" s="72"/>
      <c r="AAJ252" s="72"/>
      <c r="AAK252" s="55"/>
      <c r="AAL252" s="90"/>
    </row>
    <row r="253" spans="1:714" s="23" customFormat="1" ht="15" hidden="1" customHeight="1" outlineLevel="2">
      <c r="A253" s="171"/>
      <c r="B253" s="486" t="str">
        <f>AAK253</f>
        <v>AndreaRW drafts AC.MINUTES 01.16.00</v>
      </c>
      <c r="C253" s="790" t="str">
        <f>HYPERLINK("\\deq000\templates\General\Minutes Template.dotx","i")</f>
        <v>i</v>
      </c>
      <c r="D253" s="511"/>
      <c r="E253" s="342">
        <f t="shared" ref="E253:E254" si="193">NETWORKDAYS(G253,H253,S.DDL_DEQClosed)</f>
        <v>1</v>
      </c>
      <c r="F253" s="457">
        <f t="shared" ca="1" si="190"/>
        <v>0</v>
      </c>
      <c r="G253" s="451">
        <f>AAG253</f>
        <v>16</v>
      </c>
      <c r="H253" s="343">
        <f t="shared" si="192"/>
        <v>16</v>
      </c>
      <c r="I253" s="244"/>
      <c r="J253" s="193"/>
      <c r="K253" s="193"/>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c r="DN253" s="46"/>
      <c r="DO253" s="46"/>
      <c r="DP253" s="46"/>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s="52"/>
      <c r="AAA253" s="192"/>
      <c r="AAD253" s="90"/>
      <c r="AAE253" s="520">
        <f>IF(AND(S.AC.InvolveMeeting1="Y",S.AC.CommitteeInvolved="Y"),1,0)</f>
        <v>0</v>
      </c>
      <c r="AAF253" s="90"/>
      <c r="AAG253" s="73">
        <f>S.AC.DateMeeting2</f>
        <v>16</v>
      </c>
      <c r="AAH253" s="73">
        <f t="shared" ref="AAH253:AAH254" si="194">G253</f>
        <v>16</v>
      </c>
      <c r="AAI253" s="72"/>
      <c r="AAJ253" s="72"/>
      <c r="AAK253" s="80" t="str">
        <f>S.Staff.Lead&amp;" drafts AC.MINUTES "&amp;TEXT(S.AC.DateMeeting1,"mm.dd.yy")</f>
        <v>AndreaRW drafts AC.MINUTES 01.16.00</v>
      </c>
      <c r="AAL253" s="90"/>
    </row>
    <row r="254" spans="1:714" s="23" customFormat="1" ht="15" hidden="1" customHeight="1" outlineLevel="2" thickBot="1">
      <c r="A254" s="171"/>
      <c r="B254" s="616" t="s">
        <v>158</v>
      </c>
      <c r="C254" s="425" t="s">
        <v>0</v>
      </c>
      <c r="D254" s="380"/>
      <c r="E254" s="342">
        <f t="shared" si="193"/>
        <v>1</v>
      </c>
      <c r="F254" s="457">
        <f t="shared" ca="1" si="190"/>
        <v>0</v>
      </c>
      <c r="G254" s="451">
        <f>AAG254</f>
        <v>16</v>
      </c>
      <c r="H254" s="343">
        <f t="shared" si="192"/>
        <v>16</v>
      </c>
      <c r="I254" s="244"/>
      <c r="J254" s="193"/>
      <c r="K254" s="193"/>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s="52"/>
      <c r="AAA254" s="192"/>
      <c r="AAD254" s="90"/>
      <c r="AAE254" s="520">
        <f>IF(AND(S.AC.InvolveMeeting1="Y",S.AC.CommitteeInvolved="Y"),1,0)</f>
        <v>0</v>
      </c>
      <c r="AAF254" s="90"/>
      <c r="AAG254" s="73">
        <f>S.AC.DateMeeting2</f>
        <v>16</v>
      </c>
      <c r="AAH254" s="73">
        <f t="shared" si="194"/>
        <v>16</v>
      </c>
      <c r="AAI254" s="72"/>
      <c r="AAJ254" s="72"/>
      <c r="AAK254" s="55"/>
      <c r="AAL254" s="90"/>
    </row>
    <row r="255" spans="1:714" s="23" customFormat="1" ht="15" hidden="1" customHeight="1" outlineLevel="1" collapsed="1" thickBot="1">
      <c r="A255" s="171"/>
      <c r="B255" s="528" t="s">
        <v>24</v>
      </c>
      <c r="C255" s="377" t="s">
        <v>303</v>
      </c>
      <c r="D255" s="515"/>
      <c r="E255" s="515"/>
      <c r="F255" s="527"/>
      <c r="G255" s="339">
        <f>AAG255</f>
        <v>16</v>
      </c>
      <c r="H255" s="341" t="s">
        <v>54</v>
      </c>
      <c r="I255" s="244"/>
      <c r="J255" s="193"/>
      <c r="K255" s="193"/>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s="52"/>
      <c r="AAA255" s="192"/>
      <c r="AAB255"/>
      <c r="AAC255"/>
      <c r="AAD255" s="90"/>
      <c r="AAE255" s="520">
        <f>IF(AND(S.AC.InvolveMeeting3="Y",S.AC.CommitteeInvolved="Y"),1,0)</f>
        <v>0</v>
      </c>
      <c r="AAF255" s="190" t="s">
        <v>52</v>
      </c>
      <c r="AAG255" s="73">
        <f>S.AC.DateMeeting2</f>
        <v>16</v>
      </c>
      <c r="AAH255" s="39" t="s">
        <v>0</v>
      </c>
      <c r="AAI255" s="72"/>
      <c r="AAJ255" s="72"/>
      <c r="AAK255" s="55"/>
      <c r="AAL255" s="90"/>
    </row>
    <row r="256" spans="1:714" s="23" customFormat="1" ht="15" hidden="1" customHeight="1" outlineLevel="2">
      <c r="A256" s="171"/>
      <c r="B256" s="613" t="s">
        <v>154</v>
      </c>
      <c r="C256" s="346"/>
      <c r="D256" s="380"/>
      <c r="E256" s="342">
        <f t="shared" ref="E256" si="195">NETWORKDAYS(G256,H256,S.DDL_DEQClosed)</f>
        <v>1</v>
      </c>
      <c r="F256" s="457">
        <f ca="1">IF(YEAR(H256)&gt;2000,NETWORKDAYS(TODAY(),H256,S.DDL_DEQClosed),0)</f>
        <v>0</v>
      </c>
      <c r="G256" s="451">
        <f t="shared" ref="G256" si="196">AAG256</f>
        <v>2</v>
      </c>
      <c r="H256" s="343">
        <f t="shared" ref="H256" si="197">AAH256</f>
        <v>2</v>
      </c>
      <c r="I256" s="244"/>
      <c r="J256" s="193"/>
      <c r="K256" s="193"/>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s="52"/>
      <c r="AAA256" s="192"/>
      <c r="AAD256" s="90"/>
      <c r="AAE256" s="520">
        <f>IF(AND(S.AC.InvolveMeeting3="Y",S.AC.CommitteeInvolved="Y"),1,0)</f>
        <v>0</v>
      </c>
      <c r="AAF256" s="90"/>
      <c r="AAG256" s="73">
        <f>WORKDAY(S.AC.DateMeeting3-13,-1,S.DDL_DEQClosed)</f>
        <v>2</v>
      </c>
      <c r="AAH256" s="73">
        <f t="shared" ref="AAH256" si="198">G256</f>
        <v>2</v>
      </c>
      <c r="AAI256" s="60"/>
      <c r="AAJ256" s="55"/>
      <c r="AAK256" s="39"/>
      <c r="AAL256" s="90"/>
    </row>
    <row r="257" spans="1:714" s="23" customFormat="1" ht="15" hidden="1" customHeight="1" outlineLevel="2">
      <c r="A257" s="171"/>
      <c r="B257" s="384" t="str">
        <f>AAK257</f>
        <v>AndreaRW coordinates or drafts:</v>
      </c>
      <c r="C257" s="346"/>
      <c r="D257" s="374"/>
      <c r="E257" s="350"/>
      <c r="F257" s="350"/>
      <c r="G257" s="346"/>
      <c r="H257" s="409"/>
      <c r="I257" s="244"/>
      <c r="J257" s="193"/>
      <c r="K257" s="193"/>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s="52"/>
      <c r="AAA257" s="192"/>
      <c r="AAD257" s="90"/>
      <c r="AAE257" s="520">
        <f>IF(AND(S.AC.InvolveMeeting3="Y",S.AC.CommitteeInvolved="Y"),1,0)</f>
        <v>0</v>
      </c>
      <c r="AAF257" s="190" t="s">
        <v>52</v>
      </c>
      <c r="AAG257" s="60"/>
      <c r="AAH257" s="71"/>
      <c r="AAI257" s="71"/>
      <c r="AAJ257" s="55"/>
      <c r="AAK257" s="80" t="str">
        <f>S.Staff.Lead&amp;" coordinates or drafts:"</f>
        <v>AndreaRW coordinates or drafts:</v>
      </c>
      <c r="AAL257" s="90"/>
    </row>
    <row r="258" spans="1:714" s="23" customFormat="1" ht="15" hidden="1" customHeight="1" outlineLevel="2">
      <c r="A258" s="171"/>
      <c r="B258" s="437" t="str">
        <f>AAK258</f>
        <v>* AC.AGENDA.01.16.00, gets team agreement</v>
      </c>
      <c r="C258" s="790" t="str">
        <f>HYPERLINK("\\deq000\templates\General\Agenda Template.dotx","i")</f>
        <v>i</v>
      </c>
      <c r="D258" s="511"/>
      <c r="E258" s="342">
        <f t="shared" ref="E258:E261" si="199">NETWORKDAYS(G258,H258,S.DDL_DEQClosed)</f>
        <v>1</v>
      </c>
      <c r="F258" s="457">
        <f t="shared" ref="F258:F261" ca="1" si="200">IF(YEAR(H258)&gt;2000,NETWORKDAYS(TODAY(),H258,S.DDL_DEQClosed),0)</f>
        <v>0</v>
      </c>
      <c r="G258" s="451">
        <f t="shared" ref="G258:G265" si="201">AAG258</f>
        <v>2</v>
      </c>
      <c r="H258" s="343">
        <f t="shared" ref="H258:H261" si="202">AAH258</f>
        <v>2</v>
      </c>
      <c r="I258" s="244"/>
      <c r="J258" s="193"/>
      <c r="K258" s="193"/>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s="52"/>
      <c r="AAA258" s="192"/>
      <c r="AAD258" s="90"/>
      <c r="AAE258" s="520">
        <f>IF(AND(S.AC.InvolveMeeting1="Y",S.AC.CommitteeInvolved="Y"),1,0)</f>
        <v>0</v>
      </c>
      <c r="AAF258" s="90" t="s">
        <v>0</v>
      </c>
      <c r="AAG258" s="73">
        <f>G256</f>
        <v>2</v>
      </c>
      <c r="AAH258" s="73">
        <f>G258</f>
        <v>2</v>
      </c>
      <c r="AAI258" s="72"/>
      <c r="AAJ258" s="74"/>
      <c r="AAK258" s="80" t="str">
        <f>"* AC.AGENDA."&amp; TEXT(S.AC.DateMeeting1,"mm.dd.yy")&amp;", gets team agreement"</f>
        <v>* AC.AGENDA.01.16.00, gets team agreement</v>
      </c>
      <c r="AAL258" s="90"/>
    </row>
    <row r="259" spans="1:714" s="23" customFormat="1" ht="15" hidden="1" customHeight="1" outlineLevel="2">
      <c r="A259" s="171"/>
      <c r="B259" s="437" t="str">
        <f>AAK259</f>
        <v>* AC.NOTIFICATION.01.16.00</v>
      </c>
      <c r="C259" s="362" t="s">
        <v>0</v>
      </c>
      <c r="D259" s="380"/>
      <c r="E259" s="342">
        <f t="shared" si="199"/>
        <v>1</v>
      </c>
      <c r="F259" s="457">
        <f t="shared" ca="1" si="200"/>
        <v>0</v>
      </c>
      <c r="G259" s="451">
        <f t="shared" si="201"/>
        <v>2</v>
      </c>
      <c r="H259" s="343">
        <f t="shared" si="202"/>
        <v>2</v>
      </c>
      <c r="I259" s="244"/>
      <c r="J259" s="193"/>
      <c r="K259" s="193"/>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s="52"/>
      <c r="AAA259" s="192"/>
      <c r="AAD259" s="90"/>
      <c r="AAE259" s="520">
        <f>IF(AND(S.AC.InvolveMeeting1="Y",S.AC.CommitteeInvolved="Y"),1,0)</f>
        <v>0</v>
      </c>
      <c r="AAF259" s="90" t="s">
        <v>0</v>
      </c>
      <c r="AAG259" s="73">
        <f>G258</f>
        <v>2</v>
      </c>
      <c r="AAH259" s="73">
        <f t="shared" ref="AAH259:AAH261" si="203">G259</f>
        <v>2</v>
      </c>
      <c r="AAI259" s="72"/>
      <c r="AAJ259" s="72"/>
      <c r="AAK259" s="80" t="str">
        <f>"* AC.NOTIFICATION."&amp;TEXT(S.AC.DateMeeting1,"mm.dd.yy")</f>
        <v>* AC.NOTIFICATION.01.16.00</v>
      </c>
      <c r="AAL259" s="90"/>
    </row>
    <row r="260" spans="1:714" s="23" customFormat="1" ht="15" hidden="1" customHeight="1" outlineLevel="2">
      <c r="A260" s="171"/>
      <c r="B260" s="441" t="s">
        <v>318</v>
      </c>
      <c r="C260" s="790" t="str">
        <f>HYPERLINK("http://deq05/intranet/contentmanagement/login.asp","i")</f>
        <v>i</v>
      </c>
      <c r="D260" s="512"/>
      <c r="E260" s="342">
        <f t="shared" si="199"/>
        <v>1</v>
      </c>
      <c r="F260" s="457">
        <f t="shared" ca="1" si="200"/>
        <v>0</v>
      </c>
      <c r="G260" s="451">
        <f t="shared" si="201"/>
        <v>2</v>
      </c>
      <c r="H260" s="343">
        <f t="shared" si="202"/>
        <v>2</v>
      </c>
      <c r="I260" s="244"/>
      <c r="J260" s="193"/>
      <c r="K260" s="193"/>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s="52"/>
      <c r="AAA260" s="192" t="s">
        <v>0</v>
      </c>
      <c r="AAD260" s="90"/>
      <c r="AAE260" s="520">
        <f>IF(AND(S.AC.InvolveMeeting1="Y",S.AC.CommitteeInvolved="Y"),1,0)</f>
        <v>0</v>
      </c>
      <c r="AAF260" s="90" t="s">
        <v>0</v>
      </c>
      <c r="AAG260" s="73">
        <f t="shared" ref="AAG260:AAG265" si="204">G259</f>
        <v>2</v>
      </c>
      <c r="AAH260" s="73">
        <f t="shared" si="203"/>
        <v>2</v>
      </c>
      <c r="AAI260" s="60"/>
      <c r="AAJ260" s="55"/>
      <c r="AAK260" s="55"/>
      <c r="AAL260" s="90"/>
    </row>
    <row r="261" spans="1:714" s="23" customFormat="1" ht="15" hidden="1" customHeight="1" outlineLevel="2">
      <c r="A261" s="171"/>
      <c r="B261" s="407" t="s">
        <v>241</v>
      </c>
      <c r="C261" s="362" t="s">
        <v>0</v>
      </c>
      <c r="D261" s="380"/>
      <c r="E261" s="342">
        <f t="shared" si="199"/>
        <v>1</v>
      </c>
      <c r="F261" s="457">
        <f t="shared" ca="1" si="200"/>
        <v>0</v>
      </c>
      <c r="G261" s="451">
        <f t="shared" si="201"/>
        <v>2</v>
      </c>
      <c r="H261" s="343">
        <f t="shared" si="202"/>
        <v>2</v>
      </c>
      <c r="I261" s="244"/>
      <c r="J261" s="193"/>
      <c r="K261" s="193"/>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s="52"/>
      <c r="AAA261" s="192"/>
      <c r="AAD261" s="90"/>
      <c r="AAE261" s="520">
        <f>IF(AND(S.AC.InvolveMeeting1="Y",S.AC.CommitteeInvolved="Y"),1,0)</f>
        <v>0</v>
      </c>
      <c r="AAF261" s="90" t="s">
        <v>0</v>
      </c>
      <c r="AAG261" s="73">
        <f t="shared" si="204"/>
        <v>2</v>
      </c>
      <c r="AAH261" s="73">
        <f t="shared" si="203"/>
        <v>2</v>
      </c>
      <c r="AAI261" s="60"/>
      <c r="AAJ261" s="55"/>
      <c r="AAK261" s="55"/>
      <c r="AAL261" s="90"/>
    </row>
    <row r="262" spans="1:714" s="23" customFormat="1" ht="15" hidden="1" customHeight="1" outlineLevel="2">
      <c r="A262" s="171"/>
      <c r="B262" s="615" t="s">
        <v>155</v>
      </c>
      <c r="C262" s="362" t="s">
        <v>0</v>
      </c>
      <c r="D262" s="380"/>
      <c r="E262" s="342">
        <f t="shared" ref="E262:E265" si="205">NETWORKDAYS(G262,H262,S.DDL_DEQClosed)</f>
        <v>1</v>
      </c>
      <c r="F262" s="457">
        <f t="shared" ref="F262:F265" ca="1" si="206">IF(YEAR(H262)&gt;2000,NETWORKDAYS(TODAY(),H262,S.DDL_DEQClosed),0)</f>
        <v>0</v>
      </c>
      <c r="G262" s="451">
        <f t="shared" si="201"/>
        <v>2</v>
      </c>
      <c r="H262" s="343">
        <f t="shared" ref="H262:H265" si="207">AAH262</f>
        <v>2</v>
      </c>
      <c r="I262" s="244"/>
      <c r="J262" s="193"/>
      <c r="K262" s="193"/>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c r="CY262" s="46"/>
      <c r="CZ262" s="46"/>
      <c r="DA262" s="46"/>
      <c r="DB262" s="46"/>
      <c r="DC262" s="46"/>
      <c r="DD262" s="46"/>
      <c r="DE262" s="46"/>
      <c r="DF262" s="46"/>
      <c r="DG262" s="46"/>
      <c r="DH262" s="46"/>
      <c r="DI262" s="46"/>
      <c r="DJ262" s="46"/>
      <c r="DK262" s="46"/>
      <c r="DL262" s="46"/>
      <c r="DM262" s="46"/>
      <c r="DN262" s="46"/>
      <c r="DO262" s="46"/>
      <c r="DP262" s="46"/>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s="52"/>
      <c r="AAA262" s="192"/>
      <c r="AAD262" s="90"/>
      <c r="AAE262" s="520">
        <f>IF(AND(S.AC.InvolveMeeting3="Y",S.AC.CommitteeInvolved="Y"),1,0)</f>
        <v>0</v>
      </c>
      <c r="AAF262" s="90" t="s">
        <v>0</v>
      </c>
      <c r="AAG262" s="73">
        <f t="shared" si="204"/>
        <v>2</v>
      </c>
      <c r="AAH262" s="73">
        <f>G262</f>
        <v>2</v>
      </c>
      <c r="AAI262" s="60"/>
      <c r="AAJ262" s="55"/>
      <c r="AAK262" s="55"/>
      <c r="AAL262" s="90"/>
    </row>
    <row r="263" spans="1:714" s="23" customFormat="1" ht="15" hidden="1" customHeight="1" outlineLevel="2">
      <c r="A263" s="171"/>
      <c r="B263" s="615" t="s">
        <v>155</v>
      </c>
      <c r="C263" s="362" t="s">
        <v>0</v>
      </c>
      <c r="D263" s="380"/>
      <c r="E263" s="342">
        <f t="shared" si="205"/>
        <v>1</v>
      </c>
      <c r="F263" s="457">
        <f t="shared" ca="1" si="206"/>
        <v>0</v>
      </c>
      <c r="G263" s="451">
        <f t="shared" si="201"/>
        <v>2</v>
      </c>
      <c r="H263" s="343">
        <f t="shared" si="207"/>
        <v>2</v>
      </c>
      <c r="I263" s="244"/>
      <c r="J263" s="193"/>
      <c r="K263" s="193"/>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c r="CU263" s="46"/>
      <c r="CV263" s="46"/>
      <c r="CW263" s="46"/>
      <c r="CX263" s="46"/>
      <c r="CY263" s="46"/>
      <c r="CZ263" s="46"/>
      <c r="DA263" s="46"/>
      <c r="DB263" s="46"/>
      <c r="DC263" s="46"/>
      <c r="DD263" s="46"/>
      <c r="DE263" s="46"/>
      <c r="DF263" s="46"/>
      <c r="DG263" s="46"/>
      <c r="DH263" s="46"/>
      <c r="DI263" s="46"/>
      <c r="DJ263" s="46"/>
      <c r="DK263" s="46"/>
      <c r="DL263" s="46"/>
      <c r="DM263" s="46"/>
      <c r="DN263" s="46"/>
      <c r="DO263" s="46"/>
      <c r="DP263" s="46"/>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s="52"/>
      <c r="AAA263" s="192"/>
      <c r="AAD263" s="90"/>
      <c r="AAE263" s="520">
        <f>IF(AND(S.AC.InvolveMeeting3="Y",S.AC.CommitteeInvolved="Y"),1,0)</f>
        <v>0</v>
      </c>
      <c r="AAF263" s="90" t="s">
        <v>0</v>
      </c>
      <c r="AAG263" s="73">
        <f t="shared" si="204"/>
        <v>2</v>
      </c>
      <c r="AAH263" s="73">
        <f>G263</f>
        <v>2</v>
      </c>
      <c r="AAI263" s="60"/>
      <c r="AAJ263" s="55"/>
      <c r="AAK263" s="55"/>
      <c r="AAL263" s="90"/>
    </row>
    <row r="264" spans="1:714" s="23" customFormat="1" ht="15" hidden="1" customHeight="1" outlineLevel="2">
      <c r="A264" s="171"/>
      <c r="B264" s="615" t="s">
        <v>155</v>
      </c>
      <c r="C264" s="362" t="s">
        <v>0</v>
      </c>
      <c r="D264" s="380"/>
      <c r="E264" s="342">
        <f t="shared" si="205"/>
        <v>1</v>
      </c>
      <c r="F264" s="457">
        <f t="shared" ca="1" si="206"/>
        <v>0</v>
      </c>
      <c r="G264" s="451">
        <f t="shared" si="201"/>
        <v>2</v>
      </c>
      <c r="H264" s="343">
        <f t="shared" si="207"/>
        <v>2</v>
      </c>
      <c r="I264" s="244"/>
      <c r="J264" s="193"/>
      <c r="K264" s="193"/>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s="52"/>
      <c r="AAA264" s="192"/>
      <c r="AAD264" s="90"/>
      <c r="AAE264" s="520">
        <f>IF(AND(S.AC.InvolveMeeting3="Y",S.AC.CommitteeInvolved="Y"),1,0)</f>
        <v>0</v>
      </c>
      <c r="AAF264" s="90" t="s">
        <v>0</v>
      </c>
      <c r="AAG264" s="73">
        <f t="shared" si="204"/>
        <v>2</v>
      </c>
      <c r="AAH264" s="73">
        <f>G264</f>
        <v>2</v>
      </c>
      <c r="AAI264" s="60"/>
      <c r="AAJ264" s="55"/>
      <c r="AAK264" s="55"/>
      <c r="AAL264" s="90"/>
    </row>
    <row r="265" spans="1:714" s="23" customFormat="1" ht="15" hidden="1" customHeight="1" outlineLevel="2" thickBot="1">
      <c r="A265" s="171"/>
      <c r="B265" s="615" t="s">
        <v>155</v>
      </c>
      <c r="C265" s="362" t="s">
        <v>0</v>
      </c>
      <c r="D265" s="380"/>
      <c r="E265" s="342">
        <f t="shared" si="205"/>
        <v>1</v>
      </c>
      <c r="F265" s="457">
        <f t="shared" ca="1" si="206"/>
        <v>0</v>
      </c>
      <c r="G265" s="451">
        <f t="shared" si="201"/>
        <v>2</v>
      </c>
      <c r="H265" s="343">
        <f t="shared" si="207"/>
        <v>2</v>
      </c>
      <c r="I265" s="244"/>
      <c r="J265" s="193"/>
      <c r="K265" s="193"/>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s="52"/>
      <c r="AAA265" s="192"/>
      <c r="AAD265" s="90"/>
      <c r="AAE265" s="520">
        <f>IF(AND(S.AC.InvolveMeeting3="Y",S.AC.CommitteeInvolved="Y"),1,0)</f>
        <v>0</v>
      </c>
      <c r="AAF265" s="90" t="s">
        <v>0</v>
      </c>
      <c r="AAG265" s="73">
        <f t="shared" si="204"/>
        <v>2</v>
      </c>
      <c r="AAH265" s="73">
        <f>G265</f>
        <v>2</v>
      </c>
      <c r="AAI265" s="60"/>
      <c r="AAJ265" s="55"/>
      <c r="AAK265" s="55"/>
      <c r="AAL265" s="90"/>
    </row>
    <row r="266" spans="1:714" s="23" customFormat="1" ht="15" hidden="1" customHeight="1" outlineLevel="3" thickBot="1">
      <c r="A266" s="171"/>
      <c r="B266" s="661" t="s">
        <v>216</v>
      </c>
      <c r="C266" s="377" t="s">
        <v>17</v>
      </c>
      <c r="D266" s="452"/>
      <c r="E266" s="453"/>
      <c r="F266" s="453"/>
      <c r="G266" s="453"/>
      <c r="H266" s="453"/>
      <c r="I266" s="244"/>
      <c r="J266" s="193"/>
      <c r="K266" s="193"/>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s="52"/>
      <c r="AAA266" s="192"/>
      <c r="AAD266" s="90"/>
      <c r="AAE266" s="520">
        <f>IF(AND(S.AC.InvolveMeeting3="Y",S.AC.CommitteeInvolved="Y",S.AC.Presentation3="Y"),1,0)</f>
        <v>0</v>
      </c>
      <c r="AAF266" s="190" t="s">
        <v>52</v>
      </c>
      <c r="AAG266" s="39"/>
      <c r="AAH266" s="39"/>
      <c r="AAI266" s="39"/>
      <c r="AAJ266" s="55"/>
      <c r="AAK266" s="55"/>
      <c r="AAL266" s="90"/>
    </row>
    <row r="267" spans="1:714" s="23" customFormat="1" ht="15" hidden="1" customHeight="1" outlineLevel="3">
      <c r="A267" s="171"/>
      <c r="B267" s="662" t="s">
        <v>156</v>
      </c>
      <c r="C267" s="362" t="s">
        <v>0</v>
      </c>
      <c r="D267" s="454"/>
      <c r="E267" s="442"/>
      <c r="F267" s="442"/>
      <c r="G267" s="442"/>
      <c r="H267" s="442"/>
      <c r="I267" s="244"/>
      <c r="J267" s="193"/>
      <c r="K267" s="193"/>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s="52"/>
      <c r="AAA267" s="192"/>
      <c r="AAD267" s="90"/>
      <c r="AAE267" s="520">
        <f t="shared" ref="AAE267:AAE273" si="208">IF(AND(S.AC.InvolveMeeting1="Y",S.AC.CommitteeInvolved="Y",S.AC.Presentation1="Y"),1,0)</f>
        <v>0</v>
      </c>
      <c r="AAF267" s="190" t="s">
        <v>52</v>
      </c>
      <c r="AAG267" s="39"/>
      <c r="AAH267" s="39"/>
      <c r="AAI267" s="60"/>
      <c r="AAJ267" s="55"/>
      <c r="AAK267" s="55"/>
      <c r="AAL267" s="90"/>
    </row>
    <row r="268" spans="1:714" s="23" customFormat="1" ht="15" hidden="1" customHeight="1" outlineLevel="3">
      <c r="A268" s="171"/>
      <c r="B268" s="663" t="str">
        <f>AAK268</f>
        <v>* drafts optional AC.PRESENTATION.01.16.00</v>
      </c>
      <c r="C268" s="790" t="str">
        <f>HYPERLINK("http://deq05/intranet/communication/docs/DEQAgencyTemplate1.potx","i")</f>
        <v>i</v>
      </c>
      <c r="D268" s="511"/>
      <c r="E268" s="342">
        <f>NETWORKDAYS(G268,H268,S.DDL_DEQClosed)</f>
        <v>1</v>
      </c>
      <c r="F268" s="457">
        <f ca="1">IF(YEAR(H268)&gt;2000,NETWORKDAYS(TODAY(),H268,S.DDL_DEQClosed),0)</f>
        <v>0</v>
      </c>
      <c r="G268" s="451">
        <f t="shared" ref="G268:G274" si="209">AAG268</f>
        <v>2</v>
      </c>
      <c r="H268" s="343">
        <f>AAH268</f>
        <v>2</v>
      </c>
      <c r="I268" s="244"/>
      <c r="J268" s="193"/>
      <c r="K268" s="193"/>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s="52"/>
      <c r="AAA268" s="192"/>
      <c r="AAD268" s="90"/>
      <c r="AAE268" s="520">
        <f t="shared" si="208"/>
        <v>0</v>
      </c>
      <c r="AAF268" s="90" t="s">
        <v>0</v>
      </c>
      <c r="AAG268" s="73">
        <f>G265</f>
        <v>2</v>
      </c>
      <c r="AAH268" s="73">
        <f>G268</f>
        <v>2</v>
      </c>
      <c r="AAI268" s="60"/>
      <c r="AAJ268" s="55"/>
      <c r="AAK268" s="92" t="str">
        <f>"* drafts optional AC.PRESENTATION."&amp;TEXT($G$209,"mm.dd.yy")</f>
        <v>* drafts optional AC.PRESENTATION.01.16.00</v>
      </c>
      <c r="AAL268" s="90"/>
    </row>
    <row r="269" spans="1:714" s="23" customFormat="1" ht="15" hidden="1" customHeight="1" outlineLevel="3">
      <c r="A269" s="171"/>
      <c r="B269" s="662" t="s">
        <v>156</v>
      </c>
      <c r="C269" s="362" t="s">
        <v>0</v>
      </c>
      <c r="D269" s="454"/>
      <c r="E269" s="453"/>
      <c r="F269" s="453"/>
      <c r="G269" s="453"/>
      <c r="H269" s="453"/>
      <c r="I269" s="244"/>
      <c r="J269" s="193"/>
      <c r="K269" s="193"/>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c r="CU269" s="46"/>
      <c r="CV269" s="46"/>
      <c r="CW269" s="46"/>
      <c r="CX269" s="46"/>
      <c r="CY269" s="46"/>
      <c r="CZ269" s="46"/>
      <c r="DA269" s="46"/>
      <c r="DB269" s="46"/>
      <c r="DC269" s="46"/>
      <c r="DD269" s="46"/>
      <c r="DE269" s="46"/>
      <c r="DF269" s="46"/>
      <c r="DG269" s="46"/>
      <c r="DH269" s="46"/>
      <c r="DI269" s="46"/>
      <c r="DJ269" s="46"/>
      <c r="DK269" s="46"/>
      <c r="DL269" s="46"/>
      <c r="DM269" s="46"/>
      <c r="DN269" s="46"/>
      <c r="DO269" s="46"/>
      <c r="DP269" s="46"/>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s="52"/>
      <c r="AAA269" s="192"/>
      <c r="AAD269" s="90"/>
      <c r="AAE269" s="520">
        <f t="shared" si="208"/>
        <v>0</v>
      </c>
      <c r="AAF269" s="190" t="s">
        <v>52</v>
      </c>
      <c r="AAG269" s="39"/>
      <c r="AAH269" s="39"/>
      <c r="AAI269" s="60"/>
      <c r="AAJ269" s="55"/>
      <c r="AAK269" s="55"/>
      <c r="AAL269" s="90"/>
    </row>
    <row r="270" spans="1:714" s="23" customFormat="1" ht="15" hidden="1" customHeight="1" outlineLevel="3">
      <c r="A270" s="171"/>
      <c r="B270" s="664" t="s">
        <v>240</v>
      </c>
      <c r="C270" s="362" t="s">
        <v>0</v>
      </c>
      <c r="D270" s="380"/>
      <c r="E270" s="342">
        <f t="shared" ref="E270" si="210">NETWORKDAYS(G270,H270,S.DDL_DEQClosed)</f>
        <v>1</v>
      </c>
      <c r="F270" s="457">
        <f ca="1">IF(YEAR(H270)&gt;2000,NETWORKDAYS(TODAY(),H270,S.DDL_DEQClosed),0)</f>
        <v>0</v>
      </c>
      <c r="G270" s="451">
        <f t="shared" si="209"/>
        <v>2</v>
      </c>
      <c r="H270" s="343">
        <f t="shared" ref="H270:H273" si="211">AAH270</f>
        <v>2</v>
      </c>
      <c r="I270" s="244"/>
      <c r="J270" s="193"/>
      <c r="K270" s="193"/>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c r="DA270" s="46"/>
      <c r="DB270" s="46"/>
      <c r="DC270" s="46"/>
      <c r="DD270" s="46"/>
      <c r="DE270" s="46"/>
      <c r="DF270" s="46"/>
      <c r="DG270" s="46"/>
      <c r="DH270" s="46"/>
      <c r="DI270" s="46"/>
      <c r="DJ270" s="46"/>
      <c r="DK270" s="46"/>
      <c r="DL270" s="46"/>
      <c r="DM270" s="46"/>
      <c r="DN270" s="46"/>
      <c r="DO270" s="46"/>
      <c r="DP270" s="46"/>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s="52"/>
      <c r="AAA270" s="192"/>
      <c r="AAD270" s="90"/>
      <c r="AAE270" s="520">
        <f t="shared" si="208"/>
        <v>0</v>
      </c>
      <c r="AAF270" s="90" t="s">
        <v>0</v>
      </c>
      <c r="AAG270" s="73">
        <f>G268</f>
        <v>2</v>
      </c>
      <c r="AAH270" s="73">
        <f t="shared" ref="AAH270" si="212">G270</f>
        <v>2</v>
      </c>
      <c r="AAI270" s="60"/>
      <c r="AAJ270" s="55"/>
      <c r="AAK270" s="55"/>
      <c r="AAL270" s="90"/>
    </row>
    <row r="271" spans="1:714" s="23" customFormat="1" ht="15" hidden="1" customHeight="1" outlineLevel="3">
      <c r="A271" s="171"/>
      <c r="B271" s="665" t="s">
        <v>319</v>
      </c>
      <c r="C271" s="362" t="s">
        <v>0</v>
      </c>
      <c r="D271" s="380"/>
      <c r="E271" s="342">
        <f>NETWORKDAYS(G271,H271,S.DDL_DEQClosed)</f>
        <v>1</v>
      </c>
      <c r="F271" s="457">
        <f ca="1">IF(YEAR(H271)&gt;2000,NETWORKDAYS(TODAY(),H271,S.DDL_DEQClosed),0)</f>
        <v>0</v>
      </c>
      <c r="G271" s="451">
        <f t="shared" si="209"/>
        <v>2</v>
      </c>
      <c r="H271" s="343">
        <f t="shared" si="211"/>
        <v>2</v>
      </c>
      <c r="I271" s="244"/>
      <c r="J271" s="193"/>
      <c r="K271" s="193"/>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s="52"/>
      <c r="AAA271" s="192"/>
      <c r="AAD271" s="90"/>
      <c r="AAE271" s="520">
        <f t="shared" si="208"/>
        <v>0</v>
      </c>
      <c r="AAF271" s="90" t="s">
        <v>0</v>
      </c>
      <c r="AAG271" s="73">
        <f>G270</f>
        <v>2</v>
      </c>
      <c r="AAH271" s="73">
        <f>G271</f>
        <v>2</v>
      </c>
      <c r="AAI271" s="60" t="s">
        <v>0</v>
      </c>
      <c r="AAJ271" s="55"/>
      <c r="AAK271" s="55"/>
      <c r="AAL271" s="90"/>
    </row>
    <row r="272" spans="1:714" s="23" customFormat="1" ht="15" hidden="1" customHeight="1" outlineLevel="3">
      <c r="A272" s="171"/>
      <c r="B272" s="666" t="str">
        <f>AAK272</f>
        <v>AndreaRW submits Web Request to post materials</v>
      </c>
      <c r="C272" s="792" t="str">
        <f>HYPERLINK("http://deq05/intranet/communication/WebRequests.htm","i")</f>
        <v>i</v>
      </c>
      <c r="D272" s="380"/>
      <c r="E272" s="342">
        <f>NETWORKDAYS(G272,H272,S.DDL_DEQClosed)</f>
        <v>1</v>
      </c>
      <c r="F272" s="457">
        <f t="shared" ref="F272:F273" ca="1" si="213">IF(YEAR(H272)&gt;2000,NETWORKDAYS(TODAY(),H272,S.DDL_DEQClosed),0)</f>
        <v>0</v>
      </c>
      <c r="G272" s="451">
        <f t="shared" si="209"/>
        <v>2</v>
      </c>
      <c r="H272" s="343">
        <f t="shared" si="211"/>
        <v>2</v>
      </c>
      <c r="I272" s="244"/>
      <c r="J272" s="193"/>
      <c r="K272" s="193"/>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G272" s="46"/>
      <c r="DH272" s="46"/>
      <c r="DI272" s="46"/>
      <c r="DJ272" s="46"/>
      <c r="DK272" s="46"/>
      <c r="DL272" s="46"/>
      <c r="DM272" s="46"/>
      <c r="DN272" s="46"/>
      <c r="DO272" s="46"/>
      <c r="DP272" s="46"/>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s="52"/>
      <c r="AAA272" s="192"/>
      <c r="AAD272" s="90"/>
      <c r="AAE272" s="520">
        <f t="shared" si="208"/>
        <v>0</v>
      </c>
      <c r="AAF272" s="90" t="s">
        <v>0</v>
      </c>
      <c r="AAG272" s="73">
        <f t="shared" ref="AAG272:AAG274" si="214">G271</f>
        <v>2</v>
      </c>
      <c r="AAH272" s="73">
        <f>G272</f>
        <v>2</v>
      </c>
      <c r="AAI272" s="60"/>
      <c r="AAJ272" s="55"/>
      <c r="AAK272" s="92" t="str">
        <f>S.Staff.Lead&amp;" submits Web Request to post materials"</f>
        <v>AndreaRW submits Web Request to post materials</v>
      </c>
      <c r="AAL272" s="90"/>
    </row>
    <row r="273" spans="1:714" s="23" customFormat="1" ht="15" hidden="1" customHeight="1" outlineLevel="3">
      <c r="A273" s="171"/>
      <c r="B273" s="665" t="s">
        <v>159</v>
      </c>
      <c r="C273" s="425" t="s">
        <v>0</v>
      </c>
      <c r="D273" s="380"/>
      <c r="E273" s="342">
        <f>NETWORKDAYS(G273,H273,S.DDL_DEQClosed)</f>
        <v>1</v>
      </c>
      <c r="F273" s="457">
        <f t="shared" ca="1" si="213"/>
        <v>0</v>
      </c>
      <c r="G273" s="451">
        <f t="shared" si="209"/>
        <v>2</v>
      </c>
      <c r="H273" s="343">
        <f t="shared" si="211"/>
        <v>2</v>
      </c>
      <c r="I273" s="244"/>
      <c r="J273" s="193"/>
      <c r="K273" s="193"/>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c r="DN273" s="46"/>
      <c r="DO273" s="46"/>
      <c r="DP273" s="46"/>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s="52"/>
      <c r="AAA273" s="192"/>
      <c r="AAD273" s="90"/>
      <c r="AAE273" s="520">
        <f t="shared" si="208"/>
        <v>0</v>
      </c>
      <c r="AAF273" s="90"/>
      <c r="AAG273" s="73">
        <f t="shared" si="214"/>
        <v>2</v>
      </c>
      <c r="AAH273" s="73">
        <f>G273</f>
        <v>2</v>
      </c>
      <c r="AAI273" s="72"/>
      <c r="AAJ273" s="72"/>
      <c r="AAK273" s="55"/>
      <c r="AAL273" s="90"/>
    </row>
    <row r="274" spans="1:714" s="23" customFormat="1" ht="15" hidden="1" customHeight="1" outlineLevel="2">
      <c r="A274" s="171"/>
      <c r="B274" s="486" t="str">
        <f>AAK274</f>
        <v>AndreaRW sends meeting notice with link to Web page</v>
      </c>
      <c r="C274" s="425" t="s">
        <v>0</v>
      </c>
      <c r="D274" s="380"/>
      <c r="E274" s="342">
        <f>NETWORKDAYS(G274,H274,S.DDL_DEQClosed)</f>
        <v>1</v>
      </c>
      <c r="F274" s="457">
        <f t="shared" ref="F274:F277" ca="1" si="215">IF(YEAR(H274)&gt;2000,NETWORKDAYS(TODAY(),H274,S.DDL_DEQClosed),0)</f>
        <v>0</v>
      </c>
      <c r="G274" s="451">
        <f t="shared" si="209"/>
        <v>2</v>
      </c>
      <c r="H274" s="343">
        <f t="shared" ref="H274:H277" si="216">AAH274</f>
        <v>2</v>
      </c>
      <c r="I274" s="244"/>
      <c r="J274" s="193"/>
      <c r="K274" s="193"/>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6"/>
      <c r="DO274" s="46"/>
      <c r="DP274" s="46"/>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s="52"/>
      <c r="AAA274" s="192"/>
      <c r="AAD274" s="90"/>
      <c r="AAE274" s="520">
        <f>IF(AND(S.AC.InvolveMeeting3="Y",S.AC.CommitteeInvolved="Y"),1,0)</f>
        <v>0</v>
      </c>
      <c r="AAF274" s="90"/>
      <c r="AAG274" s="73">
        <f t="shared" si="214"/>
        <v>2</v>
      </c>
      <c r="AAH274" s="73">
        <f>G274</f>
        <v>2</v>
      </c>
      <c r="AAI274" s="72"/>
      <c r="AAJ274" s="72"/>
      <c r="AAK274" s="92" t="str">
        <f>S.Staff.Lead&amp;" sends meeting notice with link to Web page"</f>
        <v>AndreaRW sends meeting notice with link to Web page</v>
      </c>
      <c r="AAL274" s="90"/>
    </row>
    <row r="275" spans="1:714" s="23" customFormat="1" ht="15" hidden="1" customHeight="1" outlineLevel="2">
      <c r="A275" s="171"/>
      <c r="B275" s="616" t="s">
        <v>157</v>
      </c>
      <c r="C275" s="425" t="s">
        <v>0</v>
      </c>
      <c r="D275" s="843" t="s">
        <v>322</v>
      </c>
      <c r="E275" s="843"/>
      <c r="F275" s="843"/>
      <c r="G275" s="844"/>
      <c r="H275" s="351">
        <f t="shared" si="216"/>
        <v>16</v>
      </c>
      <c r="I275" s="244"/>
      <c r="J275" s="193"/>
      <c r="K275" s="193"/>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CZ275" s="46"/>
      <c r="DA275" s="46"/>
      <c r="DB275" s="46"/>
      <c r="DC275" s="46"/>
      <c r="DD275" s="46"/>
      <c r="DE275" s="46"/>
      <c r="DF275" s="46"/>
      <c r="DG275" s="46"/>
      <c r="DH275" s="46"/>
      <c r="DI275" s="46"/>
      <c r="DJ275" s="46"/>
      <c r="DK275" s="46"/>
      <c r="DL275" s="46"/>
      <c r="DM275" s="46"/>
      <c r="DN275" s="46"/>
      <c r="DO275" s="46"/>
      <c r="DP275" s="46"/>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s="52"/>
      <c r="AAA275" s="192"/>
      <c r="AAD275" s="90"/>
      <c r="AAE275" s="520">
        <f>IF(AND(S.AC.InvolveMeeting3="Y",S.AC.CommitteeInvolved="Y"),1,0)</f>
        <v>0</v>
      </c>
      <c r="AAF275" s="90"/>
      <c r="AAG275" s="72"/>
      <c r="AAH275" s="73">
        <f>S.AC.DateMeeting3</f>
        <v>16</v>
      </c>
      <c r="AAI275" s="72"/>
      <c r="AAJ275" s="72"/>
      <c r="AAK275" s="55"/>
      <c r="AAL275" s="90"/>
    </row>
    <row r="276" spans="1:714" s="23" customFormat="1" ht="15" hidden="1" customHeight="1" outlineLevel="2">
      <c r="A276" s="171"/>
      <c r="B276" s="486" t="str">
        <f>AAK276</f>
        <v>AndreaRW drafts AC.MINUTES01.16.00</v>
      </c>
      <c r="C276" s="790" t="str">
        <f>HYPERLINK("\\deq000\templates\General\Minutes Template.dotx","i")</f>
        <v>i</v>
      </c>
      <c r="D276" s="511"/>
      <c r="E276" s="342">
        <f t="shared" ref="E276:E277" si="217">NETWORKDAYS(G276,H276,S.DDL_DEQClosed)</f>
        <v>1</v>
      </c>
      <c r="F276" s="457">
        <f t="shared" ca="1" si="215"/>
        <v>0</v>
      </c>
      <c r="G276" s="451">
        <f>S.AC.DateMeeting1</f>
        <v>16</v>
      </c>
      <c r="H276" s="343">
        <f t="shared" si="216"/>
        <v>16</v>
      </c>
      <c r="I276" s="244"/>
      <c r="J276" s="193"/>
      <c r="K276" s="193"/>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CZ276" s="46"/>
      <c r="DA276" s="46"/>
      <c r="DB276" s="46"/>
      <c r="DC276" s="46"/>
      <c r="DD276" s="46"/>
      <c r="DE276" s="46"/>
      <c r="DF276" s="46"/>
      <c r="DG276" s="46"/>
      <c r="DH276" s="46"/>
      <c r="DI276" s="46"/>
      <c r="DJ276" s="46"/>
      <c r="DK276" s="46"/>
      <c r="DL276" s="46"/>
      <c r="DM276" s="46"/>
      <c r="DN276" s="46"/>
      <c r="DO276" s="46"/>
      <c r="DP276" s="4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s="52"/>
      <c r="AAA276" s="192"/>
      <c r="AAD276" s="90"/>
      <c r="AAE276" s="520">
        <f>IF(AND(S.AC.InvolveMeeting3="Y",S.AC.CommitteeInvolved="Y"),1,0)</f>
        <v>0</v>
      </c>
      <c r="AAF276" s="90"/>
      <c r="AAG276" s="73">
        <f>S.AC.DateMeeting3</f>
        <v>16</v>
      </c>
      <c r="AAH276" s="73">
        <f t="shared" ref="AAH276" si="218">G276</f>
        <v>16</v>
      </c>
      <c r="AAI276" s="72"/>
      <c r="AAJ276" s="72"/>
      <c r="AAK276" s="80" t="str">
        <f>S.Staff.Lead&amp;" drafts AC.MINUTES"&amp;TEXT(S.AC.DateMeeting1,"mm.dd.yy")</f>
        <v>AndreaRW drafts AC.MINUTES01.16.00</v>
      </c>
      <c r="AAL276" s="90"/>
    </row>
    <row r="277" spans="1:714" s="23" customFormat="1" ht="15" hidden="1" customHeight="1" outlineLevel="2" thickBot="1">
      <c r="A277" s="171"/>
      <c r="B277" s="616" t="s">
        <v>158</v>
      </c>
      <c r="C277" s="425" t="s">
        <v>0</v>
      </c>
      <c r="D277" s="380"/>
      <c r="E277" s="342">
        <f t="shared" si="217"/>
        <v>1</v>
      </c>
      <c r="F277" s="457">
        <f t="shared" ca="1" si="215"/>
        <v>0</v>
      </c>
      <c r="G277" s="451">
        <f>S.AC.DateMeeting1</f>
        <v>16</v>
      </c>
      <c r="H277" s="343">
        <f t="shared" si="216"/>
        <v>16</v>
      </c>
      <c r="I277" s="244"/>
      <c r="J277" s="193"/>
      <c r="K277" s="193"/>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G277" s="46"/>
      <c r="DH277" s="46"/>
      <c r="DI277" s="46"/>
      <c r="DJ277" s="46"/>
      <c r="DK277" s="46"/>
      <c r="DL277" s="46"/>
      <c r="DM277" s="46"/>
      <c r="DN277" s="46"/>
      <c r="DO277" s="46"/>
      <c r="DP277" s="46"/>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s="52"/>
      <c r="AAA277" s="192"/>
      <c r="AAD277" s="90"/>
      <c r="AAE277" s="520">
        <f>IF(AND(S.AC.InvolveMeeting3="Y",S.AC.CommitteeInvolved="Y"),1,0)</f>
        <v>0</v>
      </c>
      <c r="AAF277" s="90"/>
      <c r="AAG277" s="73">
        <f>S.AC.DateMeeting3</f>
        <v>16</v>
      </c>
      <c r="AAH277" s="73">
        <f t="shared" ref="AAH277" si="219">G277</f>
        <v>16</v>
      </c>
      <c r="AAI277" s="72"/>
      <c r="AAJ277" s="72"/>
      <c r="AAK277" s="55"/>
      <c r="AAL277" s="90"/>
    </row>
    <row r="278" spans="1:714" s="23" customFormat="1" ht="15" hidden="1" customHeight="1" outlineLevel="1" collapsed="1" thickBot="1">
      <c r="A278" s="171"/>
      <c r="B278" s="528" t="s">
        <v>33</v>
      </c>
      <c r="C278" s="377" t="s">
        <v>303</v>
      </c>
      <c r="D278" s="515"/>
      <c r="E278" s="515"/>
      <c r="F278" s="527"/>
      <c r="G278" s="339">
        <f>AAG278</f>
        <v>16</v>
      </c>
      <c r="H278" s="525" t="s">
        <v>54</v>
      </c>
      <c r="I278" s="244"/>
      <c r="J278" s="193"/>
      <c r="K278" s="193"/>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c r="CU278" s="46"/>
      <c r="CV278" s="46"/>
      <c r="CW278" s="46"/>
      <c r="CX278" s="46"/>
      <c r="CY278" s="46"/>
      <c r="CZ278" s="46"/>
      <c r="DA278" s="46"/>
      <c r="DB278" s="46"/>
      <c r="DC278" s="46"/>
      <c r="DD278" s="46"/>
      <c r="DE278" s="46"/>
      <c r="DF278" s="46"/>
      <c r="DG278" s="46"/>
      <c r="DH278" s="46"/>
      <c r="DI278" s="46"/>
      <c r="DJ278" s="46"/>
      <c r="DK278" s="46"/>
      <c r="DL278" s="46"/>
      <c r="DM278" s="46"/>
      <c r="DN278" s="46"/>
      <c r="DO278" s="46"/>
      <c r="DP278" s="46"/>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s="52"/>
      <c r="AAA278" s="192" t="s">
        <v>0</v>
      </c>
      <c r="AAB278"/>
      <c r="AAC278"/>
      <c r="AAD278" s="90"/>
      <c r="AAE278" s="520">
        <f>IF(AND(S.AC.InvolveMeeting4="Y",S.AC.CommitteeInvolved="Y"),1,0)</f>
        <v>0</v>
      </c>
      <c r="AAF278" s="190" t="s">
        <v>52</v>
      </c>
      <c r="AAG278" s="73">
        <f>S.AC.DateMeeting3</f>
        <v>16</v>
      </c>
      <c r="AAH278" s="39" t="s">
        <v>0</v>
      </c>
      <c r="AAI278" s="39"/>
      <c r="AAJ278" s="55"/>
      <c r="AAK278" s="55"/>
      <c r="AAL278" s="90"/>
    </row>
    <row r="279" spans="1:714" s="23" customFormat="1" ht="15" hidden="1" customHeight="1" outlineLevel="2">
      <c r="A279" s="171"/>
      <c r="B279" s="613" t="s">
        <v>154</v>
      </c>
      <c r="C279" s="346"/>
      <c r="D279" s="380"/>
      <c r="E279" s="342">
        <f t="shared" ref="E279" si="220">NETWORKDAYS(G279,H279,S.DDL_DEQClosed)</f>
        <v>1</v>
      </c>
      <c r="F279" s="457">
        <f ca="1">IF(YEAR(H279)&gt;2000,NETWORKDAYS(TODAY(),H279,S.DDL_DEQClosed),0)</f>
        <v>0</v>
      </c>
      <c r="G279" s="451">
        <f t="shared" ref="G279" si="221">AAG279</f>
        <v>2</v>
      </c>
      <c r="H279" s="343">
        <f t="shared" ref="H279" si="222">AAH279</f>
        <v>2</v>
      </c>
      <c r="I279" s="244"/>
      <c r="J279" s="193"/>
      <c r="K279" s="193"/>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c r="CU279" s="46"/>
      <c r="CV279" s="46"/>
      <c r="CW279" s="46"/>
      <c r="CX279" s="46"/>
      <c r="CY279" s="46"/>
      <c r="CZ279" s="46"/>
      <c r="DA279" s="46"/>
      <c r="DB279" s="46"/>
      <c r="DC279" s="46"/>
      <c r="DD279" s="46"/>
      <c r="DE279" s="46"/>
      <c r="DF279" s="46"/>
      <c r="DG279" s="46"/>
      <c r="DH279" s="46"/>
      <c r="DI279" s="46"/>
      <c r="DJ279" s="46"/>
      <c r="DK279" s="46"/>
      <c r="DL279" s="46"/>
      <c r="DM279" s="46"/>
      <c r="DN279" s="46"/>
      <c r="DO279" s="46"/>
      <c r="DP279" s="46"/>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s="52"/>
      <c r="AAA279" s="192"/>
      <c r="AAD279" s="90"/>
      <c r="AAE279" s="520">
        <f>IF(AND(S.AC.InvolveMeeting4="Y",S.AC.CommitteeInvolved="Y"),1,0)</f>
        <v>0</v>
      </c>
      <c r="AAF279" s="90"/>
      <c r="AAG279" s="73">
        <f>WORKDAY(S.AC.DateMeeting4-13,-1,S.DDL_DEQClosed)</f>
        <v>2</v>
      </c>
      <c r="AAH279" s="73">
        <f t="shared" ref="AAH279" si="223">G279</f>
        <v>2</v>
      </c>
      <c r="AAI279" s="60"/>
      <c r="AAJ279" s="55"/>
      <c r="AAK279" s="39"/>
      <c r="AAL279" s="90"/>
    </row>
    <row r="280" spans="1:714" s="23" customFormat="1" ht="15" hidden="1" customHeight="1" outlineLevel="2">
      <c r="A280" s="171"/>
      <c r="B280" s="384" t="str">
        <f>AAK280</f>
        <v>AndreaRW coordinates or drafts:</v>
      </c>
      <c r="C280" s="346"/>
      <c r="D280" s="374"/>
      <c r="E280" s="350"/>
      <c r="F280" s="350"/>
      <c r="G280" s="346"/>
      <c r="H280" s="409"/>
      <c r="I280" s="244"/>
      <c r="J280" s="193"/>
      <c r="K280" s="193"/>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CZ280" s="46"/>
      <c r="DA280" s="46"/>
      <c r="DB280" s="46"/>
      <c r="DC280" s="46"/>
      <c r="DD280" s="46"/>
      <c r="DE280" s="46"/>
      <c r="DF280" s="46"/>
      <c r="DG280" s="46"/>
      <c r="DH280" s="46"/>
      <c r="DI280" s="46"/>
      <c r="DJ280" s="46"/>
      <c r="DK280" s="46"/>
      <c r="DL280" s="46"/>
      <c r="DM280" s="46"/>
      <c r="DN280" s="46"/>
      <c r="DO280" s="46"/>
      <c r="DP280" s="46"/>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s="52"/>
      <c r="AAA280" s="192"/>
      <c r="AAD280" s="90"/>
      <c r="AAE280" s="520">
        <f>IF(AND(S.AC.InvolveMeeting4="Y",S.AC.CommitteeInvolved="Y"),1,0)</f>
        <v>0</v>
      </c>
      <c r="AAF280" s="190" t="s">
        <v>52</v>
      </c>
      <c r="AAG280" s="60"/>
      <c r="AAH280" s="71"/>
      <c r="AAI280" s="71"/>
      <c r="AAJ280" s="55"/>
      <c r="AAK280" s="80" t="str">
        <f>S.Staff.Lead&amp;" coordinates or drafts:"</f>
        <v>AndreaRW coordinates or drafts:</v>
      </c>
      <c r="AAL280" s="90"/>
    </row>
    <row r="281" spans="1:714" s="23" customFormat="1" ht="15" hidden="1" customHeight="1" outlineLevel="2">
      <c r="A281" s="171"/>
      <c r="B281" s="437" t="str">
        <f>AAK281</f>
        <v>* AC.AGENDA.01.16.00, gets team agreement</v>
      </c>
      <c r="C281" s="790" t="str">
        <f>HYPERLINK("\\deq000\templates\General\Agenda Template.dotx","i")</f>
        <v>i</v>
      </c>
      <c r="D281" s="511"/>
      <c r="E281" s="342">
        <f t="shared" ref="E281:E284" si="224">NETWORKDAYS(G281,H281,S.DDL_DEQClosed)</f>
        <v>1</v>
      </c>
      <c r="F281" s="457">
        <f t="shared" ref="F281:F284" ca="1" si="225">IF(YEAR(H281)&gt;2000,NETWORKDAYS(TODAY(),H281,S.DDL_DEQClosed),0)</f>
        <v>0</v>
      </c>
      <c r="G281" s="451">
        <f t="shared" ref="G281:G288" si="226">AAG281</f>
        <v>2</v>
      </c>
      <c r="H281" s="343">
        <f t="shared" ref="H281:H284" si="227">AAH281</f>
        <v>2</v>
      </c>
      <c r="I281" s="244"/>
      <c r="J281" s="193"/>
      <c r="K281" s="193"/>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c r="CU281" s="46"/>
      <c r="CV281" s="46"/>
      <c r="CW281" s="46"/>
      <c r="CX281" s="46"/>
      <c r="CY281" s="46"/>
      <c r="CZ281" s="46"/>
      <c r="DA281" s="46"/>
      <c r="DB281" s="46"/>
      <c r="DC281" s="46"/>
      <c r="DD281" s="46"/>
      <c r="DE281" s="46"/>
      <c r="DF281" s="46"/>
      <c r="DG281" s="46"/>
      <c r="DH281" s="46"/>
      <c r="DI281" s="46"/>
      <c r="DJ281" s="46"/>
      <c r="DK281" s="46"/>
      <c r="DL281" s="46"/>
      <c r="DM281" s="46"/>
      <c r="DN281" s="46"/>
      <c r="DO281" s="46"/>
      <c r="DP281" s="46"/>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s="52"/>
      <c r="AAA281" s="192"/>
      <c r="AAD281" s="90"/>
      <c r="AAE281" s="520">
        <f>IF(AND(S.AC.InvolveMeeting1="Y",S.AC.CommitteeInvolved="Y"),1,0)</f>
        <v>0</v>
      </c>
      <c r="AAF281" s="90" t="s">
        <v>0</v>
      </c>
      <c r="AAG281" s="73">
        <f>G279</f>
        <v>2</v>
      </c>
      <c r="AAH281" s="73">
        <f>G281</f>
        <v>2</v>
      </c>
      <c r="AAI281" s="72"/>
      <c r="AAJ281" s="74"/>
      <c r="AAK281" s="80" t="str">
        <f>"* AC.AGENDA."&amp; TEXT(S.AC.DateMeeting1,"mm.dd.yy")&amp;", gets team agreement"</f>
        <v>* AC.AGENDA.01.16.00, gets team agreement</v>
      </c>
      <c r="AAL281" s="90"/>
    </row>
    <row r="282" spans="1:714" s="23" customFormat="1" ht="15" hidden="1" customHeight="1" outlineLevel="2">
      <c r="A282" s="171"/>
      <c r="B282" s="437" t="str">
        <f>AAK282</f>
        <v>* AC.NOTIFICATION.01.16.00</v>
      </c>
      <c r="C282" s="362" t="s">
        <v>0</v>
      </c>
      <c r="D282" s="380"/>
      <c r="E282" s="342">
        <f t="shared" si="224"/>
        <v>1</v>
      </c>
      <c r="F282" s="457">
        <f t="shared" ca="1" si="225"/>
        <v>0</v>
      </c>
      <c r="G282" s="451">
        <f t="shared" si="226"/>
        <v>2</v>
      </c>
      <c r="H282" s="343">
        <f t="shared" si="227"/>
        <v>2</v>
      </c>
      <c r="I282" s="244"/>
      <c r="J282" s="193"/>
      <c r="K282" s="193"/>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s="52"/>
      <c r="AAA282" s="192"/>
      <c r="AAD282" s="90"/>
      <c r="AAE282" s="520">
        <f>IF(AND(S.AC.InvolveMeeting1="Y",S.AC.CommitteeInvolved="Y"),1,0)</f>
        <v>0</v>
      </c>
      <c r="AAF282" s="90" t="s">
        <v>0</v>
      </c>
      <c r="AAG282" s="73">
        <f>G281</f>
        <v>2</v>
      </c>
      <c r="AAH282" s="73">
        <f t="shared" ref="AAH282:AAH284" si="228">G282</f>
        <v>2</v>
      </c>
      <c r="AAI282" s="72"/>
      <c r="AAJ282" s="72"/>
      <c r="AAK282" s="80" t="str">
        <f>"* AC.NOTIFICATION."&amp;TEXT(S.AC.DateMeeting1,"mm.dd.yy")</f>
        <v>* AC.NOTIFICATION.01.16.00</v>
      </c>
      <c r="AAL282" s="90"/>
    </row>
    <row r="283" spans="1:714" s="23" customFormat="1" ht="15" hidden="1" customHeight="1" outlineLevel="2">
      <c r="A283" s="171"/>
      <c r="B283" s="441" t="s">
        <v>318</v>
      </c>
      <c r="C283" s="790" t="str">
        <f>HYPERLINK("http://deq05/intranet/contentmanagement/login.asp","i")</f>
        <v>i</v>
      </c>
      <c r="D283" s="512"/>
      <c r="E283" s="342">
        <f t="shared" si="224"/>
        <v>1</v>
      </c>
      <c r="F283" s="457">
        <f t="shared" ca="1" si="225"/>
        <v>0</v>
      </c>
      <c r="G283" s="451">
        <f t="shared" si="226"/>
        <v>2</v>
      </c>
      <c r="H283" s="343">
        <f t="shared" si="227"/>
        <v>2</v>
      </c>
      <c r="I283" s="244"/>
      <c r="J283" s="193"/>
      <c r="K283" s="193"/>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s="52"/>
      <c r="AAA283" s="192" t="s">
        <v>0</v>
      </c>
      <c r="AAD283" s="90"/>
      <c r="AAE283" s="520">
        <f>IF(AND(S.AC.InvolveMeeting1="Y",S.AC.CommitteeInvolved="Y"),1,0)</f>
        <v>0</v>
      </c>
      <c r="AAF283" s="90" t="s">
        <v>0</v>
      </c>
      <c r="AAG283" s="73">
        <f t="shared" ref="AAG283:AAG288" si="229">G282</f>
        <v>2</v>
      </c>
      <c r="AAH283" s="73">
        <f t="shared" si="228"/>
        <v>2</v>
      </c>
      <c r="AAI283" s="60"/>
      <c r="AAJ283" s="55"/>
      <c r="AAK283" s="55"/>
      <c r="AAL283" s="90"/>
    </row>
    <row r="284" spans="1:714" s="23" customFormat="1" ht="15" hidden="1" customHeight="1" outlineLevel="2">
      <c r="A284" s="171"/>
      <c r="B284" s="407" t="s">
        <v>241</v>
      </c>
      <c r="C284" s="362" t="s">
        <v>0</v>
      </c>
      <c r="D284" s="380"/>
      <c r="E284" s="342">
        <f t="shared" si="224"/>
        <v>1</v>
      </c>
      <c r="F284" s="457">
        <f t="shared" ca="1" si="225"/>
        <v>0</v>
      </c>
      <c r="G284" s="451">
        <f t="shared" si="226"/>
        <v>2</v>
      </c>
      <c r="H284" s="343">
        <f t="shared" si="227"/>
        <v>2</v>
      </c>
      <c r="I284" s="244"/>
      <c r="J284" s="193"/>
      <c r="K284" s="193"/>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s="52"/>
      <c r="AAA284" s="192"/>
      <c r="AAD284" s="90"/>
      <c r="AAE284" s="520">
        <f>IF(AND(S.AC.InvolveMeeting1="Y",S.AC.CommitteeInvolved="Y"),1,0)</f>
        <v>0</v>
      </c>
      <c r="AAF284" s="90" t="s">
        <v>0</v>
      </c>
      <c r="AAG284" s="73">
        <f t="shared" si="229"/>
        <v>2</v>
      </c>
      <c r="AAH284" s="73">
        <f t="shared" si="228"/>
        <v>2</v>
      </c>
      <c r="AAI284" s="60"/>
      <c r="AAJ284" s="55"/>
      <c r="AAK284" s="55"/>
      <c r="AAL284" s="90"/>
    </row>
    <row r="285" spans="1:714" s="23" customFormat="1" ht="15" hidden="1" customHeight="1" outlineLevel="2">
      <c r="A285" s="171"/>
      <c r="B285" s="615" t="s">
        <v>155</v>
      </c>
      <c r="C285" s="362" t="s">
        <v>0</v>
      </c>
      <c r="D285" s="380"/>
      <c r="E285" s="342">
        <f t="shared" ref="E285:E288" si="230">NETWORKDAYS(G285,H285,S.DDL_DEQClosed)</f>
        <v>1</v>
      </c>
      <c r="F285" s="457">
        <f t="shared" ref="F285:F288" ca="1" si="231">IF(YEAR(H285)&gt;2000,NETWORKDAYS(TODAY(),H285,S.DDL_DEQClosed),0)</f>
        <v>0</v>
      </c>
      <c r="G285" s="451">
        <f t="shared" si="226"/>
        <v>2</v>
      </c>
      <c r="H285" s="343">
        <f t="shared" ref="H285:H288" si="232">AAH285</f>
        <v>2</v>
      </c>
      <c r="I285" s="244"/>
      <c r="J285" s="193"/>
      <c r="K285" s="193"/>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s="52"/>
      <c r="AAA285" s="192"/>
      <c r="AAD285" s="90"/>
      <c r="AAE285" s="520">
        <f>IF(AND(S.AC.InvolveMeeting4="Y",S.AC.CommitteeInvolved="Y"),1,0)</f>
        <v>0</v>
      </c>
      <c r="AAF285" s="90" t="s">
        <v>0</v>
      </c>
      <c r="AAG285" s="73">
        <f t="shared" si="229"/>
        <v>2</v>
      </c>
      <c r="AAH285" s="73">
        <f>G285</f>
        <v>2</v>
      </c>
      <c r="AAI285" s="60"/>
      <c r="AAJ285" s="55"/>
      <c r="AAK285" s="55"/>
      <c r="AAL285" s="90"/>
    </row>
    <row r="286" spans="1:714" s="23" customFormat="1" ht="15" hidden="1" customHeight="1" outlineLevel="2">
      <c r="A286" s="171"/>
      <c r="B286" s="615" t="s">
        <v>155</v>
      </c>
      <c r="C286" s="362" t="s">
        <v>0</v>
      </c>
      <c r="D286" s="380"/>
      <c r="E286" s="342">
        <f t="shared" si="230"/>
        <v>1</v>
      </c>
      <c r="F286" s="457">
        <f t="shared" ca="1" si="231"/>
        <v>0</v>
      </c>
      <c r="G286" s="451">
        <f t="shared" si="226"/>
        <v>2</v>
      </c>
      <c r="H286" s="343">
        <f t="shared" si="232"/>
        <v>2</v>
      </c>
      <c r="I286" s="244"/>
      <c r="J286" s="193"/>
      <c r="K286" s="193"/>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s="52"/>
      <c r="AAA286" s="192"/>
      <c r="AAD286" s="90"/>
      <c r="AAE286" s="520">
        <f>IF(AND(S.AC.InvolveMeeting4="Y",S.AC.CommitteeInvolved="Y"),1,0)</f>
        <v>0</v>
      </c>
      <c r="AAF286" s="90" t="s">
        <v>0</v>
      </c>
      <c r="AAG286" s="73">
        <f t="shared" si="229"/>
        <v>2</v>
      </c>
      <c r="AAH286" s="73">
        <f>G286</f>
        <v>2</v>
      </c>
      <c r="AAI286" s="60"/>
      <c r="AAJ286" s="55"/>
      <c r="AAK286" s="55"/>
      <c r="AAL286" s="90"/>
    </row>
    <row r="287" spans="1:714" s="23" customFormat="1" ht="15" hidden="1" customHeight="1" outlineLevel="2">
      <c r="A287" s="171"/>
      <c r="B287" s="615" t="s">
        <v>155</v>
      </c>
      <c r="C287" s="362" t="s">
        <v>0</v>
      </c>
      <c r="D287" s="380"/>
      <c r="E287" s="342">
        <f t="shared" si="230"/>
        <v>1</v>
      </c>
      <c r="F287" s="457">
        <f t="shared" ca="1" si="231"/>
        <v>0</v>
      </c>
      <c r="G287" s="451">
        <f t="shared" si="226"/>
        <v>2</v>
      </c>
      <c r="H287" s="343">
        <f t="shared" si="232"/>
        <v>2</v>
      </c>
      <c r="I287" s="244"/>
      <c r="J287" s="193"/>
      <c r="K287" s="193"/>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s="52"/>
      <c r="AAA287" s="192"/>
      <c r="AAD287" s="90"/>
      <c r="AAE287" s="520">
        <f>IF(AND(S.AC.InvolveMeeting4="Y",S.AC.CommitteeInvolved="Y"),1,0)</f>
        <v>0</v>
      </c>
      <c r="AAF287" s="90" t="s">
        <v>0</v>
      </c>
      <c r="AAG287" s="73">
        <f t="shared" si="229"/>
        <v>2</v>
      </c>
      <c r="AAH287" s="73">
        <f>G287</f>
        <v>2</v>
      </c>
      <c r="AAI287" s="60"/>
      <c r="AAJ287" s="55"/>
      <c r="AAK287" s="55"/>
      <c r="AAL287" s="90"/>
    </row>
    <row r="288" spans="1:714" s="23" customFormat="1" ht="15" hidden="1" customHeight="1" outlineLevel="2" thickBot="1">
      <c r="A288" s="171"/>
      <c r="B288" s="615" t="s">
        <v>155</v>
      </c>
      <c r="C288" s="362" t="s">
        <v>0</v>
      </c>
      <c r="D288" s="380"/>
      <c r="E288" s="342">
        <f t="shared" si="230"/>
        <v>1</v>
      </c>
      <c r="F288" s="457">
        <f t="shared" ca="1" si="231"/>
        <v>0</v>
      </c>
      <c r="G288" s="451">
        <f t="shared" si="226"/>
        <v>2</v>
      </c>
      <c r="H288" s="343">
        <f t="shared" si="232"/>
        <v>2</v>
      </c>
      <c r="I288" s="244"/>
      <c r="J288" s="193"/>
      <c r="K288" s="193"/>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s="52"/>
      <c r="AAA288" s="192"/>
      <c r="AAD288" s="90"/>
      <c r="AAE288" s="520">
        <f>IF(AND(S.AC.InvolveMeeting4="Y",S.AC.CommitteeInvolved="Y"),1,0)</f>
        <v>0</v>
      </c>
      <c r="AAF288" s="90" t="s">
        <v>0</v>
      </c>
      <c r="AAG288" s="73">
        <f t="shared" si="229"/>
        <v>2</v>
      </c>
      <c r="AAH288" s="73">
        <f>G288</f>
        <v>2</v>
      </c>
      <c r="AAI288" s="60"/>
      <c r="AAJ288" s="55"/>
      <c r="AAK288" s="55"/>
      <c r="AAL288" s="90"/>
    </row>
    <row r="289" spans="1:714" s="23" customFormat="1" ht="15" hidden="1" customHeight="1" outlineLevel="3" thickBot="1">
      <c r="A289" s="171"/>
      <c r="B289" s="661" t="s">
        <v>216</v>
      </c>
      <c r="C289" s="377" t="s">
        <v>17</v>
      </c>
      <c r="D289" s="452"/>
      <c r="E289" s="453"/>
      <c r="F289" s="453"/>
      <c r="G289" s="453"/>
      <c r="H289" s="453"/>
      <c r="I289" s="244"/>
      <c r="J289" s="193"/>
      <c r="K289" s="193"/>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c r="CU289" s="46"/>
      <c r="CV289" s="46"/>
      <c r="CW289" s="46"/>
      <c r="CX289" s="46"/>
      <c r="CY289" s="46"/>
      <c r="CZ289" s="46"/>
      <c r="DA289" s="46"/>
      <c r="DB289" s="46"/>
      <c r="DC289" s="46"/>
      <c r="DD289" s="46"/>
      <c r="DE289" s="46"/>
      <c r="DF289" s="46"/>
      <c r="DG289" s="46"/>
      <c r="DH289" s="46"/>
      <c r="DI289" s="46"/>
      <c r="DJ289" s="46"/>
      <c r="DK289" s="46"/>
      <c r="DL289" s="46"/>
      <c r="DM289" s="46"/>
      <c r="DN289" s="46"/>
      <c r="DO289" s="46"/>
      <c r="DP289" s="46"/>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s="52"/>
      <c r="AAA289" s="192"/>
      <c r="AAD289" s="90"/>
      <c r="AAE289" s="520">
        <f>IF(AND(S.AC.InvolveMeeting4="Y",S.AC.CommitteeInvolved="Y",S.AC.Presentation4="Y"),1,0)</f>
        <v>0</v>
      </c>
      <c r="AAF289" s="190" t="s">
        <v>52</v>
      </c>
      <c r="AAG289" s="39"/>
      <c r="AAH289" s="39"/>
      <c r="AAI289" s="39"/>
      <c r="AAJ289" s="55"/>
      <c r="AAK289" s="55"/>
      <c r="AAL289" s="90"/>
    </row>
    <row r="290" spans="1:714" s="23" customFormat="1" ht="15" hidden="1" customHeight="1" outlineLevel="3">
      <c r="A290" s="171"/>
      <c r="B290" s="662" t="s">
        <v>156</v>
      </c>
      <c r="C290" s="362" t="s">
        <v>0</v>
      </c>
      <c r="D290" s="454"/>
      <c r="E290" s="442"/>
      <c r="F290" s="442"/>
      <c r="G290" s="442"/>
      <c r="H290" s="442"/>
      <c r="I290" s="244"/>
      <c r="J290" s="193"/>
      <c r="K290" s="193"/>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c r="CU290" s="46"/>
      <c r="CV290" s="46"/>
      <c r="CW290" s="46"/>
      <c r="CX290" s="46"/>
      <c r="CY290" s="46"/>
      <c r="CZ290" s="46"/>
      <c r="DA290" s="46"/>
      <c r="DB290" s="46"/>
      <c r="DC290" s="46"/>
      <c r="DD290" s="46"/>
      <c r="DE290" s="46"/>
      <c r="DF290" s="46"/>
      <c r="DG290" s="46"/>
      <c r="DH290" s="46"/>
      <c r="DI290" s="46"/>
      <c r="DJ290" s="46"/>
      <c r="DK290" s="46"/>
      <c r="DL290" s="46"/>
      <c r="DM290" s="46"/>
      <c r="DN290" s="46"/>
      <c r="DO290" s="46"/>
      <c r="DP290" s="46"/>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s="52"/>
      <c r="AAA290" s="192"/>
      <c r="AAD290" s="90"/>
      <c r="AAE290" s="520">
        <f t="shared" ref="AAE290:AAE296" si="233">IF(AND(S.AC.InvolveMeeting1="Y",S.AC.CommitteeInvolved="Y",S.AC.Presentation1="Y"),1,0)</f>
        <v>0</v>
      </c>
      <c r="AAF290" s="190" t="s">
        <v>52</v>
      </c>
      <c r="AAG290" s="39"/>
      <c r="AAH290" s="39"/>
      <c r="AAI290" s="60"/>
      <c r="AAJ290" s="55"/>
      <c r="AAK290" s="55"/>
      <c r="AAL290" s="90"/>
    </row>
    <row r="291" spans="1:714" s="23" customFormat="1" ht="15" hidden="1" customHeight="1" outlineLevel="3">
      <c r="A291" s="171"/>
      <c r="B291" s="663" t="str">
        <f>AAK291</f>
        <v>* drafts optional AC.PRESENTATION.01.16.00</v>
      </c>
      <c r="C291" s="790" t="str">
        <f>HYPERLINK("http://deq05/intranet/communication/docs/DEQAgencyTemplate1.potx","i")</f>
        <v>i</v>
      </c>
      <c r="D291" s="511"/>
      <c r="E291" s="342">
        <f>NETWORKDAYS(G291,H291,S.DDL_DEQClosed)</f>
        <v>1</v>
      </c>
      <c r="F291" s="457">
        <f ca="1">IF(YEAR(H291)&gt;2000,NETWORKDAYS(TODAY(),H291,S.DDL_DEQClosed),0)</f>
        <v>0</v>
      </c>
      <c r="G291" s="451">
        <f t="shared" ref="G291" si="234">AAG291</f>
        <v>2</v>
      </c>
      <c r="H291" s="343">
        <f>AAH291</f>
        <v>2</v>
      </c>
      <c r="I291" s="244"/>
      <c r="J291" s="193"/>
      <c r="K291" s="193"/>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s="52"/>
      <c r="AAA291" s="192"/>
      <c r="AAD291" s="90"/>
      <c r="AAE291" s="520">
        <f t="shared" si="233"/>
        <v>0</v>
      </c>
      <c r="AAF291" s="90" t="s">
        <v>0</v>
      </c>
      <c r="AAG291" s="73">
        <f>G288</f>
        <v>2</v>
      </c>
      <c r="AAH291" s="73">
        <f>G291</f>
        <v>2</v>
      </c>
      <c r="AAI291" s="60"/>
      <c r="AAJ291" s="55"/>
      <c r="AAK291" s="92" t="str">
        <f>"* drafts optional AC.PRESENTATION."&amp;TEXT($G$209,"mm.dd.yy")</f>
        <v>* drafts optional AC.PRESENTATION.01.16.00</v>
      </c>
      <c r="AAL291" s="90"/>
    </row>
    <row r="292" spans="1:714" s="23" customFormat="1" ht="15" hidden="1" customHeight="1" outlineLevel="3">
      <c r="A292" s="171"/>
      <c r="B292" s="662" t="s">
        <v>156</v>
      </c>
      <c r="C292" s="362" t="s">
        <v>0</v>
      </c>
      <c r="D292" s="454"/>
      <c r="E292" s="453"/>
      <c r="F292" s="453"/>
      <c r="G292" s="453"/>
      <c r="H292" s="453"/>
      <c r="I292" s="244"/>
      <c r="J292" s="193"/>
      <c r="K292" s="193"/>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c r="CU292" s="46"/>
      <c r="CV292" s="46"/>
      <c r="CW292" s="46"/>
      <c r="CX292" s="46"/>
      <c r="CY292" s="46"/>
      <c r="CZ292" s="46"/>
      <c r="DA292" s="46"/>
      <c r="DB292" s="46"/>
      <c r="DC292" s="46"/>
      <c r="DD292" s="46"/>
      <c r="DE292" s="46"/>
      <c r="DF292" s="46"/>
      <c r="DG292" s="46"/>
      <c r="DH292" s="46"/>
      <c r="DI292" s="46"/>
      <c r="DJ292" s="46"/>
      <c r="DK292" s="46"/>
      <c r="DL292" s="46"/>
      <c r="DM292" s="46"/>
      <c r="DN292" s="46"/>
      <c r="DO292" s="46"/>
      <c r="DP292" s="46"/>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s="52"/>
      <c r="AAA292" s="192"/>
      <c r="AAD292" s="90"/>
      <c r="AAE292" s="520">
        <f t="shared" si="233"/>
        <v>0</v>
      </c>
      <c r="AAF292" s="190" t="s">
        <v>52</v>
      </c>
      <c r="AAG292" s="39"/>
      <c r="AAH292" s="39"/>
      <c r="AAI292" s="60"/>
      <c r="AAJ292" s="55"/>
      <c r="AAK292" s="55"/>
      <c r="AAL292" s="90"/>
    </row>
    <row r="293" spans="1:714" s="23" customFormat="1" ht="15" hidden="1" customHeight="1" outlineLevel="3">
      <c r="A293" s="171"/>
      <c r="B293" s="664" t="s">
        <v>240</v>
      </c>
      <c r="C293" s="362" t="s">
        <v>0</v>
      </c>
      <c r="D293" s="380"/>
      <c r="E293" s="342">
        <f t="shared" ref="E293" si="235">NETWORKDAYS(G293,H293,S.DDL_DEQClosed)</f>
        <v>1</v>
      </c>
      <c r="F293" s="457">
        <f ca="1">IF(YEAR(H293)&gt;2000,NETWORKDAYS(TODAY(),H293,S.DDL_DEQClosed),0)</f>
        <v>0</v>
      </c>
      <c r="G293" s="451">
        <f t="shared" ref="G293:G297" si="236">AAG293</f>
        <v>2</v>
      </c>
      <c r="H293" s="343">
        <f t="shared" ref="H293:H296" si="237">AAH293</f>
        <v>2</v>
      </c>
      <c r="I293" s="244"/>
      <c r="J293" s="193"/>
      <c r="K293" s="193"/>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c r="CU293" s="46"/>
      <c r="CV293" s="46"/>
      <c r="CW293" s="46"/>
      <c r="CX293" s="46"/>
      <c r="CY293" s="46"/>
      <c r="CZ293" s="46"/>
      <c r="DA293" s="46"/>
      <c r="DB293" s="46"/>
      <c r="DC293" s="46"/>
      <c r="DD293" s="46"/>
      <c r="DE293" s="46"/>
      <c r="DF293" s="46"/>
      <c r="DG293" s="46"/>
      <c r="DH293" s="46"/>
      <c r="DI293" s="46"/>
      <c r="DJ293" s="46"/>
      <c r="DK293" s="46"/>
      <c r="DL293" s="46"/>
      <c r="DM293" s="46"/>
      <c r="DN293" s="46"/>
      <c r="DO293" s="46"/>
      <c r="DP293" s="46"/>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s="52"/>
      <c r="AAA293" s="192"/>
      <c r="AAD293" s="90"/>
      <c r="AAE293" s="520">
        <f t="shared" si="233"/>
        <v>0</v>
      </c>
      <c r="AAF293" s="90" t="s">
        <v>0</v>
      </c>
      <c r="AAG293" s="73">
        <f>G291</f>
        <v>2</v>
      </c>
      <c r="AAH293" s="73">
        <f t="shared" ref="AAH293" si="238">G293</f>
        <v>2</v>
      </c>
      <c r="AAI293" s="60"/>
      <c r="AAJ293" s="55"/>
      <c r="AAK293" s="55"/>
      <c r="AAL293" s="90"/>
    </row>
    <row r="294" spans="1:714" s="23" customFormat="1" ht="15" hidden="1" customHeight="1" outlineLevel="3">
      <c r="A294" s="171"/>
      <c r="B294" s="665" t="s">
        <v>319</v>
      </c>
      <c r="C294" s="362" t="s">
        <v>0</v>
      </c>
      <c r="D294" s="380"/>
      <c r="E294" s="342">
        <f>NETWORKDAYS(G294,H294,S.DDL_DEQClosed)</f>
        <v>1</v>
      </c>
      <c r="F294" s="457">
        <f ca="1">IF(YEAR(H294)&gt;2000,NETWORKDAYS(TODAY(),H294,S.DDL_DEQClosed),0)</f>
        <v>0</v>
      </c>
      <c r="G294" s="451">
        <f t="shared" si="236"/>
        <v>2</v>
      </c>
      <c r="H294" s="343">
        <f t="shared" si="237"/>
        <v>2</v>
      </c>
      <c r="I294" s="244"/>
      <c r="J294" s="193"/>
      <c r="K294" s="193"/>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c r="CZ294" s="46"/>
      <c r="DA294" s="46"/>
      <c r="DB294" s="46"/>
      <c r="DC294" s="46"/>
      <c r="DD294" s="46"/>
      <c r="DE294" s="46"/>
      <c r="DF294" s="46"/>
      <c r="DG294" s="46"/>
      <c r="DH294" s="46"/>
      <c r="DI294" s="46"/>
      <c r="DJ294" s="46"/>
      <c r="DK294" s="46"/>
      <c r="DL294" s="46"/>
      <c r="DM294" s="46"/>
      <c r="DN294" s="46"/>
      <c r="DO294" s="46"/>
      <c r="DP294" s="46"/>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s="52"/>
      <c r="AAA294" s="192"/>
      <c r="AAD294" s="90"/>
      <c r="AAE294" s="520">
        <f t="shared" si="233"/>
        <v>0</v>
      </c>
      <c r="AAF294" s="90" t="s">
        <v>0</v>
      </c>
      <c r="AAG294" s="73">
        <f>G293</f>
        <v>2</v>
      </c>
      <c r="AAH294" s="73">
        <f>G294</f>
        <v>2</v>
      </c>
      <c r="AAI294" s="60" t="s">
        <v>0</v>
      </c>
      <c r="AAJ294" s="55"/>
      <c r="AAK294" s="55"/>
      <c r="AAL294" s="90"/>
    </row>
    <row r="295" spans="1:714" s="23" customFormat="1" ht="15" hidden="1" customHeight="1" outlineLevel="3">
      <c r="A295" s="171"/>
      <c r="B295" s="666" t="str">
        <f>AAK295</f>
        <v>AndreaRW submits Web Request to post materials</v>
      </c>
      <c r="C295" s="792" t="str">
        <f>HYPERLINK("http://deq05/intranet/communication/WebRequests.htm","i")</f>
        <v>i</v>
      </c>
      <c r="D295" s="380"/>
      <c r="E295" s="342">
        <f>NETWORKDAYS(G295,H295,S.DDL_DEQClosed)</f>
        <v>1</v>
      </c>
      <c r="F295" s="457">
        <f t="shared" ref="F295:F300" ca="1" si="239">IF(YEAR(H295)&gt;2000,NETWORKDAYS(TODAY(),H295,S.DDL_DEQClosed),0)</f>
        <v>0</v>
      </c>
      <c r="G295" s="451">
        <f t="shared" si="236"/>
        <v>2</v>
      </c>
      <c r="H295" s="343">
        <f t="shared" si="237"/>
        <v>2</v>
      </c>
      <c r="I295" s="244"/>
      <c r="J295" s="193"/>
      <c r="K295" s="193"/>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c r="CU295" s="46"/>
      <c r="CV295" s="46"/>
      <c r="CW295" s="46"/>
      <c r="CX295" s="46"/>
      <c r="CY295" s="46"/>
      <c r="CZ295" s="46"/>
      <c r="DA295" s="46"/>
      <c r="DB295" s="46"/>
      <c r="DC295" s="46"/>
      <c r="DD295" s="46"/>
      <c r="DE295" s="46"/>
      <c r="DF295" s="46"/>
      <c r="DG295" s="46"/>
      <c r="DH295" s="46"/>
      <c r="DI295" s="46"/>
      <c r="DJ295" s="46"/>
      <c r="DK295" s="46"/>
      <c r="DL295" s="46"/>
      <c r="DM295" s="46"/>
      <c r="DN295" s="46"/>
      <c r="DO295" s="46"/>
      <c r="DP295" s="46"/>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s="52"/>
      <c r="AAA295" s="192"/>
      <c r="AAD295" s="90"/>
      <c r="AAE295" s="520">
        <f t="shared" si="233"/>
        <v>0</v>
      </c>
      <c r="AAF295" s="90" t="s">
        <v>0</v>
      </c>
      <c r="AAG295" s="73">
        <f t="shared" ref="AAG295:AAG297" si="240">G294</f>
        <v>2</v>
      </c>
      <c r="AAH295" s="73">
        <f>G295</f>
        <v>2</v>
      </c>
      <c r="AAI295" s="60"/>
      <c r="AAJ295" s="55"/>
      <c r="AAK295" s="92" t="str">
        <f>S.Staff.Lead&amp;" submits Web Request to post materials"</f>
        <v>AndreaRW submits Web Request to post materials</v>
      </c>
      <c r="AAL295" s="90"/>
    </row>
    <row r="296" spans="1:714" s="23" customFormat="1" ht="15" hidden="1" customHeight="1" outlineLevel="3">
      <c r="A296" s="171"/>
      <c r="B296" s="665" t="s">
        <v>159</v>
      </c>
      <c r="C296" s="425" t="s">
        <v>0</v>
      </c>
      <c r="D296" s="380"/>
      <c r="E296" s="342">
        <f>NETWORKDAYS(G296,H296,S.DDL_DEQClosed)</f>
        <v>1</v>
      </c>
      <c r="F296" s="457">
        <f t="shared" ca="1" si="239"/>
        <v>0</v>
      </c>
      <c r="G296" s="451">
        <f t="shared" si="236"/>
        <v>2</v>
      </c>
      <c r="H296" s="343">
        <f t="shared" si="237"/>
        <v>2</v>
      </c>
      <c r="I296" s="244"/>
      <c r="J296" s="193"/>
      <c r="K296" s="193"/>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s="52"/>
      <c r="AAA296" s="192"/>
      <c r="AAD296" s="90"/>
      <c r="AAE296" s="520">
        <f t="shared" si="233"/>
        <v>0</v>
      </c>
      <c r="AAF296" s="90"/>
      <c r="AAG296" s="73">
        <f t="shared" si="240"/>
        <v>2</v>
      </c>
      <c r="AAH296" s="73">
        <f>G296</f>
        <v>2</v>
      </c>
      <c r="AAI296" s="72"/>
      <c r="AAJ296" s="72"/>
      <c r="AAK296" s="55"/>
      <c r="AAL296" s="90"/>
    </row>
    <row r="297" spans="1:714" s="23" customFormat="1" ht="15" hidden="1" customHeight="1" outlineLevel="2">
      <c r="A297" s="171"/>
      <c r="B297" s="486" t="str">
        <f>AAK297</f>
        <v>AndreaRW sends meeting notice with link to Web page</v>
      </c>
      <c r="C297" s="425" t="s">
        <v>0</v>
      </c>
      <c r="D297" s="380"/>
      <c r="E297" s="342">
        <f>NETWORKDAYS(G297,H297,S.DDL_DEQClosed)</f>
        <v>1</v>
      </c>
      <c r="F297" s="457">
        <f t="shared" ca="1" si="239"/>
        <v>0</v>
      </c>
      <c r="G297" s="451">
        <f t="shared" si="236"/>
        <v>2</v>
      </c>
      <c r="H297" s="343">
        <f t="shared" ref="H297:H300" si="241">AAH297</f>
        <v>2</v>
      </c>
      <c r="I297" s="244"/>
      <c r="J297" s="193"/>
      <c r="K297" s="193"/>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s="52"/>
      <c r="AAA297" s="192"/>
      <c r="AAD297" s="90"/>
      <c r="AAE297" s="520">
        <f>IF(AND(S.AC.InvolveMeeting3="Y",S.AC.CommitteeInvolved="Y"),1,0)</f>
        <v>0</v>
      </c>
      <c r="AAF297" s="90"/>
      <c r="AAG297" s="73">
        <f t="shared" si="240"/>
        <v>2</v>
      </c>
      <c r="AAH297" s="73">
        <f>G297</f>
        <v>2</v>
      </c>
      <c r="AAI297" s="72"/>
      <c r="AAJ297" s="72"/>
      <c r="AAK297" s="92" t="str">
        <f>S.Staff.Lead&amp;" sends meeting notice with link to Web page"</f>
        <v>AndreaRW sends meeting notice with link to Web page</v>
      </c>
      <c r="AAL297" s="90"/>
    </row>
    <row r="298" spans="1:714" s="23" customFormat="1" ht="15" hidden="1" customHeight="1" outlineLevel="2">
      <c r="A298" s="171"/>
      <c r="B298" s="616" t="s">
        <v>157</v>
      </c>
      <c r="C298" s="425" t="s">
        <v>0</v>
      </c>
      <c r="D298" s="843" t="s">
        <v>320</v>
      </c>
      <c r="E298" s="843"/>
      <c r="F298" s="843"/>
      <c r="G298" s="844"/>
      <c r="H298" s="351">
        <f t="shared" si="241"/>
        <v>16</v>
      </c>
      <c r="I298" s="244"/>
      <c r="J298" s="193"/>
      <c r="K298" s="193"/>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c r="CQ298" s="46"/>
      <c r="CR298" s="46"/>
      <c r="CS298" s="46"/>
      <c r="CT298" s="46"/>
      <c r="CU298" s="46"/>
      <c r="CV298" s="46"/>
      <c r="CW298" s="46"/>
      <c r="CX298" s="46"/>
      <c r="CY298" s="46"/>
      <c r="CZ298" s="46"/>
      <c r="DA298" s="46"/>
      <c r="DB298" s="46"/>
      <c r="DC298" s="46"/>
      <c r="DD298" s="46"/>
      <c r="DE298" s="46"/>
      <c r="DF298" s="46"/>
      <c r="DG298" s="46"/>
      <c r="DH298" s="46"/>
      <c r="DI298" s="46"/>
      <c r="DJ298" s="46"/>
      <c r="DK298" s="46"/>
      <c r="DL298" s="46"/>
      <c r="DM298" s="46"/>
      <c r="DN298" s="46"/>
      <c r="DO298" s="46"/>
      <c r="DP298" s="46"/>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s="52"/>
      <c r="AAA298" s="192"/>
      <c r="AAD298" s="90"/>
      <c r="AAE298" s="520">
        <f>IF(AND(S.AC.InvolveMeeting3="Y",S.AC.CommitteeInvolved="Y"),1,0)</f>
        <v>0</v>
      </c>
      <c r="AAF298" s="90"/>
      <c r="AAG298" s="39" t="s">
        <v>0</v>
      </c>
      <c r="AAH298" s="73">
        <f>S.AC.DateMeeting4</f>
        <v>16</v>
      </c>
      <c r="AAI298" s="72"/>
      <c r="AAJ298" s="72"/>
      <c r="AAK298" s="55"/>
      <c r="AAL298" s="90"/>
    </row>
    <row r="299" spans="1:714" s="23" customFormat="1" ht="15" hidden="1" customHeight="1" outlineLevel="2">
      <c r="A299" s="171"/>
      <c r="B299" s="486" t="str">
        <f>AAK299</f>
        <v>AndreaRW drafts AC.MINUTES01.16.00</v>
      </c>
      <c r="C299" s="790" t="str">
        <f>HYPERLINK("\\deq000\templates\General\Minutes Template.dotx","i")</f>
        <v>i</v>
      </c>
      <c r="D299" s="511"/>
      <c r="E299" s="342">
        <f t="shared" ref="E299:E300" si="242">NETWORKDAYS(G299,H299,S.DDL_DEQClosed)</f>
        <v>1</v>
      </c>
      <c r="F299" s="457">
        <f t="shared" ca="1" si="239"/>
        <v>0</v>
      </c>
      <c r="G299" s="451">
        <f>AAG299</f>
        <v>16</v>
      </c>
      <c r="H299" s="343">
        <f t="shared" si="241"/>
        <v>16</v>
      </c>
      <c r="I299" s="244"/>
      <c r="J299" s="193"/>
      <c r="K299" s="193"/>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G299" s="46"/>
      <c r="DH299" s="46"/>
      <c r="DI299" s="46"/>
      <c r="DJ299" s="46"/>
      <c r="DK299" s="46"/>
      <c r="DL299" s="46"/>
      <c r="DM299" s="46"/>
      <c r="DN299" s="46"/>
      <c r="DO299" s="46"/>
      <c r="DP299" s="46"/>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s="52"/>
      <c r="AAA299" s="192"/>
      <c r="AAD299" s="90"/>
      <c r="AAE299" s="520">
        <f>IF(AND(S.AC.InvolveMeeting3="Y",S.AC.CommitteeInvolved="Y"),1,0)</f>
        <v>0</v>
      </c>
      <c r="AAF299" s="90"/>
      <c r="AAG299" s="73">
        <f>S.AC.DateMeeting4</f>
        <v>16</v>
      </c>
      <c r="AAH299" s="73">
        <f t="shared" ref="AAH299:AAH300" si="243">G299</f>
        <v>16</v>
      </c>
      <c r="AAI299" s="72"/>
      <c r="AAJ299" s="72"/>
      <c r="AAK299" s="80" t="str">
        <f>S.Staff.Lead&amp;" drafts AC.MINUTES"&amp;TEXT(S.AC.DateMeeting1,"mm.dd.yy")</f>
        <v>AndreaRW drafts AC.MINUTES01.16.00</v>
      </c>
      <c r="AAL299" s="90"/>
    </row>
    <row r="300" spans="1:714" s="23" customFormat="1" ht="15" hidden="1" customHeight="1" outlineLevel="2" thickBot="1">
      <c r="A300" s="171"/>
      <c r="B300" s="616" t="s">
        <v>158</v>
      </c>
      <c r="C300" s="425" t="s">
        <v>0</v>
      </c>
      <c r="D300" s="380"/>
      <c r="E300" s="342">
        <f t="shared" si="242"/>
        <v>1</v>
      </c>
      <c r="F300" s="457">
        <f t="shared" ca="1" si="239"/>
        <v>0</v>
      </c>
      <c r="G300" s="451">
        <f>AAG300</f>
        <v>16</v>
      </c>
      <c r="H300" s="343">
        <f t="shared" si="241"/>
        <v>16</v>
      </c>
      <c r="I300" s="244"/>
      <c r="J300" s="193"/>
      <c r="K300" s="193"/>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G300" s="46"/>
      <c r="DH300" s="46"/>
      <c r="DI300" s="46"/>
      <c r="DJ300" s="46"/>
      <c r="DK300" s="46"/>
      <c r="DL300" s="46"/>
      <c r="DM300" s="46"/>
      <c r="DN300" s="46"/>
      <c r="DO300" s="46"/>
      <c r="DP300" s="46"/>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s="52"/>
      <c r="AAA300" s="192"/>
      <c r="AAD300" s="90"/>
      <c r="AAE300" s="520">
        <f>IF(AND(S.AC.InvolveMeeting3="Y",S.AC.CommitteeInvolved="Y"),1,0)</f>
        <v>0</v>
      </c>
      <c r="AAF300" s="90"/>
      <c r="AAG300" s="73">
        <f>S.AC.DateMeeting4</f>
        <v>16</v>
      </c>
      <c r="AAH300" s="73">
        <f t="shared" si="243"/>
        <v>16</v>
      </c>
      <c r="AAI300" s="72"/>
      <c r="AAJ300" s="72"/>
      <c r="AAK300" s="55"/>
      <c r="AAL300" s="90"/>
    </row>
    <row r="301" spans="1:714" s="23" customFormat="1" ht="15" hidden="1" customHeight="1" outlineLevel="1" collapsed="1" thickBot="1">
      <c r="A301" s="171"/>
      <c r="B301" s="528" t="s">
        <v>223</v>
      </c>
      <c r="C301" s="377" t="s">
        <v>303</v>
      </c>
      <c r="D301" s="515"/>
      <c r="E301" s="515"/>
      <c r="F301" s="527"/>
      <c r="G301" s="339">
        <f>AAG301</f>
        <v>16</v>
      </c>
      <c r="H301" s="455" t="s">
        <v>54</v>
      </c>
      <c r="I301" s="244"/>
      <c r="J301" s="193"/>
      <c r="K301" s="193"/>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s="52"/>
      <c r="AAA301" s="192"/>
      <c r="AAB301"/>
      <c r="AAC301"/>
      <c r="AAD301" s="90"/>
      <c r="AAE301" s="520">
        <f>IF(AND(S.AC.InvolveMeeting5="Y",S.AC.CommitteeInvolved="Y"),1,0)</f>
        <v>0</v>
      </c>
      <c r="AAF301" s="190" t="s">
        <v>52</v>
      </c>
      <c r="AAG301" s="73">
        <f>S.AC.DateMeeting4</f>
        <v>16</v>
      </c>
      <c r="AAH301" s="39" t="s">
        <v>0</v>
      </c>
      <c r="AAI301" s="39"/>
      <c r="AAJ301" s="55"/>
      <c r="AAK301" s="55"/>
      <c r="AAL301" s="90"/>
    </row>
    <row r="302" spans="1:714" s="23" customFormat="1" ht="15" hidden="1" customHeight="1" outlineLevel="2">
      <c r="A302" s="171"/>
      <c r="B302" s="613" t="s">
        <v>154</v>
      </c>
      <c r="C302" s="346"/>
      <c r="D302" s="380"/>
      <c r="E302" s="342">
        <f t="shared" ref="E302" si="244">NETWORKDAYS(G302,H302,S.DDL_DEQClosed)</f>
        <v>1</v>
      </c>
      <c r="F302" s="457">
        <f ca="1">IF(YEAR(H302)&gt;2000,NETWORKDAYS(TODAY(),H302,S.DDL_DEQClosed),0)</f>
        <v>0</v>
      </c>
      <c r="G302" s="451">
        <f t="shared" ref="G302" si="245">AAG302</f>
        <v>2</v>
      </c>
      <c r="H302" s="343">
        <f t="shared" ref="H302" si="246">AAH302</f>
        <v>2</v>
      </c>
      <c r="I302" s="244"/>
      <c r="J302" s="193"/>
      <c r="K302" s="193"/>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G302" s="46"/>
      <c r="DH302" s="46"/>
      <c r="DI302" s="46"/>
      <c r="DJ302" s="46"/>
      <c r="DK302" s="46"/>
      <c r="DL302" s="46"/>
      <c r="DM302" s="46"/>
      <c r="DN302" s="46"/>
      <c r="DO302" s="46"/>
      <c r="DP302" s="46"/>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s="52"/>
      <c r="AAA302" s="192"/>
      <c r="AAD302" s="90"/>
      <c r="AAE302" s="520">
        <f>IF(AND(S.AC.InvolveMeeting5="Y",S.AC.CommitteeInvolved="Y"),1,0)</f>
        <v>0</v>
      </c>
      <c r="AAF302" s="90"/>
      <c r="AAG302" s="73">
        <f>WORKDAY(S.AC.DateMeeting5-13,-1,S.DDL_DEQClosed)</f>
        <v>2</v>
      </c>
      <c r="AAH302" s="73">
        <f t="shared" ref="AAH302" si="247">G302</f>
        <v>2</v>
      </c>
      <c r="AAI302" s="60"/>
      <c r="AAJ302" s="55"/>
      <c r="AAK302" s="39"/>
      <c r="AAL302" s="90"/>
    </row>
    <row r="303" spans="1:714" s="23" customFormat="1" ht="15" hidden="1" customHeight="1" outlineLevel="2">
      <c r="A303" s="171"/>
      <c r="B303" s="384" t="str">
        <f>AAK303</f>
        <v>AndreaRW coordinates or drafts:</v>
      </c>
      <c r="C303" s="346"/>
      <c r="D303" s="374"/>
      <c r="E303" s="350"/>
      <c r="F303" s="350"/>
      <c r="G303" s="346"/>
      <c r="H303" s="409"/>
      <c r="I303" s="244"/>
      <c r="J303" s="193"/>
      <c r="K303" s="193"/>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s="52"/>
      <c r="AAA303" s="192"/>
      <c r="AAD303" s="90"/>
      <c r="AAE303" s="520">
        <f>IF(AND(S.AC.InvolveMeeting5="Y",S.AC.CommitteeInvolved="Y"),1,0)</f>
        <v>0</v>
      </c>
      <c r="AAF303" s="190" t="s">
        <v>52</v>
      </c>
      <c r="AAG303" s="60"/>
      <c r="AAH303" s="71"/>
      <c r="AAI303" s="71"/>
      <c r="AAJ303" s="55"/>
      <c r="AAK303" s="80" t="str">
        <f>S.Staff.Lead&amp;" coordinates or drafts:"</f>
        <v>AndreaRW coordinates or drafts:</v>
      </c>
      <c r="AAL303" s="90"/>
    </row>
    <row r="304" spans="1:714" s="23" customFormat="1" ht="15" hidden="1" customHeight="1" outlineLevel="2">
      <c r="A304" s="171"/>
      <c r="B304" s="437" t="str">
        <f>AAK304</f>
        <v>* AC.AGENDA.01.16.00, gets team agreement</v>
      </c>
      <c r="C304" s="790" t="str">
        <f>HYPERLINK("\\deq000\templates\General\Agenda Template.dotx","i")</f>
        <v>i</v>
      </c>
      <c r="D304" s="511"/>
      <c r="E304" s="342">
        <f t="shared" ref="E304:E307" si="248">NETWORKDAYS(G304,H304,S.DDL_DEQClosed)</f>
        <v>1</v>
      </c>
      <c r="F304" s="457">
        <f t="shared" ref="F304:F307" ca="1" si="249">IF(YEAR(H304)&gt;2000,NETWORKDAYS(TODAY(),H304,S.DDL_DEQClosed),0)</f>
        <v>0</v>
      </c>
      <c r="G304" s="451">
        <f t="shared" ref="G304:G311" si="250">AAG304</f>
        <v>2</v>
      </c>
      <c r="H304" s="343">
        <f t="shared" ref="H304:H307" si="251">AAH304</f>
        <v>2</v>
      </c>
      <c r="I304" s="244"/>
      <c r="J304" s="193"/>
      <c r="K304" s="193"/>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s="52"/>
      <c r="AAA304" s="192"/>
      <c r="AAD304" s="90"/>
      <c r="AAE304" s="520">
        <f>IF(AND(S.AC.InvolveMeeting1="Y",S.AC.CommitteeInvolved="Y"),1,0)</f>
        <v>0</v>
      </c>
      <c r="AAF304" s="90" t="s">
        <v>0</v>
      </c>
      <c r="AAG304" s="73">
        <f>G302</f>
        <v>2</v>
      </c>
      <c r="AAH304" s="73">
        <f>G304</f>
        <v>2</v>
      </c>
      <c r="AAI304" s="72"/>
      <c r="AAJ304" s="74"/>
      <c r="AAK304" s="80" t="str">
        <f>"* AC.AGENDA."&amp; TEXT(S.AC.DateMeeting1,"mm.dd.yy")&amp;", gets team agreement"</f>
        <v>* AC.AGENDA.01.16.00, gets team agreement</v>
      </c>
      <c r="AAL304" s="90"/>
    </row>
    <row r="305" spans="1:714" s="23" customFormat="1" ht="15" hidden="1" customHeight="1" outlineLevel="2">
      <c r="A305" s="171"/>
      <c r="B305" s="437" t="str">
        <f>AAK305</f>
        <v>* AC.NOTIFICATION.01.16.00</v>
      </c>
      <c r="C305" s="362" t="s">
        <v>0</v>
      </c>
      <c r="D305" s="380"/>
      <c r="E305" s="342">
        <f t="shared" si="248"/>
        <v>1</v>
      </c>
      <c r="F305" s="457">
        <f t="shared" ca="1" si="249"/>
        <v>0</v>
      </c>
      <c r="G305" s="451">
        <f t="shared" si="250"/>
        <v>2</v>
      </c>
      <c r="H305" s="343">
        <f t="shared" si="251"/>
        <v>2</v>
      </c>
      <c r="I305" s="244"/>
      <c r="J305" s="193"/>
      <c r="K305" s="193"/>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s="52"/>
      <c r="AAA305" s="192"/>
      <c r="AAD305" s="90"/>
      <c r="AAE305" s="520">
        <f>IF(AND(S.AC.InvolveMeeting1="Y",S.AC.CommitteeInvolved="Y"),1,0)</f>
        <v>0</v>
      </c>
      <c r="AAF305" s="90" t="s">
        <v>0</v>
      </c>
      <c r="AAG305" s="73">
        <f>G304</f>
        <v>2</v>
      </c>
      <c r="AAH305" s="73">
        <f t="shared" ref="AAH305:AAH307" si="252">G305</f>
        <v>2</v>
      </c>
      <c r="AAI305" s="72"/>
      <c r="AAJ305" s="72"/>
      <c r="AAK305" s="80" t="str">
        <f>"* AC.NOTIFICATION."&amp;TEXT(S.AC.DateMeeting1,"mm.dd.yy")</f>
        <v>* AC.NOTIFICATION.01.16.00</v>
      </c>
      <c r="AAL305" s="90"/>
    </row>
    <row r="306" spans="1:714" s="23" customFormat="1" ht="15" hidden="1" customHeight="1" outlineLevel="2">
      <c r="A306" s="171"/>
      <c r="B306" s="441" t="s">
        <v>318</v>
      </c>
      <c r="C306" s="790" t="str">
        <f>HYPERLINK("http://deq05/intranet/contentmanagement/login.asp","i")</f>
        <v>i</v>
      </c>
      <c r="D306" s="512"/>
      <c r="E306" s="342">
        <f t="shared" si="248"/>
        <v>1</v>
      </c>
      <c r="F306" s="457">
        <f t="shared" ca="1" si="249"/>
        <v>0</v>
      </c>
      <c r="G306" s="451">
        <f t="shared" si="250"/>
        <v>2</v>
      </c>
      <c r="H306" s="343">
        <f t="shared" si="251"/>
        <v>2</v>
      </c>
      <c r="I306" s="244"/>
      <c r="J306" s="193"/>
      <c r="K306" s="193"/>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s="52"/>
      <c r="AAA306" s="192" t="s">
        <v>0</v>
      </c>
      <c r="AAD306" s="90"/>
      <c r="AAE306" s="520">
        <f>IF(AND(S.AC.InvolveMeeting1="Y",S.AC.CommitteeInvolved="Y"),1,0)</f>
        <v>0</v>
      </c>
      <c r="AAF306" s="90" t="s">
        <v>0</v>
      </c>
      <c r="AAG306" s="73">
        <f t="shared" ref="AAG306:AAG311" si="253">G305</f>
        <v>2</v>
      </c>
      <c r="AAH306" s="73">
        <f t="shared" si="252"/>
        <v>2</v>
      </c>
      <c r="AAI306" s="60"/>
      <c r="AAJ306" s="55"/>
      <c r="AAK306" s="55"/>
      <c r="AAL306" s="90"/>
    </row>
    <row r="307" spans="1:714" s="23" customFormat="1" ht="15" hidden="1" customHeight="1" outlineLevel="2">
      <c r="A307" s="171"/>
      <c r="B307" s="407" t="s">
        <v>241</v>
      </c>
      <c r="C307" s="362" t="s">
        <v>0</v>
      </c>
      <c r="D307" s="380"/>
      <c r="E307" s="342">
        <f t="shared" si="248"/>
        <v>1</v>
      </c>
      <c r="F307" s="457">
        <f t="shared" ca="1" si="249"/>
        <v>0</v>
      </c>
      <c r="G307" s="451">
        <f t="shared" si="250"/>
        <v>2</v>
      </c>
      <c r="H307" s="343">
        <f t="shared" si="251"/>
        <v>2</v>
      </c>
      <c r="I307" s="244"/>
      <c r="J307" s="193"/>
      <c r="K307" s="193"/>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s="52"/>
      <c r="AAA307" s="192"/>
      <c r="AAD307" s="90"/>
      <c r="AAE307" s="520">
        <f>IF(AND(S.AC.InvolveMeeting1="Y",S.AC.CommitteeInvolved="Y"),1,0)</f>
        <v>0</v>
      </c>
      <c r="AAF307" s="90" t="s">
        <v>0</v>
      </c>
      <c r="AAG307" s="73">
        <f t="shared" si="253"/>
        <v>2</v>
      </c>
      <c r="AAH307" s="73">
        <f t="shared" si="252"/>
        <v>2</v>
      </c>
      <c r="AAI307" s="60"/>
      <c r="AAJ307" s="55"/>
      <c r="AAK307" s="55"/>
      <c r="AAL307" s="90"/>
    </row>
    <row r="308" spans="1:714" s="23" customFormat="1" ht="15" hidden="1" customHeight="1" outlineLevel="2">
      <c r="A308" s="171"/>
      <c r="B308" s="615" t="s">
        <v>155</v>
      </c>
      <c r="C308" s="362" t="s">
        <v>0</v>
      </c>
      <c r="D308" s="380"/>
      <c r="E308" s="342">
        <f t="shared" ref="E308:E311" si="254">NETWORKDAYS(G308,H308,S.DDL_DEQClosed)</f>
        <v>1</v>
      </c>
      <c r="F308" s="457">
        <f t="shared" ref="F308:F311" ca="1" si="255">IF(YEAR(H308)&gt;2000,NETWORKDAYS(TODAY(),H308,S.DDL_DEQClosed),0)</f>
        <v>0</v>
      </c>
      <c r="G308" s="451">
        <f t="shared" si="250"/>
        <v>2</v>
      </c>
      <c r="H308" s="343">
        <f t="shared" ref="H308:H311" si="256">AAH308</f>
        <v>2</v>
      </c>
      <c r="I308" s="244"/>
      <c r="J308" s="193"/>
      <c r="K308" s="193"/>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s="52"/>
      <c r="AAA308" s="192"/>
      <c r="AAD308" s="90"/>
      <c r="AAE308" s="520">
        <f>IF(AND(S.AC.InvolveMeeting5="Y",S.AC.CommitteeInvolved="Y"),1,0)</f>
        <v>0</v>
      </c>
      <c r="AAF308" s="90" t="s">
        <v>0</v>
      </c>
      <c r="AAG308" s="73">
        <f t="shared" si="253"/>
        <v>2</v>
      </c>
      <c r="AAH308" s="73">
        <f>G308</f>
        <v>2</v>
      </c>
      <c r="AAI308" s="60"/>
      <c r="AAJ308" s="55"/>
      <c r="AAK308" s="55"/>
      <c r="AAL308" s="90"/>
    </row>
    <row r="309" spans="1:714" s="23" customFormat="1" ht="15" hidden="1" customHeight="1" outlineLevel="2">
      <c r="A309" s="171"/>
      <c r="B309" s="615" t="s">
        <v>155</v>
      </c>
      <c r="C309" s="362" t="s">
        <v>0</v>
      </c>
      <c r="D309" s="380"/>
      <c r="E309" s="342">
        <f t="shared" si="254"/>
        <v>1</v>
      </c>
      <c r="F309" s="457">
        <f t="shared" ca="1" si="255"/>
        <v>0</v>
      </c>
      <c r="G309" s="451">
        <f t="shared" si="250"/>
        <v>2</v>
      </c>
      <c r="H309" s="343">
        <f t="shared" si="256"/>
        <v>2</v>
      </c>
      <c r="I309" s="244"/>
      <c r="J309" s="193"/>
      <c r="K309" s="193"/>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s="52"/>
      <c r="AAA309" s="192"/>
      <c r="AAD309" s="90"/>
      <c r="AAE309" s="520">
        <f>IF(AND(S.AC.InvolveMeeting5="Y",S.AC.CommitteeInvolved="Y"),1,0)</f>
        <v>0</v>
      </c>
      <c r="AAF309" s="90" t="s">
        <v>0</v>
      </c>
      <c r="AAG309" s="73">
        <f t="shared" si="253"/>
        <v>2</v>
      </c>
      <c r="AAH309" s="73">
        <f>G309</f>
        <v>2</v>
      </c>
      <c r="AAI309" s="60"/>
      <c r="AAJ309" s="55"/>
      <c r="AAK309" s="55"/>
      <c r="AAL309" s="90"/>
    </row>
    <row r="310" spans="1:714" s="23" customFormat="1" ht="15" hidden="1" customHeight="1" outlineLevel="2">
      <c r="A310" s="171"/>
      <c r="B310" s="615" t="s">
        <v>155</v>
      </c>
      <c r="C310" s="362" t="s">
        <v>0</v>
      </c>
      <c r="D310" s="380"/>
      <c r="E310" s="342">
        <f t="shared" si="254"/>
        <v>1</v>
      </c>
      <c r="F310" s="457">
        <f t="shared" ca="1" si="255"/>
        <v>0</v>
      </c>
      <c r="G310" s="451">
        <f t="shared" si="250"/>
        <v>2</v>
      </c>
      <c r="H310" s="343">
        <f t="shared" si="256"/>
        <v>2</v>
      </c>
      <c r="I310" s="244"/>
      <c r="J310" s="193"/>
      <c r="K310" s="193"/>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s="52"/>
      <c r="AAA310" s="192"/>
      <c r="AAD310" s="90"/>
      <c r="AAE310" s="520">
        <f>IF(AND(S.AC.InvolveMeeting5="Y",S.AC.CommitteeInvolved="Y"),1,0)</f>
        <v>0</v>
      </c>
      <c r="AAF310" s="90" t="s">
        <v>0</v>
      </c>
      <c r="AAG310" s="73">
        <f t="shared" si="253"/>
        <v>2</v>
      </c>
      <c r="AAH310" s="73">
        <f>G310</f>
        <v>2</v>
      </c>
      <c r="AAI310" s="60"/>
      <c r="AAJ310" s="55"/>
      <c r="AAK310" s="55"/>
      <c r="AAL310" s="90"/>
    </row>
    <row r="311" spans="1:714" s="23" customFormat="1" ht="15" hidden="1" customHeight="1" outlineLevel="2" thickBot="1">
      <c r="A311" s="171"/>
      <c r="B311" s="615" t="s">
        <v>155</v>
      </c>
      <c r="C311" s="362" t="s">
        <v>0</v>
      </c>
      <c r="D311" s="380"/>
      <c r="E311" s="342">
        <f t="shared" si="254"/>
        <v>1</v>
      </c>
      <c r="F311" s="457">
        <f t="shared" ca="1" si="255"/>
        <v>0</v>
      </c>
      <c r="G311" s="451">
        <f t="shared" si="250"/>
        <v>2</v>
      </c>
      <c r="H311" s="343">
        <f t="shared" si="256"/>
        <v>2</v>
      </c>
      <c r="I311" s="244"/>
      <c r="J311" s="193"/>
      <c r="K311" s="193"/>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s="52"/>
      <c r="AAA311" s="192"/>
      <c r="AAD311" s="90"/>
      <c r="AAE311" s="520">
        <f>IF(AND(S.AC.InvolveMeeting5="Y",S.AC.CommitteeInvolved="Y"),1,0)</f>
        <v>0</v>
      </c>
      <c r="AAF311" s="90" t="s">
        <v>0</v>
      </c>
      <c r="AAG311" s="73">
        <f t="shared" si="253"/>
        <v>2</v>
      </c>
      <c r="AAH311" s="73">
        <f>G311</f>
        <v>2</v>
      </c>
      <c r="AAI311" s="60"/>
      <c r="AAJ311" s="55"/>
      <c r="AAK311" s="55"/>
      <c r="AAL311" s="90"/>
    </row>
    <row r="312" spans="1:714" s="23" customFormat="1" ht="15" hidden="1" customHeight="1" outlineLevel="3" thickBot="1">
      <c r="A312" s="171"/>
      <c r="B312" s="661" t="s">
        <v>216</v>
      </c>
      <c r="C312" s="377" t="s">
        <v>17</v>
      </c>
      <c r="D312" s="452"/>
      <c r="E312" s="453"/>
      <c r="F312" s="453"/>
      <c r="G312" s="453"/>
      <c r="H312" s="453"/>
      <c r="I312" s="244"/>
      <c r="J312" s="193"/>
      <c r="K312" s="193"/>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s="52"/>
      <c r="AAA312" s="192"/>
      <c r="AAD312" s="90"/>
      <c r="AAE312" s="520">
        <f>IF(AND(S.AC.InvolveMeeting5="Y",S.AC.CommitteeInvolved="Y",S.AC.Presentation5="Y"),1,0)</f>
        <v>0</v>
      </c>
      <c r="AAF312" s="190" t="s">
        <v>52</v>
      </c>
      <c r="AAG312" s="39"/>
      <c r="AAH312" s="39"/>
      <c r="AAI312" s="39"/>
      <c r="AAJ312" s="55"/>
      <c r="AAK312" s="55"/>
      <c r="AAL312" s="90"/>
    </row>
    <row r="313" spans="1:714" s="23" customFormat="1" ht="15" hidden="1" customHeight="1" outlineLevel="3">
      <c r="A313" s="171"/>
      <c r="B313" s="662" t="s">
        <v>156</v>
      </c>
      <c r="C313" s="362" t="s">
        <v>0</v>
      </c>
      <c r="D313" s="454"/>
      <c r="E313" s="442"/>
      <c r="F313" s="442"/>
      <c r="G313" s="442"/>
      <c r="H313" s="442"/>
      <c r="I313" s="244"/>
      <c r="J313" s="193"/>
      <c r="K313" s="193"/>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s="52"/>
      <c r="AAA313" s="192"/>
      <c r="AAD313" s="90"/>
      <c r="AAE313" s="520">
        <f t="shared" ref="AAE313:AAE319" si="257">IF(AND(S.AC.InvolveMeeting1="Y",S.AC.CommitteeInvolved="Y",S.AC.Presentation1="Y"),1,0)</f>
        <v>0</v>
      </c>
      <c r="AAF313" s="190" t="s">
        <v>52</v>
      </c>
      <c r="AAG313" s="39"/>
      <c r="AAH313" s="39"/>
      <c r="AAI313" s="60"/>
      <c r="AAJ313" s="55"/>
      <c r="AAK313" s="55"/>
      <c r="AAL313" s="90"/>
    </row>
    <row r="314" spans="1:714" s="23" customFormat="1" ht="15" hidden="1" customHeight="1" outlineLevel="3">
      <c r="A314" s="171"/>
      <c r="B314" s="663" t="str">
        <f>AAK314</f>
        <v>* drafts optional AC.PRESENTATION.01.16.00</v>
      </c>
      <c r="C314" s="790" t="str">
        <f>HYPERLINK("http://deq05/intranet/communication/docs/DEQAgencyTemplate1.potx","i")</f>
        <v>i</v>
      </c>
      <c r="D314" s="511"/>
      <c r="E314" s="342">
        <f>NETWORKDAYS(G314,H314,S.DDL_DEQClosed)</f>
        <v>1</v>
      </c>
      <c r="F314" s="457">
        <f ca="1">IF(YEAR(H314)&gt;2000,NETWORKDAYS(TODAY(),H314,S.DDL_DEQClosed),0)</f>
        <v>0</v>
      </c>
      <c r="G314" s="451">
        <f t="shared" ref="G314" si="258">AAG314</f>
        <v>2</v>
      </c>
      <c r="H314" s="343">
        <f>AAH314</f>
        <v>2</v>
      </c>
      <c r="I314" s="244"/>
      <c r="J314" s="193"/>
      <c r="K314" s="193"/>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s="52"/>
      <c r="AAA314" s="192"/>
      <c r="AAD314" s="90"/>
      <c r="AAE314" s="520">
        <f t="shared" si="257"/>
        <v>0</v>
      </c>
      <c r="AAF314" s="90" t="s">
        <v>0</v>
      </c>
      <c r="AAG314" s="73">
        <f>G311</f>
        <v>2</v>
      </c>
      <c r="AAH314" s="73">
        <f>G314</f>
        <v>2</v>
      </c>
      <c r="AAI314" s="60"/>
      <c r="AAJ314" s="55"/>
      <c r="AAK314" s="92" t="str">
        <f>"* drafts optional AC.PRESENTATION."&amp;TEXT($G$209,"mm.dd.yy")</f>
        <v>* drafts optional AC.PRESENTATION.01.16.00</v>
      </c>
      <c r="AAL314" s="90"/>
    </row>
    <row r="315" spans="1:714" s="23" customFormat="1" ht="15" hidden="1" customHeight="1" outlineLevel="3">
      <c r="A315" s="171"/>
      <c r="B315" s="662" t="s">
        <v>156</v>
      </c>
      <c r="C315" s="362" t="s">
        <v>0</v>
      </c>
      <c r="D315" s="454"/>
      <c r="E315" s="453"/>
      <c r="F315" s="453"/>
      <c r="G315" s="453"/>
      <c r="H315" s="453"/>
      <c r="I315" s="244"/>
      <c r="J315" s="193"/>
      <c r="K315" s="193"/>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s="52"/>
      <c r="AAA315" s="192"/>
      <c r="AAD315" s="90"/>
      <c r="AAE315" s="520">
        <f t="shared" si="257"/>
        <v>0</v>
      </c>
      <c r="AAF315" s="190" t="s">
        <v>52</v>
      </c>
      <c r="AAG315" s="39"/>
      <c r="AAH315" s="39"/>
      <c r="AAI315" s="60"/>
      <c r="AAJ315" s="55"/>
      <c r="AAK315" s="55"/>
      <c r="AAL315" s="90"/>
    </row>
    <row r="316" spans="1:714" s="23" customFormat="1" ht="15" hidden="1" customHeight="1" outlineLevel="3">
      <c r="A316" s="171"/>
      <c r="B316" s="664" t="s">
        <v>240</v>
      </c>
      <c r="C316" s="362" t="s">
        <v>0</v>
      </c>
      <c r="D316" s="380"/>
      <c r="E316" s="342">
        <f t="shared" ref="E316" si="259">NETWORKDAYS(G316,H316,S.DDL_DEQClosed)</f>
        <v>1</v>
      </c>
      <c r="F316" s="457">
        <f ca="1">IF(YEAR(H316)&gt;2000,NETWORKDAYS(TODAY(),H316,S.DDL_DEQClosed),0)</f>
        <v>0</v>
      </c>
      <c r="G316" s="451">
        <f t="shared" ref="G316:G320" si="260">AAG316</f>
        <v>2</v>
      </c>
      <c r="H316" s="343">
        <f t="shared" ref="H316:H319" si="261">AAH316</f>
        <v>2</v>
      </c>
      <c r="I316" s="244"/>
      <c r="J316" s="193"/>
      <c r="K316" s="193"/>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s="52"/>
      <c r="AAA316" s="192"/>
      <c r="AAD316" s="90"/>
      <c r="AAE316" s="520">
        <f t="shared" si="257"/>
        <v>0</v>
      </c>
      <c r="AAF316" s="90" t="s">
        <v>0</v>
      </c>
      <c r="AAG316" s="73">
        <f>G314</f>
        <v>2</v>
      </c>
      <c r="AAH316" s="73">
        <f t="shared" ref="AAH316" si="262">G316</f>
        <v>2</v>
      </c>
      <c r="AAI316" s="60"/>
      <c r="AAJ316" s="55"/>
      <c r="AAK316" s="55"/>
      <c r="AAL316" s="90"/>
    </row>
    <row r="317" spans="1:714" s="23" customFormat="1" ht="15" hidden="1" customHeight="1" outlineLevel="3">
      <c r="A317" s="171"/>
      <c r="B317" s="665" t="s">
        <v>319</v>
      </c>
      <c r="C317" s="362" t="s">
        <v>0</v>
      </c>
      <c r="D317" s="380"/>
      <c r="E317" s="342">
        <f>NETWORKDAYS(G317,H317,S.DDL_DEQClosed)</f>
        <v>1</v>
      </c>
      <c r="F317" s="457">
        <f ca="1">IF(YEAR(H317)&gt;2000,NETWORKDAYS(TODAY(),H317,S.DDL_DEQClosed),0)</f>
        <v>0</v>
      </c>
      <c r="G317" s="451">
        <f t="shared" si="260"/>
        <v>2</v>
      </c>
      <c r="H317" s="343">
        <f t="shared" si="261"/>
        <v>2</v>
      </c>
      <c r="I317" s="244"/>
      <c r="J317" s="193"/>
      <c r="K317" s="193"/>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s="52"/>
      <c r="AAA317" s="192"/>
      <c r="AAD317" s="90"/>
      <c r="AAE317" s="520">
        <f t="shared" si="257"/>
        <v>0</v>
      </c>
      <c r="AAF317" s="90" t="s">
        <v>0</v>
      </c>
      <c r="AAG317" s="73">
        <f>G316</f>
        <v>2</v>
      </c>
      <c r="AAH317" s="73">
        <f>G317</f>
        <v>2</v>
      </c>
      <c r="AAI317" s="60" t="s">
        <v>0</v>
      </c>
      <c r="AAJ317" s="55"/>
      <c r="AAK317" s="55"/>
      <c r="AAL317" s="90"/>
    </row>
    <row r="318" spans="1:714" s="23" customFormat="1" ht="15" hidden="1" customHeight="1" outlineLevel="3">
      <c r="A318" s="171"/>
      <c r="B318" s="666" t="str">
        <f>AAK318</f>
        <v>AndreaRW submits Web Request to post materials</v>
      </c>
      <c r="C318" s="792" t="str">
        <f>HYPERLINK("http://deq05/intranet/communication/WebRequests.htm","i")</f>
        <v>i</v>
      </c>
      <c r="D318" s="380"/>
      <c r="E318" s="342">
        <f>NETWORKDAYS(G318,H318,S.DDL_DEQClosed)</f>
        <v>1</v>
      </c>
      <c r="F318" s="457">
        <f t="shared" ref="F318:F323" ca="1" si="263">IF(YEAR(H318)&gt;2000,NETWORKDAYS(TODAY(),H318,S.DDL_DEQClosed),0)</f>
        <v>0</v>
      </c>
      <c r="G318" s="451">
        <f t="shared" si="260"/>
        <v>2</v>
      </c>
      <c r="H318" s="343">
        <f t="shared" si="261"/>
        <v>2</v>
      </c>
      <c r="I318" s="244"/>
      <c r="J318" s="193"/>
      <c r="K318" s="193"/>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s="52"/>
      <c r="AAA318" s="192"/>
      <c r="AAD318" s="90"/>
      <c r="AAE318" s="520">
        <f t="shared" si="257"/>
        <v>0</v>
      </c>
      <c r="AAF318" s="90" t="s">
        <v>0</v>
      </c>
      <c r="AAG318" s="73">
        <f t="shared" ref="AAG318:AAG320" si="264">G317</f>
        <v>2</v>
      </c>
      <c r="AAH318" s="73">
        <f>G318</f>
        <v>2</v>
      </c>
      <c r="AAI318" s="60"/>
      <c r="AAJ318" s="55"/>
      <c r="AAK318" s="92" t="str">
        <f>S.Staff.Lead&amp;" submits Web Request to post materials"</f>
        <v>AndreaRW submits Web Request to post materials</v>
      </c>
      <c r="AAL318" s="90"/>
    </row>
    <row r="319" spans="1:714" s="23" customFormat="1" ht="15" hidden="1" customHeight="1" outlineLevel="3">
      <c r="A319" s="171"/>
      <c r="B319" s="665" t="s">
        <v>159</v>
      </c>
      <c r="C319" s="425" t="s">
        <v>0</v>
      </c>
      <c r="D319" s="380"/>
      <c r="E319" s="342">
        <f>NETWORKDAYS(G319,H319,S.DDL_DEQClosed)</f>
        <v>1</v>
      </c>
      <c r="F319" s="457">
        <f t="shared" ca="1" si="263"/>
        <v>0</v>
      </c>
      <c r="G319" s="451">
        <f t="shared" si="260"/>
        <v>2</v>
      </c>
      <c r="H319" s="343">
        <f t="shared" si="261"/>
        <v>2</v>
      </c>
      <c r="I319" s="244"/>
      <c r="J319" s="193"/>
      <c r="K319" s="193"/>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c r="DE319" s="46"/>
      <c r="DF319" s="46"/>
      <c r="DG319" s="46"/>
      <c r="DH319" s="46"/>
      <c r="DI319" s="46"/>
      <c r="DJ319" s="46"/>
      <c r="DK319" s="46"/>
      <c r="DL319" s="46"/>
      <c r="DM319" s="46"/>
      <c r="DN319" s="46"/>
      <c r="DO319" s="46"/>
      <c r="DP319" s="46"/>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s="52"/>
      <c r="AAA319" s="192"/>
      <c r="AAD319" s="90"/>
      <c r="AAE319" s="520">
        <f t="shared" si="257"/>
        <v>0</v>
      </c>
      <c r="AAF319" s="90"/>
      <c r="AAG319" s="73">
        <f t="shared" si="264"/>
        <v>2</v>
      </c>
      <c r="AAH319" s="73">
        <f>G319</f>
        <v>2</v>
      </c>
      <c r="AAI319" s="72"/>
      <c r="AAJ319" s="72"/>
      <c r="AAK319" s="55"/>
      <c r="AAL319" s="90"/>
    </row>
    <row r="320" spans="1:714" s="23" customFormat="1" ht="15" hidden="1" customHeight="1" outlineLevel="2">
      <c r="A320" s="171"/>
      <c r="B320" s="486" t="str">
        <f>AAK320</f>
        <v>AndreaRW sends meeting notice with link to Web page</v>
      </c>
      <c r="C320" s="425" t="s">
        <v>0</v>
      </c>
      <c r="D320" s="380"/>
      <c r="E320" s="342">
        <f>NETWORKDAYS(G320,H320,S.DDL_DEQClosed)</f>
        <v>1</v>
      </c>
      <c r="F320" s="457">
        <f t="shared" ca="1" si="263"/>
        <v>0</v>
      </c>
      <c r="G320" s="451">
        <f t="shared" si="260"/>
        <v>2</v>
      </c>
      <c r="H320" s="343">
        <f t="shared" ref="H320:H323" si="265">AAH320</f>
        <v>2</v>
      </c>
      <c r="I320" s="244"/>
      <c r="J320" s="193"/>
      <c r="K320" s="193"/>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46"/>
      <c r="DG320" s="46"/>
      <c r="DH320" s="46"/>
      <c r="DI320" s="46"/>
      <c r="DJ320" s="46"/>
      <c r="DK320" s="46"/>
      <c r="DL320" s="46"/>
      <c r="DM320" s="46"/>
      <c r="DN320" s="46"/>
      <c r="DO320" s="46"/>
      <c r="DP320" s="46"/>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s="52"/>
      <c r="AAA320" s="192"/>
      <c r="AAD320" s="90"/>
      <c r="AAE320" s="520">
        <f>IF(AND(S.AC.InvolveMeeting3="Y",S.AC.CommitteeInvolved="Y"),1,0)</f>
        <v>0</v>
      </c>
      <c r="AAF320" s="90"/>
      <c r="AAG320" s="73">
        <f t="shared" si="264"/>
        <v>2</v>
      </c>
      <c r="AAH320" s="73">
        <f>G320</f>
        <v>2</v>
      </c>
      <c r="AAI320" s="72"/>
      <c r="AAJ320" s="72"/>
      <c r="AAK320" s="92" t="str">
        <f>S.Staff.Lead&amp;" sends meeting notice with link to Web page"</f>
        <v>AndreaRW sends meeting notice with link to Web page</v>
      </c>
      <c r="AAL320" s="90"/>
    </row>
    <row r="321" spans="1:715" s="23" customFormat="1" ht="15" hidden="1" customHeight="1" outlineLevel="2">
      <c r="A321" s="171"/>
      <c r="B321" s="616" t="s">
        <v>157</v>
      </c>
      <c r="C321" s="425" t="s">
        <v>0</v>
      </c>
      <c r="D321" s="843" t="s">
        <v>321</v>
      </c>
      <c r="E321" s="843"/>
      <c r="F321" s="843"/>
      <c r="G321" s="844"/>
      <c r="H321" s="351">
        <f t="shared" si="265"/>
        <v>16</v>
      </c>
      <c r="I321" s="244"/>
      <c r="J321" s="193"/>
      <c r="K321" s="193"/>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c r="DL321" s="46"/>
      <c r="DM321" s="46"/>
      <c r="DN321" s="46"/>
      <c r="DO321" s="46"/>
      <c r="DP321" s="46"/>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s="52"/>
      <c r="AAA321" s="192"/>
      <c r="AAD321" s="90"/>
      <c r="AAE321" s="520">
        <f>IF(AND(S.AC.InvolveMeeting3="Y",S.AC.CommitteeInvolved="Y"),1,0)</f>
        <v>0</v>
      </c>
      <c r="AAF321" s="90"/>
      <c r="AAG321" s="72"/>
      <c r="AAH321" s="73">
        <f>S.AC.DateMeeting5</f>
        <v>16</v>
      </c>
      <c r="AAI321" s="72"/>
      <c r="AAJ321" s="72"/>
      <c r="AAK321" s="55"/>
      <c r="AAL321" s="90"/>
    </row>
    <row r="322" spans="1:715" s="23" customFormat="1" ht="15" hidden="1" customHeight="1" outlineLevel="2">
      <c r="A322" s="171"/>
      <c r="B322" s="486" t="str">
        <f>AAK322</f>
        <v>AndreaRW drafts AC.MINUTES01.16.00</v>
      </c>
      <c r="C322" s="790" t="str">
        <f>HYPERLINK("\\deq000\templates\General\Minutes Template.dotx","i")</f>
        <v>i</v>
      </c>
      <c r="D322" s="511"/>
      <c r="E322" s="342">
        <f t="shared" ref="E322:E323" si="266">NETWORKDAYS(G322,H322,S.DDL_DEQClosed)</f>
        <v>1</v>
      </c>
      <c r="F322" s="457">
        <f t="shared" ca="1" si="263"/>
        <v>0</v>
      </c>
      <c r="G322" s="451">
        <f>AAG322</f>
        <v>16</v>
      </c>
      <c r="H322" s="343">
        <f t="shared" si="265"/>
        <v>16</v>
      </c>
      <c r="I322" s="244"/>
      <c r="J322" s="193"/>
      <c r="K322" s="193"/>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s="52"/>
      <c r="AAA322" s="192"/>
      <c r="AAD322" s="90"/>
      <c r="AAE322" s="520">
        <f>IF(AND(S.AC.InvolveMeeting3="Y",S.AC.CommitteeInvolved="Y"),1,0)</f>
        <v>0</v>
      </c>
      <c r="AAF322" s="90"/>
      <c r="AAG322" s="73">
        <f>S.AC.DateMeeting5</f>
        <v>16</v>
      </c>
      <c r="AAH322" s="73">
        <f t="shared" ref="AAH322:AAH323" si="267">G322</f>
        <v>16</v>
      </c>
      <c r="AAI322" s="72"/>
      <c r="AAJ322" s="72"/>
      <c r="AAK322" s="80" t="str">
        <f>S.Staff.Lead&amp;" drafts AC.MINUTES"&amp;TEXT(S.AC.DateMeeting1,"mm.dd.yy")</f>
        <v>AndreaRW drafts AC.MINUTES01.16.00</v>
      </c>
      <c r="AAL322" s="90"/>
    </row>
    <row r="323" spans="1:715" s="23" customFormat="1" ht="15" hidden="1" customHeight="1" outlineLevel="2">
      <c r="A323" s="171"/>
      <c r="B323" s="616" t="s">
        <v>158</v>
      </c>
      <c r="C323" s="425" t="s">
        <v>0</v>
      </c>
      <c r="D323" s="380"/>
      <c r="E323" s="342">
        <f t="shared" si="266"/>
        <v>1</v>
      </c>
      <c r="F323" s="457">
        <f t="shared" ca="1" si="263"/>
        <v>0</v>
      </c>
      <c r="G323" s="451">
        <f>AAG323</f>
        <v>16</v>
      </c>
      <c r="H323" s="343">
        <f t="shared" si="265"/>
        <v>16</v>
      </c>
      <c r="I323" s="244"/>
      <c r="J323" s="193"/>
      <c r="K323" s="193"/>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s="52"/>
      <c r="AAA323" s="192"/>
      <c r="AAD323" s="90"/>
      <c r="AAE323" s="520">
        <f>IF(AND(S.AC.InvolveMeeting3="Y",S.AC.CommitteeInvolved="Y"),1,0)</f>
        <v>0</v>
      </c>
      <c r="AAF323" s="90"/>
      <c r="AAG323" s="73">
        <f>S.AC.DateMeeting5</f>
        <v>16</v>
      </c>
      <c r="AAH323" s="73">
        <f t="shared" si="267"/>
        <v>16</v>
      </c>
      <c r="AAI323" s="72"/>
      <c r="AAJ323" s="72"/>
      <c r="AAK323" s="55"/>
      <c r="AAL323" s="90"/>
    </row>
    <row r="324" spans="1:715" s="23" customFormat="1" ht="15" hidden="1" customHeight="1" outlineLevel="1" collapsed="1">
      <c r="A324" s="171"/>
      <c r="B324" s="288" t="str">
        <f>AAK324</f>
        <v>AndreaRW gathers all advisory committee emails for the Rule Record and saves as:</v>
      </c>
      <c r="C324" s="789" t="str">
        <f>HYPERLINK("\\deqhq1\Rule_Development\Currrent Plan","i")</f>
        <v>i</v>
      </c>
      <c r="D324" s="380"/>
      <c r="E324" s="342">
        <f t="shared" ref="E324" si="268">NETWORKDAYS(G324,H324,S.DDL_DEQClosed)</f>
        <v>0</v>
      </c>
      <c r="F324" s="457">
        <f t="shared" ref="F324" ca="1" si="269">IF(YEAR(H324)&gt;2000,NETWORKDAYS(TODAY(),H324,S.DDL_DEQClosed),0)</f>
        <v>0</v>
      </c>
      <c r="G324" s="424">
        <f t="shared" ref="G324" si="270">AAG324</f>
        <v>0</v>
      </c>
      <c r="H324" s="343">
        <f t="shared" ref="H324" si="271">AAH324</f>
        <v>0</v>
      </c>
      <c r="I324" s="244"/>
      <c r="J324" s="194"/>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s="52"/>
      <c r="AAA324" s="192"/>
      <c r="AAD324" s="90"/>
      <c r="AAE324" s="520">
        <f>IF(S.AC.CommitteeInvolved="Y",1,0)</f>
        <v>0</v>
      </c>
      <c r="AAF324" s="190" t="s">
        <v>52</v>
      </c>
      <c r="AAG324" s="73">
        <f>S.AC.BANNER.Begin</f>
        <v>0</v>
      </c>
      <c r="AAH324" s="73">
        <f>S.AC.BANNER.End</f>
        <v>0</v>
      </c>
      <c r="AAI324" s="71"/>
      <c r="AAJ324" s="79"/>
      <c r="AAK324" s="80" t="str">
        <f>S.Staff.Lead&amp;" gathers all advisory committee emails for the Rule Record and saves as:"</f>
        <v>AndreaRW gathers all advisory committee emails for the Rule Record and saves as:</v>
      </c>
      <c r="AAL324" s="90"/>
    </row>
    <row r="325" spans="1:715" s="23" customFormat="1" ht="15.75" hidden="1" customHeight="1" outlineLevel="1">
      <c r="A325" s="171"/>
      <c r="B325" s="372" t="s">
        <v>169</v>
      </c>
      <c r="C325" s="362"/>
      <c r="D325" s="362"/>
      <c r="E325" s="350"/>
      <c r="F325" s="350"/>
      <c r="G325" s="346"/>
      <c r="H325" s="346"/>
      <c r="I325" s="244"/>
      <c r="J325" s="194"/>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s="52"/>
      <c r="AAA325" s="192"/>
      <c r="AAD325" s="90"/>
      <c r="AAE325" s="520">
        <f>IF(S.AC.CommitteeInvolved="Y",1,0)</f>
        <v>0</v>
      </c>
      <c r="AAF325" s="190" t="s">
        <v>52</v>
      </c>
      <c r="AAG325" s="71"/>
      <c r="AAH325" s="71"/>
      <c r="AAI325" s="71"/>
      <c r="AAJ325" s="56"/>
      <c r="AAK325" s="71" t="s">
        <v>0</v>
      </c>
      <c r="AAL325" s="90"/>
    </row>
    <row r="326" spans="1:715" ht="6" customHeight="1" collapsed="1">
      <c r="A326" s="171"/>
      <c r="B326" s="131"/>
      <c r="C326" s="108"/>
      <c r="D326" s="107"/>
      <c r="E326" s="109"/>
      <c r="F326" s="109"/>
      <c r="G326" s="108"/>
      <c r="H326" s="108"/>
      <c r="I326" s="244"/>
      <c r="J326" s="193"/>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AAA326" s="192"/>
      <c r="AAD326" s="90"/>
      <c r="AAE326" s="519" t="s">
        <v>21</v>
      </c>
      <c r="AAF326" s="190" t="s">
        <v>52</v>
      </c>
      <c r="AAG326" s="60"/>
      <c r="AAH326" s="60"/>
      <c r="AAI326" s="72"/>
      <c r="AAJ326" s="72"/>
      <c r="AAK326" s="55"/>
      <c r="AAL326" s="90"/>
      <c r="AAM326"/>
    </row>
    <row r="327" spans="1:715" s="23" customFormat="1" ht="18" customHeight="1">
      <c r="A327" s="171"/>
      <c r="B327" s="898" t="str">
        <f>AAK327</f>
        <v>Fees - not involved</v>
      </c>
      <c r="C327" s="898"/>
      <c r="D327" s="898"/>
      <c r="E327" s="898"/>
      <c r="F327" s="898"/>
      <c r="G327" s="898"/>
      <c r="H327" s="898"/>
      <c r="I327" s="244"/>
      <c r="J327" s="195"/>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c r="BG327" s="47"/>
      <c r="BH327" s="47"/>
      <c r="BI327" s="47"/>
      <c r="BJ327" s="47"/>
      <c r="BK327" s="47"/>
      <c r="BL327" s="47"/>
      <c r="BM327" s="47"/>
      <c r="BN327" s="47"/>
      <c r="BO327" s="47"/>
      <c r="BP327" s="47"/>
      <c r="BQ327" s="47"/>
      <c r="BR327" s="47"/>
      <c r="BS327" s="47"/>
      <c r="BT327" s="47"/>
      <c r="BU327" s="47"/>
      <c r="BV327" s="47"/>
      <c r="BW327" s="47"/>
      <c r="BX327" s="47"/>
      <c r="BY327" s="47"/>
      <c r="BZ327" s="47"/>
      <c r="CA327" s="47"/>
      <c r="CB327" s="47"/>
      <c r="CC327" s="47"/>
      <c r="CD327" s="47"/>
      <c r="CE327" s="47"/>
      <c r="CF327" s="47"/>
      <c r="CG327" s="47"/>
      <c r="CH327" s="47"/>
      <c r="CI327" s="47"/>
      <c r="CJ327" s="47"/>
      <c r="CK327" s="47"/>
      <c r="CL327" s="47"/>
      <c r="CM327" s="47"/>
      <c r="CN327" s="47"/>
      <c r="CO327" s="47"/>
      <c r="CP327" s="47"/>
      <c r="CQ327" s="47"/>
      <c r="CR327" s="47"/>
      <c r="CS327" s="47"/>
      <c r="CT327" s="47"/>
      <c r="CU327" s="47"/>
      <c r="CV327" s="47"/>
      <c r="CW327" s="47"/>
      <c r="CX327" s="47"/>
      <c r="CY327" s="47"/>
      <c r="CZ327" s="47"/>
      <c r="DA327" s="47"/>
      <c r="DB327" s="47"/>
      <c r="DC327" s="47"/>
      <c r="DD327" s="47"/>
      <c r="DE327" s="47"/>
      <c r="DF327" s="47"/>
      <c r="DG327" s="47"/>
      <c r="DH327" s="47"/>
      <c r="DI327" s="47"/>
      <c r="DJ327" s="47"/>
      <c r="DK327" s="47"/>
      <c r="DL327" s="47"/>
      <c r="DM327" s="47"/>
      <c r="DN327" s="47"/>
      <c r="DO327" s="47"/>
      <c r="DP327" s="4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s="52"/>
      <c r="AAA327" s="192"/>
      <c r="AAB327"/>
      <c r="AAC327"/>
      <c r="AAD327" s="90"/>
      <c r="AAE327" s="519" t="s">
        <v>22</v>
      </c>
      <c r="AAF327" s="190" t="s">
        <v>52</v>
      </c>
      <c r="AAG327" s="90"/>
      <c r="AAH327" s="90"/>
      <c r="AAI327" s="72"/>
      <c r="AAJ327" s="81"/>
      <c r="AAK327" s="76" t="str">
        <f>AAK18</f>
        <v>Fees - not involved</v>
      </c>
      <c r="AAL327" s="90"/>
    </row>
    <row r="328" spans="1:715" s="23" customFormat="1" ht="14.25" hidden="1" customHeight="1" outlineLevel="1">
      <c r="A328" s="171"/>
      <c r="B328" s="141" t="s">
        <v>0</v>
      </c>
      <c r="C328" s="100" t="s">
        <v>0</v>
      </c>
      <c r="D328" s="237"/>
      <c r="E328" s="848" t="s">
        <v>225</v>
      </c>
      <c r="F328" s="848"/>
      <c r="G328" s="848" t="s">
        <v>12</v>
      </c>
      <c r="H328" s="848"/>
      <c r="I328" s="244"/>
      <c r="J328" s="195"/>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c r="BF328" s="47"/>
      <c r="BG328" s="47"/>
      <c r="BH328" s="47"/>
      <c r="BI328" s="47"/>
      <c r="BJ328" s="47"/>
      <c r="BK328" s="47"/>
      <c r="BL328" s="47"/>
      <c r="BM328" s="47"/>
      <c r="BN328" s="47"/>
      <c r="BO328" s="47"/>
      <c r="BP328" s="47"/>
      <c r="BQ328" s="47"/>
      <c r="BR328" s="47"/>
      <c r="BS328" s="47"/>
      <c r="BT328" s="47"/>
      <c r="BU328" s="47"/>
      <c r="BV328" s="47"/>
      <c r="BW328" s="47"/>
      <c r="BX328" s="47"/>
      <c r="BY328" s="47"/>
      <c r="BZ328" s="47"/>
      <c r="CA328" s="47"/>
      <c r="CB328" s="47"/>
      <c r="CC328" s="47"/>
      <c r="CD328" s="47"/>
      <c r="CE328" s="47"/>
      <c r="CF328" s="47"/>
      <c r="CG328" s="47"/>
      <c r="CH328" s="47"/>
      <c r="CI328" s="47"/>
      <c r="CJ328" s="47"/>
      <c r="CK328" s="47"/>
      <c r="CL328" s="47"/>
      <c r="CM328" s="47"/>
      <c r="CN328" s="47"/>
      <c r="CO328" s="47"/>
      <c r="CP328" s="47"/>
      <c r="CQ328" s="47"/>
      <c r="CR328" s="47"/>
      <c r="CS328" s="47"/>
      <c r="CT328" s="47"/>
      <c r="CU328" s="47"/>
      <c r="CV328" s="47"/>
      <c r="CW328" s="47"/>
      <c r="CX328" s="47"/>
      <c r="CY328" s="47"/>
      <c r="CZ328" s="47"/>
      <c r="DA328" s="47"/>
      <c r="DB328" s="47"/>
      <c r="DC328" s="47"/>
      <c r="DD328" s="47"/>
      <c r="DE328" s="47"/>
      <c r="DF328" s="47"/>
      <c r="DG328" s="47"/>
      <c r="DH328" s="47"/>
      <c r="DI328" s="47"/>
      <c r="DJ328" s="47"/>
      <c r="DK328" s="47"/>
      <c r="DL328" s="47"/>
      <c r="DM328" s="47"/>
      <c r="DN328" s="47"/>
      <c r="DO328" s="47"/>
      <c r="DP328" s="47"/>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s="52"/>
      <c r="AAA328" s="192"/>
      <c r="AAD328" s="90"/>
      <c r="AAE328" s="519" t="s">
        <v>63</v>
      </c>
      <c r="AAF328" s="190" t="s">
        <v>52</v>
      </c>
      <c r="AAG328" s="90"/>
      <c r="AAH328" s="90"/>
      <c r="AAI328" s="72"/>
      <c r="AAJ328" s="81"/>
      <c r="AAK328" s="71"/>
      <c r="AAL328" s="90"/>
    </row>
    <row r="329" spans="1:715" s="552" customFormat="1" ht="24" hidden="1" customHeight="1" outlineLevel="1">
      <c r="A329" s="545"/>
      <c r="B329" s="686" t="str">
        <f>S.General.RulemakingTitle</f>
        <v>Incorporate Lane Regional Air Protection Agency Rules into State Implementation Plan</v>
      </c>
      <c r="C329" s="547" t="s">
        <v>0</v>
      </c>
      <c r="D329" s="547"/>
      <c r="E329" s="559" t="s">
        <v>228</v>
      </c>
      <c r="F329" s="560" t="s">
        <v>226</v>
      </c>
      <c r="G329" s="548" t="s">
        <v>61</v>
      </c>
      <c r="H329" s="548" t="s">
        <v>227</v>
      </c>
      <c r="I329" s="549"/>
      <c r="J329" s="550"/>
      <c r="K329" s="551"/>
      <c r="L329" s="551"/>
      <c r="M329" s="551"/>
      <c r="N329" s="551"/>
      <c r="O329" s="551"/>
      <c r="P329" s="551"/>
      <c r="Q329" s="551"/>
      <c r="R329" s="551"/>
      <c r="S329" s="551"/>
      <c r="T329" s="551"/>
      <c r="U329" s="551"/>
      <c r="V329" s="551"/>
      <c r="W329" s="551"/>
      <c r="X329" s="551"/>
      <c r="Y329" s="551"/>
      <c r="Z329" s="551"/>
      <c r="AA329" s="551"/>
      <c r="AB329" s="551"/>
      <c r="AC329" s="551"/>
      <c r="AD329" s="551"/>
      <c r="AE329" s="551"/>
      <c r="AF329" s="551"/>
      <c r="AG329" s="551"/>
      <c r="AH329" s="551"/>
      <c r="AI329" s="551"/>
      <c r="AJ329" s="551"/>
      <c r="AK329" s="551"/>
      <c r="AL329" s="551"/>
      <c r="AM329" s="551"/>
      <c r="AN329" s="551"/>
      <c r="AO329" s="551"/>
      <c r="AP329" s="551"/>
      <c r="AQ329" s="551"/>
      <c r="AR329" s="551"/>
      <c r="AS329" s="551"/>
      <c r="AT329" s="551"/>
      <c r="AU329" s="551"/>
      <c r="AV329" s="551"/>
      <c r="AW329" s="551"/>
      <c r="AX329" s="551"/>
      <c r="AY329" s="551"/>
      <c r="AZ329" s="551"/>
      <c r="BA329" s="551"/>
      <c r="BB329" s="551"/>
      <c r="BC329" s="551"/>
      <c r="BD329" s="551"/>
      <c r="BE329" s="551"/>
      <c r="BF329" s="551"/>
      <c r="BG329" s="551"/>
      <c r="BH329" s="551"/>
      <c r="BI329" s="551"/>
      <c r="BJ329" s="551"/>
      <c r="BK329" s="551"/>
      <c r="BL329" s="551"/>
      <c r="BM329" s="551"/>
      <c r="BN329" s="551"/>
      <c r="BO329" s="551"/>
      <c r="BP329" s="551"/>
      <c r="BQ329" s="551"/>
      <c r="BR329" s="551"/>
      <c r="BS329" s="551"/>
      <c r="BT329" s="551"/>
      <c r="BU329" s="551"/>
      <c r="BV329" s="551"/>
      <c r="BW329" s="551"/>
      <c r="BX329" s="551"/>
      <c r="BY329" s="551"/>
      <c r="BZ329" s="551"/>
      <c r="CA329" s="551"/>
      <c r="CB329" s="551"/>
      <c r="CC329" s="551"/>
      <c r="CD329" s="551"/>
      <c r="CE329" s="551"/>
      <c r="CF329" s="551"/>
      <c r="CG329" s="551"/>
      <c r="CH329" s="551"/>
      <c r="CI329" s="551"/>
      <c r="CJ329" s="551"/>
      <c r="CK329" s="551"/>
      <c r="CL329" s="551"/>
      <c r="CM329" s="551"/>
      <c r="CN329" s="551"/>
      <c r="CO329" s="551"/>
      <c r="CP329" s="551"/>
      <c r="CQ329" s="551"/>
      <c r="CR329" s="551"/>
      <c r="CS329" s="551"/>
      <c r="CT329" s="551"/>
      <c r="CU329" s="551"/>
      <c r="CV329" s="551"/>
      <c r="CW329" s="551"/>
      <c r="CX329" s="551"/>
      <c r="CY329" s="551"/>
      <c r="CZ329" s="551"/>
      <c r="DA329" s="551"/>
      <c r="DB329" s="551"/>
      <c r="DC329" s="551"/>
      <c r="DD329" s="551"/>
      <c r="DE329" s="551"/>
      <c r="DF329" s="551"/>
      <c r="DG329" s="551"/>
      <c r="DH329" s="551"/>
      <c r="DI329" s="551"/>
      <c r="DJ329" s="551"/>
      <c r="DK329" s="551"/>
      <c r="DL329" s="551"/>
      <c r="DM329" s="551"/>
      <c r="DN329" s="551"/>
      <c r="DO329" s="551"/>
      <c r="DP329" s="551"/>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s="52"/>
      <c r="AAA329" s="770"/>
      <c r="AAD329" s="553"/>
      <c r="AAE329" s="554" t="s">
        <v>63</v>
      </c>
      <c r="AAF329" s="555" t="s">
        <v>52</v>
      </c>
      <c r="AAG329" s="553"/>
      <c r="AAH329" s="553"/>
      <c r="AAI329" s="556"/>
      <c r="AAJ329" s="557"/>
      <c r="AAK329" s="558"/>
      <c r="AAL329" s="553"/>
    </row>
    <row r="330" spans="1:715" ht="18" hidden="1" customHeight="1" outlineLevel="1">
      <c r="A330" s="171"/>
      <c r="B330" s="561" t="s">
        <v>12</v>
      </c>
      <c r="C330" s="133"/>
      <c r="D330" s="132"/>
      <c r="E330" s="134"/>
      <c r="F330" s="160">
        <f>NETWORKDAYS(S.Fee.BANNER.Begin,S.Fee.BANNER.End,S.DDL_DEQClosed)</f>
        <v>0</v>
      </c>
      <c r="G330" s="247">
        <f>AAG330</f>
        <v>0</v>
      </c>
      <c r="H330" s="258">
        <f>AAH330</f>
        <v>0</v>
      </c>
      <c r="I330" s="244"/>
      <c r="J330" s="216"/>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c r="AV330" s="219"/>
      <c r="AW330" s="219"/>
      <c r="AX330" s="219"/>
      <c r="AY330" s="219"/>
      <c r="AZ330" s="219"/>
      <c r="BA330" s="219"/>
      <c r="BB330" s="219"/>
      <c r="BC330" s="219"/>
      <c r="BD330" s="219"/>
      <c r="BE330" s="219"/>
      <c r="BF330" s="219"/>
      <c r="BG330" s="219"/>
      <c r="BH330" s="219"/>
      <c r="BI330" s="219"/>
      <c r="BJ330" s="219"/>
      <c r="BK330" s="219"/>
      <c r="BL330" s="219"/>
      <c r="BM330" s="219"/>
      <c r="BN330" s="219"/>
      <c r="BO330" s="219"/>
      <c r="BP330" s="219"/>
      <c r="BQ330" s="219"/>
      <c r="BR330" s="219"/>
      <c r="BS330" s="219"/>
      <c r="BT330" s="219"/>
      <c r="BU330" s="219"/>
      <c r="BV330" s="219"/>
      <c r="BW330" s="219"/>
      <c r="BX330" s="219"/>
      <c r="BY330" s="219"/>
      <c r="BZ330" s="219"/>
      <c r="CA330" s="219"/>
      <c r="CB330" s="219"/>
      <c r="CC330" s="219"/>
      <c r="CD330" s="219"/>
      <c r="CE330" s="219"/>
      <c r="CF330" s="219"/>
      <c r="CG330" s="219"/>
      <c r="CH330" s="219"/>
      <c r="CI330" s="219"/>
      <c r="CJ330" s="219"/>
      <c r="CK330" s="219"/>
      <c r="CL330" s="219"/>
      <c r="CM330" s="219"/>
      <c r="CN330" s="219"/>
      <c r="CO330" s="219"/>
      <c r="CP330" s="219"/>
      <c r="CQ330" s="219"/>
      <c r="CR330" s="219"/>
      <c r="CS330" s="219"/>
      <c r="CT330" s="219"/>
      <c r="CU330" s="219"/>
      <c r="CV330" s="219"/>
      <c r="CW330" s="219"/>
      <c r="CX330" s="219"/>
      <c r="CY330" s="219"/>
      <c r="CZ330" s="219"/>
      <c r="DA330" s="219"/>
      <c r="DB330" s="219"/>
      <c r="DC330" s="219"/>
      <c r="DD330" s="219"/>
      <c r="DE330" s="219"/>
      <c r="DF330" s="219"/>
      <c r="DG330" s="219"/>
      <c r="DH330" s="219"/>
      <c r="DI330" s="219"/>
      <c r="DJ330" s="219"/>
      <c r="DK330" s="219"/>
      <c r="DL330" s="219"/>
      <c r="DM330" s="219"/>
      <c r="DN330" s="219"/>
      <c r="DO330" s="219"/>
      <c r="DP330" s="219"/>
      <c r="AAA330" s="192"/>
      <c r="AAD330" s="90"/>
      <c r="AAE330" s="519" t="s">
        <v>63</v>
      </c>
      <c r="AAF330" s="190" t="s">
        <v>52</v>
      </c>
      <c r="AAG330" s="73">
        <f>G18</f>
        <v>0</v>
      </c>
      <c r="AAH330" s="73">
        <f>IF(S.Fee.Involved="N",,S.Notice.SubmitToSOS)</f>
        <v>0</v>
      </c>
      <c r="AAI330" s="72"/>
      <c r="AAJ330" s="72"/>
      <c r="AAK330" s="79"/>
      <c r="AAL330" s="90"/>
      <c r="AAM330"/>
    </row>
    <row r="331" spans="1:715" ht="6" hidden="1" customHeight="1" outlineLevel="1">
      <c r="A331" s="171"/>
      <c r="B331" s="120"/>
      <c r="C331" s="112"/>
      <c r="D331" s="230"/>
      <c r="E331" s="113"/>
      <c r="F331" s="113"/>
      <c r="G331" s="112"/>
      <c r="H331" s="112"/>
      <c r="I331" s="244"/>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AAA331" s="192"/>
      <c r="AAD331" s="90"/>
      <c r="AAE331" s="520" t="s">
        <v>17</v>
      </c>
      <c r="AAF331" s="190" t="s">
        <v>52</v>
      </c>
      <c r="AAG331" s="60"/>
      <c r="AAH331" s="60"/>
      <c r="AAI331" s="72"/>
      <c r="AAJ331" s="72"/>
      <c r="AAK331" s="75"/>
      <c r="AAL331" s="90"/>
      <c r="AAM331"/>
    </row>
    <row r="332" spans="1:715" s="23" customFormat="1" ht="12.75" hidden="1" customHeight="1" outlineLevel="1">
      <c r="A332" s="171"/>
      <c r="B332" s="798" t="s">
        <v>510</v>
      </c>
      <c r="C332" s="797" t="str">
        <f>HYPERLINK("","i")</f>
        <v>i</v>
      </c>
      <c r="D332" s="231"/>
      <c r="E332" s="97"/>
      <c r="F332" s="97"/>
      <c r="G332" s="96"/>
      <c r="H332" s="96"/>
      <c r="I332" s="244"/>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ZZ332" s="52"/>
      <c r="AAA332" s="192"/>
      <c r="AAD332" s="90"/>
      <c r="AAE332" s="520" t="s">
        <v>21</v>
      </c>
      <c r="AAF332" s="190" t="s">
        <v>52</v>
      </c>
      <c r="AAG332" s="60"/>
      <c r="AAH332" s="60"/>
      <c r="AAI332" s="82"/>
      <c r="AAJ332" s="82"/>
      <c r="AAK332" s="40"/>
      <c r="AAL332" s="90"/>
    </row>
    <row r="333" spans="1:715" s="23" customFormat="1" ht="15.75" hidden="1" customHeight="1" outlineLevel="1">
      <c r="A333" s="171"/>
      <c r="B333" s="486" t="str">
        <f>AAK333</f>
        <v>AndreaRW:</v>
      </c>
      <c r="C333" s="272"/>
      <c r="D333" s="265"/>
      <c r="E333" s="266"/>
      <c r="F333" s="267"/>
      <c r="G333" s="268"/>
      <c r="H333" s="269"/>
      <c r="I333" s="244"/>
      <c r="J333" s="193"/>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G333" s="46"/>
      <c r="DH333" s="46"/>
      <c r="DI333" s="46"/>
      <c r="DJ333" s="46"/>
      <c r="DK333" s="46"/>
      <c r="DL333" s="46"/>
      <c r="DM333" s="46"/>
      <c r="DN333" s="46"/>
      <c r="DO333" s="46"/>
      <c r="DP333" s="46"/>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s="52"/>
      <c r="AAA333" s="192"/>
      <c r="AAD333" s="90"/>
      <c r="AAE333" s="519">
        <f t="shared" ref="AAE333" si="272">IF(S.Planning.DecisionToAddToPlan="A",1,0)</f>
        <v>1</v>
      </c>
      <c r="AAF333" s="190" t="s">
        <v>52</v>
      </c>
      <c r="AAG333" s="71"/>
      <c r="AAH333" s="71"/>
      <c r="AAI333" s="72"/>
      <c r="AAJ333" s="55"/>
      <c r="AAK333" s="92" t="str">
        <f>S.Staff.Lead&amp;":"</f>
        <v>AndreaRW:</v>
      </c>
      <c r="AAL333" s="90"/>
    </row>
    <row r="334" spans="1:715" s="23" customFormat="1" ht="15" hidden="1" outlineLevel="1">
      <c r="A334" s="171"/>
      <c r="B334" s="363" t="str">
        <f t="shared" ref="B334" si="273">AAK334</f>
        <v xml:space="preserve">* devlopes Fee Approval Packet resources: Robin and team </v>
      </c>
      <c r="C334" s="787" t="str">
        <f>HYPERLINK("\\deqhq1\Rule_Resources\i\3-FeeApproval.pdf","i")</f>
        <v>i</v>
      </c>
      <c r="D334" s="380"/>
      <c r="E334" s="349">
        <f>NETWORKDAYS(G334,H334,S.DDL_DEQClosed)</f>
        <v>0</v>
      </c>
      <c r="F334" s="457">
        <f t="shared" ref="F334" ca="1" si="274">IF(YEAR(H334)&gt;2000,NETWORKDAYS(TODAY(),H334,S.DDL_DEQClosed),0)</f>
        <v>0</v>
      </c>
      <c r="G334" s="343">
        <f t="shared" ref="G334" si="275">AAG334</f>
        <v>0</v>
      </c>
      <c r="H334" s="343">
        <f t="shared" ref="H334" si="276">AAH334</f>
        <v>0</v>
      </c>
      <c r="I334" s="245"/>
      <c r="J334" s="222"/>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s="52"/>
      <c r="AAA334" s="192"/>
      <c r="AAD334" s="90"/>
      <c r="AAE334" s="519">
        <f t="shared" ref="AAE334:AAE339" si="277">IF(S.Fee.Involved="N",0,1)</f>
        <v>0</v>
      </c>
      <c r="AAF334" s="90" t="s">
        <v>0</v>
      </c>
      <c r="AAG334" s="73">
        <f t="shared" ref="AAG334:AAG340" si="278">S.Fee.BANNER.Begin</f>
        <v>0</v>
      </c>
      <c r="AAH334" s="73">
        <f>G334</f>
        <v>0</v>
      </c>
      <c r="AAI334" s="72"/>
      <c r="AAJ334" s="72"/>
      <c r="AAK334" s="92" t="str">
        <f>"* devlopes Fee Approval Packet resources: "&amp;S.Staff.Fiscal&amp;" and team "</f>
        <v xml:space="preserve">* devlopes Fee Approval Packet resources: Robin and team </v>
      </c>
      <c r="AAL334" s="90"/>
    </row>
    <row r="335" spans="1:715" s="23" customFormat="1" ht="15.75" hidden="1" customHeight="1" outlineLevel="1">
      <c r="A335" s="171"/>
      <c r="B335" s="633" t="s">
        <v>248</v>
      </c>
      <c r="C335" s="272"/>
      <c r="D335" s="265"/>
      <c r="E335" s="266"/>
      <c r="F335" s="267"/>
      <c r="G335" s="268"/>
      <c r="H335" s="269"/>
      <c r="I335" s="244"/>
      <c r="J335" s="193"/>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s="52"/>
      <c r="AAA335" s="192"/>
      <c r="AAD335" s="90"/>
      <c r="AAE335" s="519">
        <f t="shared" si="277"/>
        <v>0</v>
      </c>
      <c r="AAF335" s="190" t="s">
        <v>52</v>
      </c>
      <c r="AAG335" s="71"/>
      <c r="AAH335" s="71"/>
      <c r="AAI335" s="72"/>
      <c r="AAJ335" s="55"/>
      <c r="AAK335" s="79"/>
      <c r="AAL335" s="90"/>
    </row>
    <row r="336" spans="1:715" s="23" customFormat="1" ht="15.75" hidden="1" customHeight="1" outlineLevel="1">
      <c r="A336" s="171"/>
      <c r="B336" s="634" t="str">
        <f t="shared" ref="B336:B340" si="279">AAK336</f>
        <v xml:space="preserve"> blank row</v>
      </c>
      <c r="C336" s="358" t="s">
        <v>0</v>
      </c>
      <c r="D336" s="380"/>
      <c r="E336" s="349">
        <f t="shared" ref="E336" si="280">NETWORKDAYS(G336,H336,S.DDL_DEQClosed)</f>
        <v>0</v>
      </c>
      <c r="F336" s="457">
        <f t="shared" ref="F336:F344" ca="1" si="281">IF(YEAR(H336)&gt;2000,NETWORKDAYS(TODAY(),H336,S.DDL_DEQClosed),0)</f>
        <v>0</v>
      </c>
      <c r="G336" s="343">
        <f t="shared" ref="G336:H339" si="282">AAG336</f>
        <v>0</v>
      </c>
      <c r="H336" s="343">
        <f t="shared" si="282"/>
        <v>0</v>
      </c>
      <c r="I336" s="245"/>
      <c r="J336" s="194"/>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s="52"/>
      <c r="AAA336" s="192"/>
      <c r="AAB336"/>
      <c r="AAC336"/>
      <c r="AAD336" s="90"/>
      <c r="AAE336" s="519">
        <f t="shared" si="277"/>
        <v>0</v>
      </c>
      <c r="AAF336" s="72"/>
      <c r="AAG336" s="73">
        <f t="shared" si="278"/>
        <v>0</v>
      </c>
      <c r="AAH336" s="73">
        <f t="shared" ref="AAH336:AAH341" si="283">S.Fee.BANNER.End</f>
        <v>0</v>
      </c>
      <c r="AAI336" s="72"/>
      <c r="AAJ336" s="72"/>
      <c r="AAK336" s="80" t="str">
        <f>IF(S.Fee.DASApprovalRequired="Y","a. FEE.ANALYSIS (blank in folder 3)",IF(S.Fee.Involved="Y","a. FEE.ANALYSIS (blank in folder 3)"," blank row"))</f>
        <v xml:space="preserve"> blank row</v>
      </c>
      <c r="AAL336" s="90"/>
    </row>
    <row r="337" spans="1:715" s="23" customFormat="1" ht="15.75" hidden="1" customHeight="1" outlineLevel="1">
      <c r="A337" s="171"/>
      <c r="B337" s="634" t="str">
        <f t="shared" si="279"/>
        <v xml:space="preserve">  blank row</v>
      </c>
      <c r="C337" s="358" t="s">
        <v>0</v>
      </c>
      <c r="D337" s="380"/>
      <c r="E337" s="349">
        <f t="shared" ref="E337:E338" si="284">NETWORKDAYS(G337,H337,S.DDL_DEQClosed)</f>
        <v>0</v>
      </c>
      <c r="F337" s="457">
        <f t="shared" ca="1" si="281"/>
        <v>0</v>
      </c>
      <c r="G337" s="343">
        <f t="shared" si="282"/>
        <v>0</v>
      </c>
      <c r="H337" s="343">
        <f t="shared" si="282"/>
        <v>0</v>
      </c>
      <c r="I337" s="245"/>
      <c r="J337" s="194"/>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s="52"/>
      <c r="AAA337" s="192"/>
      <c r="AAD337" s="90"/>
      <c r="AAE337" s="519">
        <f t="shared" si="277"/>
        <v>0</v>
      </c>
      <c r="AAF337" s="72"/>
      <c r="AAG337" s="73">
        <f t="shared" si="278"/>
        <v>0</v>
      </c>
      <c r="AAH337" s="73">
        <f t="shared" si="283"/>
        <v>0</v>
      </c>
      <c r="AAI337" s="72"/>
      <c r="AAJ337" s="72"/>
      <c r="AAK337" s="80" t="str">
        <f>IF(S.Fee.DASApprovalRequired="Y","b. FEE.SUPPORT.DOCS",IF(S.Fee.Involved="Y","b. FEE.SUPPORT.DOCS","  blank row"))</f>
        <v xml:space="preserve">  blank row</v>
      </c>
      <c r="AAL337" s="90"/>
    </row>
    <row r="338" spans="1:715" s="23" customFormat="1" ht="15.75" hidden="1" customHeight="1" outlineLevel="1">
      <c r="A338" s="171"/>
      <c r="B338" s="634" t="str">
        <f t="shared" si="279"/>
        <v xml:space="preserve"> blank line</v>
      </c>
      <c r="C338" s="787" t="str">
        <f>HYPERLINK("http://www.oregon.gov/DAS/CFO/budgetkickoffmeetings/march2012/107bf21_feeapproval.doc","i")</f>
        <v>i</v>
      </c>
      <c r="D338" s="380"/>
      <c r="E338" s="349">
        <f t="shared" si="284"/>
        <v>0</v>
      </c>
      <c r="F338" s="457">
        <f t="shared" ca="1" si="281"/>
        <v>0</v>
      </c>
      <c r="G338" s="343">
        <f t="shared" si="282"/>
        <v>0</v>
      </c>
      <c r="H338" s="343">
        <f t="shared" si="282"/>
        <v>0</v>
      </c>
      <c r="I338" s="245"/>
      <c r="J338" s="194"/>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s="52"/>
      <c r="AAA338" s="192"/>
      <c r="AAD338" s="90"/>
      <c r="AAE338" s="519">
        <f t="shared" si="277"/>
        <v>0</v>
      </c>
      <c r="AAF338" s="72"/>
      <c r="AAG338" s="73">
        <f t="shared" si="278"/>
        <v>0</v>
      </c>
      <c r="AAH338" s="73">
        <f t="shared" si="283"/>
        <v>0</v>
      </c>
      <c r="AAI338" s="72"/>
      <c r="AAJ338" s="72"/>
      <c r="AAK338" s="80" t="str">
        <f>IF(S.Fee.DASApprovalRequired="Y","c. FEE.APPROVAL",IF(S.Fee.Involved="Y","      After completing task at bottom of Fee Approval section, "," blank line"))</f>
        <v xml:space="preserve"> blank line</v>
      </c>
      <c r="AAL338" s="90"/>
    </row>
    <row r="339" spans="1:715" s="23" customFormat="1" ht="15.75" hidden="1" customHeight="1" outlineLevel="1">
      <c r="A339" s="171"/>
      <c r="B339" s="634" t="str">
        <f t="shared" si="279"/>
        <v xml:space="preserve"> blank row</v>
      </c>
      <c r="C339" s="787" t="str">
        <f>HYPERLINK("http://www.oregon.gov/DAS/CFO/budgetkickoffmeetings/march2012/107bf22feechangedetail.xls","i")</f>
        <v>i</v>
      </c>
      <c r="D339" s="380"/>
      <c r="E339" s="349">
        <f t="shared" ref="E339" si="285">NETWORKDAYS(G339,H339,S.DDL_DEQClosed)</f>
        <v>0</v>
      </c>
      <c r="F339" s="457">
        <f t="shared" ca="1" si="281"/>
        <v>0</v>
      </c>
      <c r="G339" s="343">
        <f t="shared" si="282"/>
        <v>0</v>
      </c>
      <c r="H339" s="343">
        <f t="shared" si="282"/>
        <v>0</v>
      </c>
      <c r="I339" s="245"/>
      <c r="J339" s="194"/>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s="52"/>
      <c r="AAA339" s="192"/>
      <c r="AAD339" s="90"/>
      <c r="AAE339" s="519">
        <f t="shared" si="277"/>
        <v>0</v>
      </c>
      <c r="AAF339" s="72"/>
      <c r="AAG339" s="73">
        <f t="shared" si="278"/>
        <v>0</v>
      </c>
      <c r="AAH339" s="73">
        <f t="shared" si="283"/>
        <v>0</v>
      </c>
      <c r="AAI339" s="72"/>
      <c r="AAJ339" s="72"/>
      <c r="AAK339" s="80" t="str">
        <f>IF(S.Fee.DASApprovalRequired="Y","d. FEE.DETAIL",IF(S.Fee.Involved="Y","            the next DAS fee notification task is under 4-Notice"," blank row"))</f>
        <v xml:space="preserve"> blank row</v>
      </c>
      <c r="AAL339" s="90"/>
    </row>
    <row r="340" spans="1:715" ht="15.75" hidden="1" customHeight="1" outlineLevel="1">
      <c r="A340" s="171"/>
      <c r="B340" s="363" t="str">
        <f t="shared" si="279"/>
        <v>* initiates MargaretMGR's Fee Approval Packet review and approval, addresses suggestions</v>
      </c>
      <c r="C340" s="359" t="s">
        <v>0</v>
      </c>
      <c r="D340" s="380"/>
      <c r="E340" s="349">
        <f t="shared" ref="E340" si="286">NETWORKDAYS(G340,H340,S.DDL_DEQClosed)</f>
        <v>0</v>
      </c>
      <c r="F340" s="457">
        <f t="shared" ca="1" si="281"/>
        <v>0</v>
      </c>
      <c r="G340" s="343">
        <f>AAG340</f>
        <v>0</v>
      </c>
      <c r="H340" s="343">
        <f t="shared" ref="H340:H344" si="287">AAH340</f>
        <v>0</v>
      </c>
      <c r="I340" s="244"/>
      <c r="J340" s="194"/>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AAA340" s="192"/>
      <c r="AAD340" s="90"/>
      <c r="AAE340" s="519">
        <f>IF(AND(S.Fee.Involved="Y",S.Fee.DASApprovalRequired="Y"),1,0)</f>
        <v>0</v>
      </c>
      <c r="AAF340" s="90"/>
      <c r="AAG340" s="73">
        <f t="shared" si="278"/>
        <v>0</v>
      </c>
      <c r="AAH340" s="73">
        <f t="shared" si="283"/>
        <v>0</v>
      </c>
      <c r="AAI340" s="72"/>
      <c r="AAJ340" s="72"/>
      <c r="AAK340" s="254" t="str">
        <f>"* initiates "&amp;S.Staff.Mgr&amp;"'s Fee Approval Packet review and approval, addresses suggestions"</f>
        <v>* initiates MargaretMGR's Fee Approval Packet review and approval, addresses suggestions</v>
      </c>
      <c r="AAL340" s="90"/>
      <c r="AAM340"/>
    </row>
    <row r="341" spans="1:715" ht="15.75" hidden="1" customHeight="1" outlineLevel="1" thickBot="1">
      <c r="A341" s="171"/>
      <c r="B341" s="483" t="str">
        <f>AAK341</f>
        <v>1st loop of MargaretMGR's Fee Approval Packet review and approval</v>
      </c>
      <c r="D341" s="380"/>
      <c r="E341" s="349">
        <f>NETWORKDAYS(G341,H341,S.DDL_DEQClosed)</f>
        <v>0</v>
      </c>
      <c r="F341" s="457">
        <f t="shared" ca="1" si="281"/>
        <v>0</v>
      </c>
      <c r="G341" s="343">
        <f t="shared" ref="G341:G344" si="288">AAG341</f>
        <v>0</v>
      </c>
      <c r="H341" s="343">
        <f t="shared" si="287"/>
        <v>0</v>
      </c>
      <c r="I341" s="244"/>
      <c r="J341" s="194"/>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AAA341" s="192"/>
      <c r="AAD341" s="90"/>
      <c r="AAE341" s="519">
        <f>IF(AND(S.Fee.Involved="Y",S.Fee.DASApprovalRequired="Y"),1,0)</f>
        <v>0</v>
      </c>
      <c r="AAF341" s="90"/>
      <c r="AAG341" s="73">
        <f>H340</f>
        <v>0</v>
      </c>
      <c r="AAH341" s="73">
        <f t="shared" si="283"/>
        <v>0</v>
      </c>
      <c r="AAI341" s="72"/>
      <c r="AAJ341" s="72"/>
      <c r="AAK341" s="254" t="str">
        <f>"1st loop of "&amp;S.Staff.Mgr&amp;"'s Fee Approval Packet review and approval"</f>
        <v>1st loop of MargaretMGR's Fee Approval Packet review and approval</v>
      </c>
      <c r="AAL341" s="90"/>
      <c r="AAM341"/>
    </row>
    <row r="342" spans="1:715" ht="15.75" hidden="1" customHeight="1" outlineLevel="1" thickBot="1">
      <c r="A342" s="171"/>
      <c r="B342" s="516" t="str">
        <f>AAK342</f>
        <v>2nd loop of MargaretMGR's Fee Approval Packet review and approval</v>
      </c>
      <c r="C342" s="611" t="s">
        <v>303</v>
      </c>
      <c r="D342" s="380"/>
      <c r="E342" s="349">
        <f>NETWORKDAYS(G342,H342,S.DDL_DEQClosed)</f>
        <v>0</v>
      </c>
      <c r="F342" s="457">
        <f t="shared" ca="1" si="281"/>
        <v>0</v>
      </c>
      <c r="G342" s="343">
        <f t="shared" si="288"/>
        <v>0</v>
      </c>
      <c r="H342" s="343">
        <f t="shared" si="287"/>
        <v>0</v>
      </c>
      <c r="I342" s="244" t="s">
        <v>0</v>
      </c>
      <c r="J342" s="194"/>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AAA342" s="192"/>
      <c r="AAD342" s="90"/>
      <c r="AAE342" s="519">
        <f>IF(AND(S.Fee.ApprovePacketLoop2="Y",S.Fee.Involved="Y",S.Fee.DASApprovalRequired="Y"),1,0)</f>
        <v>0</v>
      </c>
      <c r="AAF342" s="90"/>
      <c r="AAG342" s="73">
        <f>IF(S.Fee.ApprovePacketLoop2="N",,H341)</f>
        <v>0</v>
      </c>
      <c r="AAH342" s="73">
        <f>IF(S.Fee.ApprovePacketLoop2="N",,S.Notice.SubmitToSOS)</f>
        <v>0</v>
      </c>
      <c r="AAI342" s="72" t="s">
        <v>0</v>
      </c>
      <c r="AAJ342" s="72"/>
      <c r="AAK342" s="254" t="str">
        <f>"2nd loop of "&amp;S.Staff.Mgr&amp;"'s Fee Approval Packet review and approval"</f>
        <v>2nd loop of MargaretMGR's Fee Approval Packet review and approval</v>
      </c>
      <c r="AAL342" s="90"/>
      <c r="AAM342"/>
    </row>
    <row r="343" spans="1:715" ht="15.75" hidden="1" customHeight="1" outlineLevel="1" thickBot="1">
      <c r="A343" s="171"/>
      <c r="B343" s="480" t="str">
        <f>AAK343</f>
        <v>3rd loop of MargaretMGR's Fee Approval Packet review and approval</v>
      </c>
      <c r="C343" s="377" t="s">
        <v>303</v>
      </c>
      <c r="D343" s="380"/>
      <c r="E343" s="349">
        <f>NETWORKDAYS(G343,H343,S.DDL_DEQClosed)</f>
        <v>0</v>
      </c>
      <c r="F343" s="457">
        <f t="shared" ca="1" si="281"/>
        <v>0</v>
      </c>
      <c r="G343" s="343">
        <f t="shared" si="288"/>
        <v>0</v>
      </c>
      <c r="H343" s="343">
        <f t="shared" si="287"/>
        <v>0</v>
      </c>
      <c r="I343" s="244"/>
      <c r="J343" s="194"/>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AAA343" s="192"/>
      <c r="AAD343" s="90"/>
      <c r="AAE343" s="519">
        <f>IF(AND(S.Fee.ApprovePacketLoop3="Y",S.Fee.Involved="Y",S.Fee.DASApprovalRequired="Y"),1,0)</f>
        <v>0</v>
      </c>
      <c r="AAF343" s="90"/>
      <c r="AAG343" s="73">
        <f>IF(S.Fee.ApprovePacketLoop3="N",,H342)</f>
        <v>0</v>
      </c>
      <c r="AAH343" s="73">
        <f>IF(S.Fee.ApprovePacketLoop3="N",,S.Notice.SubmitToSOS)</f>
        <v>0</v>
      </c>
      <c r="AAI343" s="72" t="s">
        <v>0</v>
      </c>
      <c r="AAJ343" s="72"/>
      <c r="AAK343" s="254" t="str">
        <f>"3rd loop of "&amp;S.Staff.Mgr&amp;"'s Fee Approval Packet review and approval"</f>
        <v>3rd loop of MargaretMGR's Fee Approval Packet review and approval</v>
      </c>
      <c r="AAL343" s="90"/>
      <c r="AAM343"/>
    </row>
    <row r="344" spans="1:715" ht="15.75" hidden="1" customHeight="1" outlineLevel="1" thickBot="1">
      <c r="A344" s="171"/>
      <c r="B344" s="654" t="str">
        <f>AAK344</f>
        <v>4th loop of MargaretMGR's Fee Approval Packet review and approval</v>
      </c>
      <c r="C344" s="377" t="s">
        <v>303</v>
      </c>
      <c r="D344" s="380"/>
      <c r="E344" s="349">
        <f>NETWORKDAYS(G344,H344,S.DDL_DEQClosed)</f>
        <v>0</v>
      </c>
      <c r="F344" s="457">
        <f t="shared" ca="1" si="281"/>
        <v>0</v>
      </c>
      <c r="G344" s="343">
        <f t="shared" si="288"/>
        <v>0</v>
      </c>
      <c r="H344" s="343">
        <f t="shared" si="287"/>
        <v>0</v>
      </c>
      <c r="I344" s="244"/>
      <c r="J344" s="194"/>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AAA344" s="192"/>
      <c r="AAD344" s="90"/>
      <c r="AAE344" s="519">
        <f>IF(AND(S.Fee.ApprovePacketLoop4="Y",S.Fee.Involved="Y",S.Fee.DASApprovalRequired="Y"),1,0)</f>
        <v>0</v>
      </c>
      <c r="AAF344" s="90"/>
      <c r="AAG344" s="73">
        <f>IF(S.Fee.ApprovePacketLoop4="N",,H343)</f>
        <v>0</v>
      </c>
      <c r="AAH344" s="73">
        <f>IF(S.Fee.ApprovePacketLoop4="N",,S.Notice.SubmitToSOS)</f>
        <v>0</v>
      </c>
      <c r="AAI344" s="72"/>
      <c r="AAJ344" s="72"/>
      <c r="AAK344" s="254" t="str">
        <f>"4th loop of "&amp;S.Staff.Mgr&amp;"'s Fee Approval Packet review and approval"</f>
        <v>4th loop of MargaretMGR's Fee Approval Packet review and approval</v>
      </c>
      <c r="AAL344" s="90"/>
      <c r="AAM344"/>
    </row>
    <row r="345" spans="1:715" s="23" customFormat="1" ht="15" hidden="1" customHeight="1" outlineLevel="1">
      <c r="A345" s="171"/>
      <c r="B345" s="396" t="s">
        <v>428</v>
      </c>
      <c r="C345" s="790" t="str">
        <f>HYPERLINK("mailto:RulePubications@deq.state.or.us","i")</f>
        <v>i</v>
      </c>
      <c r="D345" s="380"/>
      <c r="E345" s="845" t="s">
        <v>419</v>
      </c>
      <c r="F345" s="846"/>
      <c r="G345" s="847"/>
      <c r="H345" s="343">
        <f>AAH345</f>
        <v>41614</v>
      </c>
      <c r="I345" s="244"/>
      <c r="J345" s="198"/>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c r="DE345" s="51"/>
      <c r="DF345" s="51"/>
      <c r="DG345" s="51"/>
      <c r="DH345" s="51"/>
      <c r="DI345" s="51"/>
      <c r="DJ345" s="51"/>
      <c r="DK345" s="51"/>
      <c r="DL345" s="51"/>
      <c r="DM345" s="51"/>
      <c r="DN345" s="51"/>
      <c r="DO345" s="51"/>
      <c r="DP345" s="51"/>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s="52"/>
      <c r="AAA345" s="192"/>
      <c r="AAD345" s="90"/>
      <c r="AAE345" s="519">
        <f t="shared" ref="AAE345:AAE346" si="289">IF(S.Notice.Involved="Y",1,0)</f>
        <v>1</v>
      </c>
      <c r="AAF345" s="90"/>
      <c r="AAG345" s="71"/>
      <c r="AAH345" s="73">
        <f>WORKDAY(MIN(S.Notice.SubmitToSOS,S.Notice.OpenComment),-5,S.DDL_DEQClosed)</f>
        <v>41614</v>
      </c>
      <c r="AAI345" s="72"/>
      <c r="AAJ345" s="72"/>
      <c r="AAK345" s="87"/>
      <c r="AAL345" s="90"/>
    </row>
    <row r="346" spans="1:715" s="23" customFormat="1" ht="15" hidden="1" customHeight="1" outlineLevel="1">
      <c r="A346" s="171" t="s">
        <v>0</v>
      </c>
      <c r="B346" s="670" t="s">
        <v>502</v>
      </c>
      <c r="C346" s="374"/>
      <c r="D346" s="380"/>
      <c r="E346" s="394"/>
      <c r="F346" s="394"/>
      <c r="G346" s="395"/>
      <c r="H346" s="395"/>
      <c r="I346" s="244"/>
      <c r="J346" s="198"/>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c r="DE346" s="51"/>
      <c r="DF346" s="51"/>
      <c r="DG346" s="51"/>
      <c r="DH346" s="51"/>
      <c r="DI346" s="51"/>
      <c r="DJ346" s="51"/>
      <c r="DK346" s="51"/>
      <c r="DL346" s="51"/>
      <c r="DM346" s="51"/>
      <c r="DN346" s="51"/>
      <c r="DO346" s="51"/>
      <c r="DP346" s="51"/>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s="52"/>
      <c r="AAA346" s="192"/>
      <c r="AAD346" s="90"/>
      <c r="AAE346" s="519">
        <f t="shared" si="289"/>
        <v>1</v>
      </c>
      <c r="AAF346" s="190" t="s">
        <v>52</v>
      </c>
      <c r="AAG346" s="71"/>
      <c r="AAH346" s="71"/>
      <c r="AAI346" s="72"/>
      <c r="AAJ346" s="72"/>
      <c r="AAK346" s="87"/>
      <c r="AAL346" s="90"/>
    </row>
    <row r="347" spans="1:715" ht="15.75" hidden="1" customHeight="1" outlineLevel="1">
      <c r="A347" s="171"/>
      <c r="B347" s="361" t="str">
        <f>AAK347</f>
        <v>AndreaDRC coordinates:</v>
      </c>
      <c r="C347" s="362"/>
      <c r="D347" s="362"/>
      <c r="E347" s="350"/>
      <c r="F347" s="350"/>
      <c r="G347" s="346"/>
      <c r="H347" s="346"/>
      <c r="I347" s="244"/>
      <c r="J347" s="194"/>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AAA347" s="192"/>
      <c r="AAD347" s="90"/>
      <c r="AAE347" s="519">
        <f t="shared" ref="AAE347:AAE354" si="290">IF(AND(S.Fee.Involved="Y",S.Fee.DASApprovalRequired="Y"),1,0)</f>
        <v>0</v>
      </c>
      <c r="AAF347" s="190" t="s">
        <v>52</v>
      </c>
      <c r="AAG347" s="71"/>
      <c r="AAH347" s="71"/>
      <c r="AAI347" s="71"/>
      <c r="AAJ347" s="56"/>
      <c r="AAK347" s="92" t="str">
        <f>S.Staff.DivisionRulesCoordinator&amp;" coordinates:"</f>
        <v>AndreaDRC coordinates:</v>
      </c>
      <c r="AAL347" s="90"/>
      <c r="AAM347"/>
    </row>
    <row r="348" spans="1:715" s="42" customFormat="1" ht="15.75" hidden="1" customHeight="1" outlineLevel="1">
      <c r="A348" s="201"/>
      <c r="B348" s="363" t="s">
        <v>160</v>
      </c>
      <c r="C348" s="364" t="s">
        <v>0</v>
      </c>
      <c r="D348" s="380"/>
      <c r="E348" s="349">
        <f t="shared" ref="E348:E351" si="291">NETWORKDAYS(G348,H348,S.DDL_DEQClosed)</f>
        <v>0</v>
      </c>
      <c r="F348" s="457">
        <f ca="1">IF(YEAR(H348)&gt;2000,NETWORKDAYS(TODAY(),H348,S.DDL_DEQClosed),0)</f>
        <v>0</v>
      </c>
      <c r="G348" s="351">
        <f>AAG348</f>
        <v>0</v>
      </c>
      <c r="H348" s="487">
        <f>AAH348</f>
        <v>0</v>
      </c>
      <c r="I348" s="244"/>
      <c r="J348" s="19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s="52"/>
      <c r="AAA348" s="192"/>
      <c r="AAB348"/>
      <c r="AAC348"/>
      <c r="AAD348" s="90"/>
      <c r="AAE348" s="519">
        <f t="shared" si="290"/>
        <v>0</v>
      </c>
      <c r="AAF348" s="90"/>
      <c r="AAG348" s="73">
        <f>S.Fee.SubmitToDAS</f>
        <v>0</v>
      </c>
      <c r="AAH348" s="73">
        <f>S.Fee.SubmitToDAS</f>
        <v>0</v>
      </c>
      <c r="AAI348" s="72"/>
      <c r="AAJ348" s="72"/>
      <c r="AAK348" s="75"/>
      <c r="AAL348" s="90"/>
    </row>
    <row r="349" spans="1:715" s="23" customFormat="1" ht="15" hidden="1" customHeight="1" outlineLevel="1">
      <c r="A349" s="171"/>
      <c r="B349" s="365" t="s">
        <v>161</v>
      </c>
      <c r="C349" s="362" t="s">
        <v>0</v>
      </c>
      <c r="D349" s="366"/>
      <c r="E349" s="344" t="s">
        <v>0</v>
      </c>
      <c r="F349" s="352" t="s">
        <v>0</v>
      </c>
      <c r="G349" s="353"/>
      <c r="H349" s="346"/>
      <c r="I349" s="244"/>
      <c r="J349" s="194"/>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c r="DP349" s="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s="52"/>
      <c r="AAA349" s="192"/>
      <c r="AAD349" s="90"/>
      <c r="AAE349" s="519">
        <f t="shared" si="290"/>
        <v>0</v>
      </c>
      <c r="AAF349" s="190" t="s">
        <v>52</v>
      </c>
      <c r="AAG349" s="71" t="s">
        <v>0</v>
      </c>
      <c r="AAH349" s="71"/>
      <c r="AAI349" s="71"/>
      <c r="AAJ349" s="79"/>
      <c r="AAK349" s="56"/>
      <c r="AAL349" s="90"/>
    </row>
    <row r="350" spans="1:715" s="23" customFormat="1" ht="15" hidden="1" customHeight="1" outlineLevel="1">
      <c r="A350" s="171"/>
      <c r="B350" s="367" t="s">
        <v>168</v>
      </c>
      <c r="C350" s="362" t="s">
        <v>0</v>
      </c>
      <c r="D350" s="366"/>
      <c r="E350" s="344" t="s">
        <v>0</v>
      </c>
      <c r="F350" s="345" t="s">
        <v>0</v>
      </c>
      <c r="G350" s="354"/>
      <c r="H350" s="346"/>
      <c r="I350" s="244"/>
      <c r="J350" s="194"/>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s="52"/>
      <c r="AAA350" s="192"/>
      <c r="AAD350" s="90"/>
      <c r="AAE350" s="519">
        <f t="shared" si="290"/>
        <v>0</v>
      </c>
      <c r="AAF350" s="190" t="s">
        <v>52</v>
      </c>
      <c r="AAG350" s="71" t="s">
        <v>0</v>
      </c>
      <c r="AAH350" s="71"/>
      <c r="AAI350" s="71"/>
      <c r="AAJ350" s="79"/>
      <c r="AAK350" s="56"/>
      <c r="AAL350" s="90"/>
    </row>
    <row r="351" spans="1:715" ht="15.75" hidden="1" customHeight="1" outlineLevel="1">
      <c r="A351" s="171"/>
      <c r="B351" s="286" t="s">
        <v>327</v>
      </c>
      <c r="C351" s="364" t="s">
        <v>0</v>
      </c>
      <c r="D351" s="380"/>
      <c r="E351" s="349">
        <f t="shared" si="291"/>
        <v>1</v>
      </c>
      <c r="F351" s="457">
        <f t="shared" ref="F351:F357" ca="1" si="292">IF(YEAR(H351)&gt;2000,NETWORKDAYS(TODAY(),H351,S.DDL_DEQClosed),0)</f>
        <v>0</v>
      </c>
      <c r="G351" s="343">
        <f>AAG351</f>
        <v>10</v>
      </c>
      <c r="H351" s="487">
        <f t="shared" ref="G351:H357" si="293">AAH351</f>
        <v>10</v>
      </c>
      <c r="I351" s="244"/>
      <c r="J351" s="194"/>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AAA351" s="192"/>
      <c r="AAD351" s="90"/>
      <c r="AAE351" s="519">
        <f t="shared" si="290"/>
        <v>0</v>
      </c>
      <c r="AAF351" s="90"/>
      <c r="AAG351" s="73">
        <f>WORKDAY(G348+9,1,S.DDL_DEQClosed)</f>
        <v>10</v>
      </c>
      <c r="AAH351" s="73">
        <f t="shared" ref="AAH351:AAH357" si="294">G351</f>
        <v>10</v>
      </c>
      <c r="AAI351" s="72"/>
      <c r="AAJ351" s="72"/>
      <c r="AAK351" s="75"/>
      <c r="AAL351" s="90"/>
      <c r="AAM351"/>
    </row>
    <row r="352" spans="1:715" s="23" customFormat="1" ht="15.75" hidden="1" customHeight="1" outlineLevel="1">
      <c r="A352" s="171"/>
      <c r="B352" s="291" t="str">
        <f t="shared" ref="B352:B357" si="295">AAK352</f>
        <v>DAS sends AndreaRW response</v>
      </c>
      <c r="C352" s="364" t="s">
        <v>0</v>
      </c>
      <c r="D352" s="380"/>
      <c r="E352" s="349">
        <f>NETWORKDAYS(G352,H352,S.DDL_DEQClosed)</f>
        <v>1</v>
      </c>
      <c r="F352" s="457">
        <f t="shared" ca="1" si="292"/>
        <v>0</v>
      </c>
      <c r="G352" s="487">
        <f>AAG352</f>
        <v>10</v>
      </c>
      <c r="H352" s="355">
        <f t="shared" ref="H352" si="296">AAH352</f>
        <v>10</v>
      </c>
      <c r="I352" s="244"/>
      <c r="J352" s="194"/>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s="52"/>
      <c r="AAA352" s="192"/>
      <c r="AAB352"/>
      <c r="AAC352"/>
      <c r="AAD352" s="90"/>
      <c r="AAE352" s="519">
        <f t="shared" si="290"/>
        <v>0</v>
      </c>
      <c r="AAF352" s="90"/>
      <c r="AAG352" s="73">
        <f>H351</f>
        <v>10</v>
      </c>
      <c r="AAH352" s="73">
        <f t="shared" ref="AAH352" si="297">G352</f>
        <v>10</v>
      </c>
      <c r="AAI352" s="72"/>
      <c r="AAJ352" s="72"/>
      <c r="AAK352" s="92" t="str">
        <f>"DAS sends "&amp;S.Staff.Lead&amp;" response"</f>
        <v>DAS sends AndreaRW response</v>
      </c>
      <c r="AAL352" s="90"/>
    </row>
    <row r="353" spans="1:715" s="23" customFormat="1" ht="15.75" hidden="1" customHeight="1" outlineLevel="1">
      <c r="A353" s="171"/>
      <c r="B353" s="287" t="str">
        <f t="shared" si="295"/>
        <v>If denied, AndreaRW coordinates addressing DAS response</v>
      </c>
      <c r="C353" s="364" t="s">
        <v>0</v>
      </c>
      <c r="D353" s="380"/>
      <c r="E353" s="349">
        <f t="shared" ref="E353" si="298">NETWORKDAYS(G353,H353,S.DDL_DEQClosed)</f>
        <v>1</v>
      </c>
      <c r="F353" s="457">
        <f t="shared" ca="1" si="292"/>
        <v>0</v>
      </c>
      <c r="G353" s="343">
        <f>AAG353</f>
        <v>10</v>
      </c>
      <c r="H353" s="487">
        <f t="shared" ref="H353" si="299">AAH353</f>
        <v>10</v>
      </c>
      <c r="I353" s="244"/>
      <c r="J353" s="194"/>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s="52"/>
      <c r="AAA353" s="192"/>
      <c r="AAD353" s="90"/>
      <c r="AAE353" s="519">
        <f t="shared" si="290"/>
        <v>0</v>
      </c>
      <c r="AAF353" s="90"/>
      <c r="AAG353" s="73">
        <f>H352</f>
        <v>10</v>
      </c>
      <c r="AAH353" s="73">
        <f t="shared" ref="AAH353" si="300">G353</f>
        <v>10</v>
      </c>
      <c r="AAI353" s="72"/>
      <c r="AAJ353" s="72"/>
      <c r="AAK353" s="92" t="str">
        <f>"If denied, "&amp;S.Staff.Lead&amp;" coordinates addressing DAS response"</f>
        <v>If denied, AndreaRW coordinates addressing DAS response</v>
      </c>
      <c r="AAL353" s="90"/>
    </row>
    <row r="354" spans="1:715" ht="15.75" hidden="1" customHeight="1" outlineLevel="1" thickBot="1">
      <c r="A354" s="171"/>
      <c r="B354" s="483" t="str">
        <f t="shared" si="295"/>
        <v>1st loop of MargaretMGR's approval of response to DAS denial</v>
      </c>
      <c r="C354" s="360" t="s">
        <v>0</v>
      </c>
      <c r="D354" s="380"/>
      <c r="E354" s="349">
        <f>NETWORKDAYS(G354,H354,S.DDL_DEQClosed)</f>
        <v>1</v>
      </c>
      <c r="F354" s="457">
        <f t="shared" ca="1" si="292"/>
        <v>0</v>
      </c>
      <c r="G354" s="343">
        <f t="shared" si="293"/>
        <v>10</v>
      </c>
      <c r="H354" s="343">
        <f t="shared" si="293"/>
        <v>10</v>
      </c>
      <c r="I354" s="244"/>
      <c r="J354" s="194"/>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AAA354" s="192"/>
      <c r="AAD354" s="90"/>
      <c r="AAE354" s="519">
        <f t="shared" si="290"/>
        <v>0</v>
      </c>
      <c r="AAF354" s="90"/>
      <c r="AAG354" s="73">
        <f>H353</f>
        <v>10</v>
      </c>
      <c r="AAH354" s="73">
        <f t="shared" si="294"/>
        <v>10</v>
      </c>
      <c r="AAI354" s="72"/>
      <c r="AAJ354" s="72"/>
      <c r="AAK354" s="254" t="str">
        <f>"1st loop of "&amp;S.Staff.Mgr&amp;"'s approval of response to DAS denial"</f>
        <v>1st loop of MargaretMGR's approval of response to DAS denial</v>
      </c>
      <c r="AAL354" s="90"/>
      <c r="AAM354"/>
    </row>
    <row r="355" spans="1:715" ht="15.75" hidden="1" customHeight="1" outlineLevel="1" thickBot="1">
      <c r="A355" s="171"/>
      <c r="B355" s="516" t="str">
        <f t="shared" si="295"/>
        <v>2nd loop of MargaretMGR's approval of response to DAS denial</v>
      </c>
      <c r="C355" s="611" t="s">
        <v>303</v>
      </c>
      <c r="D355" s="380"/>
      <c r="E355" s="349">
        <f>NETWORKDAYS(G355,H355,S.DDL_DEQClosed)</f>
        <v>0</v>
      </c>
      <c r="F355" s="457">
        <f t="shared" ca="1" si="292"/>
        <v>0</v>
      </c>
      <c r="G355" s="343">
        <f t="shared" si="293"/>
        <v>0</v>
      </c>
      <c r="H355" s="343">
        <f t="shared" si="293"/>
        <v>0</v>
      </c>
      <c r="I355" s="244"/>
      <c r="J355" s="194"/>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AAA355" s="192"/>
      <c r="AAD355" s="90"/>
      <c r="AAE355" s="519">
        <f>IF(AND(S.Fee.ApproveDASdenialResponseLoop1="Y",S.Fee.Involved="Y",S.Fee.DASApprovalRequired="Y"),1,0)</f>
        <v>0</v>
      </c>
      <c r="AAF355" s="90"/>
      <c r="AAG355" s="73">
        <f>IF(S.Fee.ApproveDASdenialResponseLoop1="N",,H354)</f>
        <v>0</v>
      </c>
      <c r="AAH355" s="73">
        <f t="shared" si="294"/>
        <v>0</v>
      </c>
      <c r="AAI355" s="72"/>
      <c r="AAJ355" s="72"/>
      <c r="AAK355" s="254" t="str">
        <f>"2nd loop of "&amp;S.Staff.Mgr&amp;"'s approval of response to DAS denial"</f>
        <v>2nd loop of MargaretMGR's approval of response to DAS denial</v>
      </c>
      <c r="AAL355" s="90"/>
      <c r="AAM355"/>
    </row>
    <row r="356" spans="1:715" ht="15.75" hidden="1" customHeight="1" outlineLevel="1" thickBot="1">
      <c r="A356" s="171"/>
      <c r="B356" s="480" t="str">
        <f t="shared" si="295"/>
        <v>3rd loop of MargaretMGR's approval of response to DAS denial</v>
      </c>
      <c r="C356" s="611" t="s">
        <v>303</v>
      </c>
      <c r="D356" s="380"/>
      <c r="E356" s="349">
        <f>NETWORKDAYS(G356,H356,S.DDL_DEQClosed)</f>
        <v>0</v>
      </c>
      <c r="F356" s="457">
        <f t="shared" ca="1" si="292"/>
        <v>0</v>
      </c>
      <c r="G356" s="343">
        <f t="shared" si="293"/>
        <v>0</v>
      </c>
      <c r="H356" s="343">
        <f t="shared" si="293"/>
        <v>0</v>
      </c>
      <c r="I356" s="244"/>
      <c r="J356" s="194"/>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AAA356" s="192"/>
      <c r="AAD356" s="90"/>
      <c r="AAE356" s="519">
        <f>IF(AND(S.Fee.ApproveDASdenialResponseLoop2="Y",S.Fee.Involved="Y",S.Fee.DASApprovalRequired="Y"),1,0)</f>
        <v>0</v>
      </c>
      <c r="AAF356" s="90"/>
      <c r="AAG356" s="73">
        <f>IF(S.Fee.ApproveDASdenialResponseLoop2="N",,H355)</f>
        <v>0</v>
      </c>
      <c r="AAH356" s="73">
        <f t="shared" si="294"/>
        <v>0</v>
      </c>
      <c r="AAI356" s="72"/>
      <c r="AAJ356" s="72"/>
      <c r="AAK356" s="254" t="str">
        <f>"3rd loop of "&amp;S.Staff.Mgr&amp;"'s approval of response to DAS denial"</f>
        <v>3rd loop of MargaretMGR's approval of response to DAS denial</v>
      </c>
      <c r="AAL356" s="90"/>
      <c r="AAM356"/>
    </row>
    <row r="357" spans="1:715" ht="15.75" hidden="1" customHeight="1" outlineLevel="1" thickBot="1">
      <c r="A357" s="171"/>
      <c r="B357" s="654" t="str">
        <f t="shared" si="295"/>
        <v>4th loop of MargaretMGR's approval of response to DAS denial</v>
      </c>
      <c r="C357" s="611" t="s">
        <v>303</v>
      </c>
      <c r="D357" s="380"/>
      <c r="E357" s="349">
        <f>NETWORKDAYS(G357,H357,S.DDL_DEQClosed)</f>
        <v>0</v>
      </c>
      <c r="F357" s="457">
        <f t="shared" ca="1" si="292"/>
        <v>0</v>
      </c>
      <c r="G357" s="343">
        <f t="shared" si="293"/>
        <v>0</v>
      </c>
      <c r="H357" s="343">
        <f t="shared" si="293"/>
        <v>0</v>
      </c>
      <c r="I357" s="244"/>
      <c r="J357" s="194"/>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c r="DN357" s="49"/>
      <c r="DO357" s="49"/>
      <c r="DP357" s="49"/>
      <c r="AAA357" s="192"/>
      <c r="AAD357" s="90"/>
      <c r="AAE357" s="519">
        <f>IF(AND(S.Fee.ApproveDASdenialResponseLoop4="Y",S.Fee.Involved="Y",S.Fee.DASApprovalRequired="Y"),1,0)</f>
        <v>0</v>
      </c>
      <c r="AAF357" s="90"/>
      <c r="AAG357" s="73">
        <f>IF(S.Fee.ApproveDASdenialResponseLoop4="N",,H356)</f>
        <v>0</v>
      </c>
      <c r="AAH357" s="73">
        <f t="shared" si="294"/>
        <v>0</v>
      </c>
      <c r="AAI357" s="72"/>
      <c r="AAJ357" s="72"/>
      <c r="AAK357" s="254" t="str">
        <f>"4th loop of "&amp;S.Staff.Mgr&amp;"'s approval of response to DAS denial"</f>
        <v>4th loop of MargaretMGR's approval of response to DAS denial</v>
      </c>
      <c r="AAL357" s="90"/>
      <c r="AAM357"/>
    </row>
    <row r="358" spans="1:715" s="23" customFormat="1" ht="15.75" hidden="1" customHeight="1" outlineLevel="1">
      <c r="A358" s="171"/>
      <c r="B358" s="371" t="str">
        <f>AAK358</f>
        <v>If approved, AndreaRW scans and files DAS.PART1.pdf</v>
      </c>
      <c r="C358" s="364" t="s">
        <v>0</v>
      </c>
      <c r="D358" s="380"/>
      <c r="E358" s="349">
        <f>NETWORKDAYS(G358,H358,S.DDL_DEQClosed)</f>
        <v>1</v>
      </c>
      <c r="F358" s="457">
        <f ca="1">IF(YEAR(H358)&gt;2000,NETWORKDAYS(TODAY(),H358,S.DDL_DEQClosed),0)</f>
        <v>0</v>
      </c>
      <c r="G358" s="487">
        <f>AAG358</f>
        <v>10</v>
      </c>
      <c r="H358" s="355">
        <f t="shared" ref="H358" si="301">AAH358</f>
        <v>10</v>
      </c>
      <c r="I358" s="244"/>
      <c r="J358" s="194"/>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c r="DN358" s="49"/>
      <c r="DO358" s="49"/>
      <c r="DP358" s="49"/>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s="52"/>
      <c r="AAA358" s="192"/>
      <c r="AAD358" s="90"/>
      <c r="AAE358" s="519">
        <f>IF(AND(S.Fee.Involved="Y",S.Fee.DASApprovalRequired="Y"),1,0)</f>
        <v>0</v>
      </c>
      <c r="AAF358" s="90"/>
      <c r="AAG358" s="73">
        <f>H352</f>
        <v>10</v>
      </c>
      <c r="AAH358" s="73">
        <f>G358</f>
        <v>10</v>
      </c>
      <c r="AAI358" s="72"/>
      <c r="AAJ358" s="72"/>
      <c r="AAK358" s="76" t="str">
        <f>"If approved, "&amp;S.Staff.Lead&amp;" scans and files DAS.PART1.pdf"</f>
        <v>If approved, AndreaRW scans and files DAS.PART1.pdf</v>
      </c>
      <c r="AAL358" s="90"/>
    </row>
    <row r="359" spans="1:715" s="23" customFormat="1" ht="15" hidden="1" customHeight="1" outlineLevel="1">
      <c r="A359" s="171"/>
      <c r="B359" s="368" t="s">
        <v>162</v>
      </c>
      <c r="C359" s="362" t="s">
        <v>0</v>
      </c>
      <c r="D359" s="369"/>
      <c r="E359" s="344" t="s">
        <v>0</v>
      </c>
      <c r="F359" s="345" t="s">
        <v>0</v>
      </c>
      <c r="G359" s="353"/>
      <c r="H359" s="346"/>
      <c r="I359" s="244"/>
      <c r="J359" s="194"/>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c r="DK359" s="49"/>
      <c r="DL359" s="49"/>
      <c r="DM359" s="49"/>
      <c r="DN359" s="49"/>
      <c r="DO359" s="49"/>
      <c r="DP359" s="4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s="52"/>
      <c r="AAA359" s="192"/>
      <c r="AAD359" s="90"/>
      <c r="AAE359" s="519">
        <f>IF(AND(S.Fee.Involved="Y",S.Fee.DASApprovalRequired="Y"),1,0)</f>
        <v>0</v>
      </c>
      <c r="AAF359" s="190" t="s">
        <v>52</v>
      </c>
      <c r="AAG359" s="71" t="s">
        <v>0</v>
      </c>
      <c r="AAH359" s="71"/>
      <c r="AAI359" s="71"/>
      <c r="AAJ359" s="79"/>
      <c r="AAK359" s="56"/>
      <c r="AAL359" s="90"/>
    </row>
    <row r="360" spans="1:715" s="23" customFormat="1" ht="15" hidden="1" customHeight="1" outlineLevel="1">
      <c r="A360" s="171"/>
      <c r="B360" s="288" t="str">
        <f>AAK360</f>
        <v>AndreaRW gathers all fee emails for the Rule Record and saves as:</v>
      </c>
      <c r="C360" s="789" t="str">
        <f>HYPERLINK("\\deqhq1\Rule_Development\Currrent Plan","i")</f>
        <v>i</v>
      </c>
      <c r="D360" s="380"/>
      <c r="E360" s="344" t="s">
        <v>0</v>
      </c>
      <c r="F360" s="345" t="s">
        <v>0</v>
      </c>
      <c r="G360" s="346"/>
      <c r="H360" s="346"/>
      <c r="I360" s="244"/>
      <c r="J360" s="194"/>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c r="DK360" s="49"/>
      <c r="DL360" s="49"/>
      <c r="DM360" s="49"/>
      <c r="DN360" s="49"/>
      <c r="DO360" s="49"/>
      <c r="DP360" s="49"/>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s="52"/>
      <c r="AAA360" s="192"/>
      <c r="AAD360" s="90"/>
      <c r="AAE360" s="519">
        <f>IF(S.Fee.Involved="Y",1,0)</f>
        <v>0</v>
      </c>
      <c r="AAF360" s="190" t="s">
        <v>52</v>
      </c>
      <c r="AAG360" s="71" t="s">
        <v>0</v>
      </c>
      <c r="AAH360" s="71"/>
      <c r="AAI360" s="71"/>
      <c r="AAJ360" s="79"/>
      <c r="AAK360" s="76" t="str">
        <f>S.Staff.Lead&amp;" gathers all fee emails for the Rule Record and saves as:"</f>
        <v>AndreaRW gathers all fee emails for the Rule Record and saves as:</v>
      </c>
      <c r="AAL360" s="90"/>
    </row>
    <row r="361" spans="1:715" s="23" customFormat="1" ht="15.75" hidden="1" customHeight="1" outlineLevel="1">
      <c r="A361" s="171"/>
      <c r="B361" s="372" t="s">
        <v>169</v>
      </c>
      <c r="C361" s="362"/>
      <c r="D361" s="362"/>
      <c r="E361" s="350"/>
      <c r="F361" s="350"/>
      <c r="G361" s="346"/>
      <c r="H361" s="346"/>
      <c r="I361" s="244"/>
      <c r="J361" s="194"/>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c r="DK361" s="49"/>
      <c r="DL361" s="49"/>
      <c r="DM361" s="49"/>
      <c r="DN361" s="49"/>
      <c r="DO361" s="49"/>
      <c r="DP361" s="49"/>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s="52"/>
      <c r="AAA361" s="192"/>
      <c r="AAD361" s="90"/>
      <c r="AAE361" s="519">
        <f>IF(S.Fee.Involved="Y",1,0)</f>
        <v>0</v>
      </c>
      <c r="AAF361" s="190" t="s">
        <v>52</v>
      </c>
      <c r="AAG361" s="71"/>
      <c r="AAH361" s="71"/>
      <c r="AAI361" s="71"/>
      <c r="AAJ361" s="56"/>
      <c r="AAK361" s="71" t="s">
        <v>0</v>
      </c>
      <c r="AAL361" s="90"/>
    </row>
    <row r="362" spans="1:715" ht="6" customHeight="1" collapsed="1">
      <c r="A362" s="171"/>
      <c r="B362" s="135"/>
      <c r="C362" s="114"/>
      <c r="D362" s="136"/>
      <c r="E362" s="97"/>
      <c r="F362" s="97"/>
      <c r="G362" s="137"/>
      <c r="H362" s="138"/>
      <c r="I362" s="244"/>
      <c r="J362" s="218"/>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c r="DP362" s="49"/>
      <c r="AAA362" s="192"/>
      <c r="AAD362" s="90"/>
      <c r="AAE362" s="519" t="s">
        <v>21</v>
      </c>
      <c r="AAF362" s="190" t="s">
        <v>52</v>
      </c>
      <c r="AAG362" s="60"/>
      <c r="AAH362" s="60"/>
      <c r="AAI362" s="72"/>
      <c r="AAJ362" s="72"/>
      <c r="AAK362" s="75"/>
      <c r="AAL362" s="90"/>
      <c r="AAM362"/>
    </row>
    <row r="363" spans="1:715" s="23" customFormat="1" ht="18" customHeight="1">
      <c r="A363" s="171"/>
      <c r="B363" s="898" t="str">
        <f>AAK25</f>
        <v>Public Notice</v>
      </c>
      <c r="C363" s="898"/>
      <c r="D363" s="898"/>
      <c r="E363" s="898"/>
      <c r="F363" s="898"/>
      <c r="G363" s="898"/>
      <c r="H363" s="898"/>
      <c r="I363" s="244"/>
      <c r="J363" s="21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c r="BG363" s="47"/>
      <c r="BH363" s="47"/>
      <c r="BI363" s="47"/>
      <c r="BJ363" s="47"/>
      <c r="BK363" s="47"/>
      <c r="BL363" s="47"/>
      <c r="BM363" s="47"/>
      <c r="BN363" s="47"/>
      <c r="BO363" s="47"/>
      <c r="BP363" s="47"/>
      <c r="BQ363" s="47"/>
      <c r="BR363" s="47"/>
      <c r="BS363" s="47"/>
      <c r="BT363" s="47"/>
      <c r="BU363" s="47"/>
      <c r="BV363" s="47"/>
      <c r="BW363" s="47"/>
      <c r="BX363" s="47"/>
      <c r="BY363" s="47"/>
      <c r="BZ363" s="47"/>
      <c r="CA363" s="47"/>
      <c r="CB363" s="47"/>
      <c r="CC363" s="47"/>
      <c r="CD363" s="47"/>
      <c r="CE363" s="47"/>
      <c r="CF363" s="47"/>
      <c r="CG363" s="47"/>
      <c r="CH363" s="47"/>
      <c r="CI363" s="47"/>
      <c r="CJ363" s="47"/>
      <c r="CK363" s="47"/>
      <c r="CL363" s="47"/>
      <c r="CM363" s="47"/>
      <c r="CN363" s="47"/>
      <c r="CO363" s="47"/>
      <c r="CP363" s="47"/>
      <c r="CQ363" s="47"/>
      <c r="CR363" s="47"/>
      <c r="CS363" s="47"/>
      <c r="CT363" s="47"/>
      <c r="CU363" s="47"/>
      <c r="CV363" s="47"/>
      <c r="CW363" s="47"/>
      <c r="CX363" s="47"/>
      <c r="CY363" s="47"/>
      <c r="CZ363" s="47"/>
      <c r="DA363" s="47"/>
      <c r="DB363" s="47"/>
      <c r="DC363" s="47"/>
      <c r="DD363" s="47"/>
      <c r="DE363" s="47"/>
      <c r="DF363" s="47"/>
      <c r="DG363" s="47"/>
      <c r="DH363" s="47"/>
      <c r="DI363" s="47"/>
      <c r="DJ363" s="47"/>
      <c r="DK363" s="47"/>
      <c r="DL363" s="47"/>
      <c r="DM363" s="47"/>
      <c r="DN363" s="47"/>
      <c r="DO363" s="47"/>
      <c r="DP363" s="47"/>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s="52"/>
      <c r="AAA363" s="192"/>
      <c r="AAB363"/>
      <c r="AAC363"/>
      <c r="AAD363" s="90"/>
      <c r="AAE363" s="519" t="s">
        <v>22</v>
      </c>
      <c r="AAF363" s="190" t="s">
        <v>52</v>
      </c>
      <c r="AAG363" s="90"/>
      <c r="AAH363" s="90"/>
      <c r="AAI363" s="72"/>
      <c r="AAJ363" s="81"/>
      <c r="AAK363" s="71"/>
      <c r="AAL363" s="90"/>
    </row>
    <row r="364" spans="1:715" s="23" customFormat="1" ht="14.25" customHeight="1">
      <c r="A364" s="171"/>
      <c r="B364" s="141" t="s">
        <v>0</v>
      </c>
      <c r="C364" s="100" t="s">
        <v>0</v>
      </c>
      <c r="D364" s="237"/>
      <c r="E364" s="848" t="s">
        <v>225</v>
      </c>
      <c r="F364" s="848"/>
      <c r="G364" s="848" t="s">
        <v>12</v>
      </c>
      <c r="H364" s="848"/>
      <c r="I364" s="244"/>
      <c r="J364" s="195"/>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c r="BG364" s="47"/>
      <c r="BH364" s="47"/>
      <c r="BI364" s="47"/>
      <c r="BJ364" s="47"/>
      <c r="BK364" s="47"/>
      <c r="BL364" s="47"/>
      <c r="BM364" s="47"/>
      <c r="BN364" s="47"/>
      <c r="BO364" s="47"/>
      <c r="BP364" s="47"/>
      <c r="BQ364" s="47"/>
      <c r="BR364" s="47"/>
      <c r="BS364" s="47"/>
      <c r="BT364" s="47"/>
      <c r="BU364" s="47"/>
      <c r="BV364" s="47"/>
      <c r="BW364" s="47"/>
      <c r="BX364" s="47"/>
      <c r="BY364" s="47"/>
      <c r="BZ364" s="47"/>
      <c r="CA364" s="47"/>
      <c r="CB364" s="47"/>
      <c r="CC364" s="47"/>
      <c r="CD364" s="47"/>
      <c r="CE364" s="47"/>
      <c r="CF364" s="47"/>
      <c r="CG364" s="47"/>
      <c r="CH364" s="47"/>
      <c r="CI364" s="47"/>
      <c r="CJ364" s="47"/>
      <c r="CK364" s="47"/>
      <c r="CL364" s="47"/>
      <c r="CM364" s="47"/>
      <c r="CN364" s="47"/>
      <c r="CO364" s="47"/>
      <c r="CP364" s="47"/>
      <c r="CQ364" s="47"/>
      <c r="CR364" s="47"/>
      <c r="CS364" s="47"/>
      <c r="CT364" s="47"/>
      <c r="CU364" s="47"/>
      <c r="CV364" s="47"/>
      <c r="CW364" s="47"/>
      <c r="CX364" s="47"/>
      <c r="CY364" s="47"/>
      <c r="CZ364" s="47"/>
      <c r="DA364" s="47"/>
      <c r="DB364" s="47"/>
      <c r="DC364" s="47"/>
      <c r="DD364" s="47"/>
      <c r="DE364" s="47"/>
      <c r="DF364" s="47"/>
      <c r="DG364" s="47"/>
      <c r="DH364" s="47"/>
      <c r="DI364" s="47"/>
      <c r="DJ364" s="47"/>
      <c r="DK364" s="47"/>
      <c r="DL364" s="47"/>
      <c r="DM364" s="47"/>
      <c r="DN364" s="47"/>
      <c r="DO364" s="47"/>
      <c r="DP364" s="47"/>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s="52"/>
      <c r="AAA364" s="192"/>
      <c r="AAD364" s="90"/>
      <c r="AAE364" s="519" t="s">
        <v>63</v>
      </c>
      <c r="AAF364" s="190" t="s">
        <v>52</v>
      </c>
      <c r="AAG364" s="90"/>
      <c r="AAH364" s="90"/>
      <c r="AAI364" s="72"/>
      <c r="AAJ364" s="81"/>
      <c r="AAK364" s="71"/>
      <c r="AAL364" s="90"/>
    </row>
    <row r="365" spans="1:715" s="552" customFormat="1" ht="24" customHeight="1">
      <c r="A365" s="545"/>
      <c r="B365" s="686" t="str">
        <f>S.General.RulemakingTitle</f>
        <v>Incorporate Lane Regional Air Protection Agency Rules into State Implementation Plan</v>
      </c>
      <c r="C365" s="547" t="s">
        <v>0</v>
      </c>
      <c r="D365" s="547"/>
      <c r="E365" s="559" t="s">
        <v>228</v>
      </c>
      <c r="F365" s="560" t="s">
        <v>226</v>
      </c>
      <c r="G365" s="548" t="s">
        <v>61</v>
      </c>
      <c r="H365" s="548" t="s">
        <v>227</v>
      </c>
      <c r="I365" s="549"/>
      <c r="J365" s="550"/>
      <c r="K365" s="551"/>
      <c r="L365" s="551"/>
      <c r="M365" s="551"/>
      <c r="N365" s="551"/>
      <c r="O365" s="551"/>
      <c r="P365" s="551"/>
      <c r="Q365" s="551"/>
      <c r="R365" s="551"/>
      <c r="S365" s="551"/>
      <c r="T365" s="551"/>
      <c r="U365" s="551"/>
      <c r="V365" s="551"/>
      <c r="W365" s="551"/>
      <c r="X365" s="551"/>
      <c r="Y365" s="551"/>
      <c r="Z365" s="551"/>
      <c r="AA365" s="551"/>
      <c r="AB365" s="551"/>
      <c r="AC365" s="551"/>
      <c r="AD365" s="551"/>
      <c r="AE365" s="551"/>
      <c r="AF365" s="551"/>
      <c r="AG365" s="551"/>
      <c r="AH365" s="551"/>
      <c r="AI365" s="551"/>
      <c r="AJ365" s="551"/>
      <c r="AK365" s="551"/>
      <c r="AL365" s="551"/>
      <c r="AM365" s="551"/>
      <c r="AN365" s="551"/>
      <c r="AO365" s="551"/>
      <c r="AP365" s="551"/>
      <c r="AQ365" s="551"/>
      <c r="AR365" s="551"/>
      <c r="AS365" s="551"/>
      <c r="AT365" s="551"/>
      <c r="AU365" s="551"/>
      <c r="AV365" s="551"/>
      <c r="AW365" s="551"/>
      <c r="AX365" s="551"/>
      <c r="AY365" s="551"/>
      <c r="AZ365" s="551"/>
      <c r="BA365" s="551"/>
      <c r="BB365" s="551"/>
      <c r="BC365" s="551"/>
      <c r="BD365" s="551"/>
      <c r="BE365" s="551"/>
      <c r="BF365" s="551"/>
      <c r="BG365" s="551"/>
      <c r="BH365" s="551"/>
      <c r="BI365" s="551"/>
      <c r="BJ365" s="551"/>
      <c r="BK365" s="551"/>
      <c r="BL365" s="551"/>
      <c r="BM365" s="551"/>
      <c r="BN365" s="551"/>
      <c r="BO365" s="551"/>
      <c r="BP365" s="551"/>
      <c r="BQ365" s="551"/>
      <c r="BR365" s="551"/>
      <c r="BS365" s="551"/>
      <c r="BT365" s="551"/>
      <c r="BU365" s="551"/>
      <c r="BV365" s="551"/>
      <c r="BW365" s="551"/>
      <c r="BX365" s="551"/>
      <c r="BY365" s="551"/>
      <c r="BZ365" s="551"/>
      <c r="CA365" s="551"/>
      <c r="CB365" s="551"/>
      <c r="CC365" s="551"/>
      <c r="CD365" s="551"/>
      <c r="CE365" s="551"/>
      <c r="CF365" s="551"/>
      <c r="CG365" s="551"/>
      <c r="CH365" s="551"/>
      <c r="CI365" s="551"/>
      <c r="CJ365" s="551"/>
      <c r="CK365" s="551"/>
      <c r="CL365" s="551"/>
      <c r="CM365" s="551"/>
      <c r="CN365" s="551"/>
      <c r="CO365" s="551"/>
      <c r="CP365" s="551"/>
      <c r="CQ365" s="551"/>
      <c r="CR365" s="551"/>
      <c r="CS365" s="551"/>
      <c r="CT365" s="551"/>
      <c r="CU365" s="551"/>
      <c r="CV365" s="551"/>
      <c r="CW365" s="551"/>
      <c r="CX365" s="551"/>
      <c r="CY365" s="551"/>
      <c r="CZ365" s="551"/>
      <c r="DA365" s="551"/>
      <c r="DB365" s="551"/>
      <c r="DC365" s="551"/>
      <c r="DD365" s="551"/>
      <c r="DE365" s="551"/>
      <c r="DF365" s="551"/>
      <c r="DG365" s="551"/>
      <c r="DH365" s="551"/>
      <c r="DI365" s="551"/>
      <c r="DJ365" s="551"/>
      <c r="DK365" s="551"/>
      <c r="DL365" s="551"/>
      <c r="DM365" s="551"/>
      <c r="DN365" s="551"/>
      <c r="DO365" s="551"/>
      <c r="DP365" s="551"/>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s="52"/>
      <c r="AAA365" s="770"/>
      <c r="AAD365" s="553"/>
      <c r="AAE365" s="554" t="s">
        <v>63</v>
      </c>
      <c r="AAF365" s="555" t="s">
        <v>52</v>
      </c>
      <c r="AAG365" s="553"/>
      <c r="AAH365" s="553"/>
      <c r="AAI365" s="556"/>
      <c r="AAJ365" s="557"/>
      <c r="AAK365" s="558"/>
      <c r="AAL365" s="553"/>
    </row>
    <row r="366" spans="1:715" ht="18" customHeight="1">
      <c r="A366" s="171"/>
      <c r="B366" s="882" t="s">
        <v>12</v>
      </c>
      <c r="C366" s="882"/>
      <c r="D366" s="882"/>
      <c r="E366" s="882"/>
      <c r="F366" s="260">
        <f>NETWORKDAYS(S.Notice.BANNER.Begin,S.Notice.BANNER.End,S.DDL_DEQClosed)</f>
        <v>56</v>
      </c>
      <c r="G366" s="258">
        <f>AAG366</f>
        <v>41572</v>
      </c>
      <c r="H366" s="142">
        <f>AAH366</f>
        <v>41655</v>
      </c>
      <c r="I366" s="244"/>
      <c r="J366" s="216"/>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c r="AV366" s="219"/>
      <c r="AW366" s="219"/>
      <c r="AX366" s="219"/>
      <c r="AY366" s="219"/>
      <c r="AZ366" s="219"/>
      <c r="BA366" s="219"/>
      <c r="BB366" s="219"/>
      <c r="BC366" s="219"/>
      <c r="BD366" s="219"/>
      <c r="BE366" s="219"/>
      <c r="BF366" s="219"/>
      <c r="BG366" s="219"/>
      <c r="BH366" s="219"/>
      <c r="BI366" s="219"/>
      <c r="BJ366" s="219"/>
      <c r="BK366" s="219"/>
      <c r="BL366" s="219"/>
      <c r="BM366" s="219"/>
      <c r="BN366" s="219"/>
      <c r="BO366" s="219"/>
      <c r="BP366" s="219"/>
      <c r="BQ366" s="219"/>
      <c r="BR366" s="219"/>
      <c r="BS366" s="219"/>
      <c r="BT366" s="219"/>
      <c r="BU366" s="219"/>
      <c r="BV366" s="219"/>
      <c r="BW366" s="219"/>
      <c r="BX366" s="219"/>
      <c r="BY366" s="219"/>
      <c r="BZ366" s="219"/>
      <c r="CA366" s="219"/>
      <c r="CB366" s="219"/>
      <c r="CC366" s="219"/>
      <c r="CD366" s="219"/>
      <c r="CE366" s="219"/>
      <c r="CF366" s="219"/>
      <c r="CG366" s="219"/>
      <c r="CH366" s="219"/>
      <c r="CI366" s="219"/>
      <c r="CJ366" s="219"/>
      <c r="CK366" s="219"/>
      <c r="CL366" s="219"/>
      <c r="CM366" s="219"/>
      <c r="CN366" s="219"/>
      <c r="CO366" s="219"/>
      <c r="CP366" s="219"/>
      <c r="CQ366" s="219"/>
      <c r="CR366" s="219"/>
      <c r="CS366" s="219"/>
      <c r="CT366" s="219"/>
      <c r="CU366" s="219"/>
      <c r="CV366" s="219"/>
      <c r="CW366" s="219"/>
      <c r="CX366" s="219"/>
      <c r="CY366" s="219"/>
      <c r="CZ366" s="219"/>
      <c r="DA366" s="219"/>
      <c r="DB366" s="219"/>
      <c r="DC366" s="219"/>
      <c r="DD366" s="219"/>
      <c r="DE366" s="219"/>
      <c r="DF366" s="219"/>
      <c r="DG366" s="219"/>
      <c r="DH366" s="219"/>
      <c r="DI366" s="219"/>
      <c r="DJ366" s="219"/>
      <c r="DK366" s="219"/>
      <c r="DL366" s="219"/>
      <c r="DM366" s="219"/>
      <c r="DN366" s="219"/>
      <c r="DO366" s="219"/>
      <c r="DP366" s="219"/>
      <c r="AAA366" s="192"/>
      <c r="AAD366" s="90"/>
      <c r="AAE366" s="519" t="s">
        <v>63</v>
      </c>
      <c r="AAF366" s="190" t="s">
        <v>52</v>
      </c>
      <c r="AAG366" s="73">
        <f>IF(S.Notice.Involved="N",0,S.Overview.BANNER.Start)</f>
        <v>41572</v>
      </c>
      <c r="AAH366" s="73">
        <f>S.Notice.CloseComment</f>
        <v>41655</v>
      </c>
      <c r="AAI366" s="73">
        <f>MIN(S.Notice.OpenComment,S.Notice.SubmitToSOS)</f>
        <v>41621</v>
      </c>
      <c r="AAJ366" s="72"/>
      <c r="AAK366" s="75"/>
      <c r="AAL366" s="90"/>
      <c r="AAM366"/>
    </row>
    <row r="367" spans="1:715" ht="6" customHeight="1">
      <c r="A367" s="171">
        <v>111</v>
      </c>
      <c r="B367" s="139"/>
      <c r="C367" s="112"/>
      <c r="D367" s="230"/>
      <c r="E367" s="113"/>
      <c r="F367" s="113"/>
      <c r="G367" s="112"/>
      <c r="H367" s="112"/>
      <c r="I367" s="244"/>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AAA367" s="192"/>
      <c r="AAD367" s="90"/>
      <c r="AAE367" s="519" t="s">
        <v>17</v>
      </c>
      <c r="AAF367" s="190" t="s">
        <v>52</v>
      </c>
      <c r="AAG367" s="60"/>
      <c r="AAH367" s="60"/>
      <c r="AAI367" s="60"/>
      <c r="AAJ367" s="56"/>
      <c r="AAK367" s="56"/>
      <c r="AAL367" s="90"/>
      <c r="AAM367"/>
    </row>
    <row r="368" spans="1:715" s="23" customFormat="1" ht="12.75" customHeight="1">
      <c r="A368" s="171"/>
      <c r="B368" s="798" t="s">
        <v>510</v>
      </c>
      <c r="C368" s="797" t="str">
        <f>HYPERLINK("","i")</f>
        <v>i</v>
      </c>
      <c r="D368" s="231"/>
      <c r="E368" s="97"/>
      <c r="F368" s="97"/>
      <c r="G368" s="96"/>
      <c r="H368" s="96"/>
      <c r="I368" s="244"/>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ZZ368" s="52"/>
      <c r="AAA368" s="192"/>
      <c r="AAD368" s="90"/>
      <c r="AAE368" s="520" t="s">
        <v>21</v>
      </c>
      <c r="AAF368" s="190" t="s">
        <v>52</v>
      </c>
      <c r="AAG368" s="60"/>
      <c r="AAH368" s="60"/>
      <c r="AAI368" s="82"/>
      <c r="AAJ368" s="82"/>
      <c r="AAK368" s="40"/>
      <c r="AAL368" s="90"/>
    </row>
    <row r="369" spans="1:714" s="23" customFormat="1" ht="15" customHeight="1" thickBot="1">
      <c r="A369" s="171"/>
      <c r="B369" s="361" t="str">
        <f>AAK369</f>
        <v>AndreaRW enters hearings locations, dates and times:</v>
      </c>
      <c r="C369" s="849"/>
      <c r="D369" s="849"/>
      <c r="E369" s="849"/>
      <c r="F369" s="849"/>
      <c r="G369" s="849"/>
      <c r="H369" s="375"/>
      <c r="I369" s="244"/>
      <c r="J369" s="221"/>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220"/>
      <c r="BK369" s="220"/>
      <c r="BL369" s="220"/>
      <c r="BM369" s="220"/>
      <c r="BN369" s="220"/>
      <c r="BO369" s="220"/>
      <c r="BP369" s="220"/>
      <c r="BQ369" s="220"/>
      <c r="BR369" s="220"/>
      <c r="BS369" s="220"/>
      <c r="BT369" s="220"/>
      <c r="BU369" s="220"/>
      <c r="BV369" s="220"/>
      <c r="BW369" s="220"/>
      <c r="BX369" s="220"/>
      <c r="BY369" s="220"/>
      <c r="BZ369" s="220"/>
      <c r="CA369" s="220"/>
      <c r="CB369" s="220"/>
      <c r="CC369" s="220"/>
      <c r="CD369" s="220"/>
      <c r="CE369" s="220"/>
      <c r="CF369" s="220"/>
      <c r="CG369" s="220"/>
      <c r="CH369" s="220"/>
      <c r="CI369" s="220"/>
      <c r="CJ369" s="220"/>
      <c r="CK369" s="220"/>
      <c r="CL369" s="220"/>
      <c r="CM369" s="220"/>
      <c r="CN369" s="220"/>
      <c r="CO369" s="220"/>
      <c r="CP369" s="220"/>
      <c r="CQ369" s="220"/>
      <c r="CR369" s="220"/>
      <c r="CS369" s="220"/>
      <c r="CT369" s="220"/>
      <c r="CU369" s="220"/>
      <c r="CV369" s="220"/>
      <c r="CW369" s="220"/>
      <c r="CX369" s="220"/>
      <c r="CY369" s="220"/>
      <c r="CZ369" s="220"/>
      <c r="DA369" s="220"/>
      <c r="DB369" s="220"/>
      <c r="DC369" s="220"/>
      <c r="DD369" s="220"/>
      <c r="DE369" s="220"/>
      <c r="DF369" s="220"/>
      <c r="DG369" s="220"/>
      <c r="DH369" s="220"/>
      <c r="DI369" s="220"/>
      <c r="DJ369" s="220"/>
      <c r="DK369" s="220"/>
      <c r="DL369" s="220"/>
      <c r="DM369" s="220"/>
      <c r="DN369" s="220"/>
      <c r="DO369" s="220"/>
      <c r="DP369" s="220"/>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s="52"/>
      <c r="AAA369" s="192"/>
      <c r="AAB369"/>
      <c r="AAC369"/>
      <c r="AAD369" s="90"/>
      <c r="AAE369" s="519">
        <f>IF(S.Hearing.1stInvolve="Y",1,0)</f>
        <v>1</v>
      </c>
      <c r="AAF369" s="190" t="s">
        <v>52</v>
      </c>
      <c r="AAG369" s="72"/>
      <c r="AAH369" s="72"/>
      <c r="AAI369" s="72"/>
      <c r="AAJ369" s="72"/>
      <c r="AAK369" s="76" t="str">
        <f>IF(S.Hearing.1stInvolve="Y",S.Staff.Lead&amp;" enters hearings locations, dates and times:","No hearings planned")</f>
        <v>AndreaRW enters hearings locations, dates and times:</v>
      </c>
      <c r="AAL369" s="90"/>
    </row>
    <row r="370" spans="1:714" s="23" customFormat="1" ht="15" customHeight="1" thickBot="1">
      <c r="A370" s="171"/>
      <c r="B370" s="620" t="s">
        <v>531</v>
      </c>
      <c r="C370" s="611" t="s">
        <v>17</v>
      </c>
      <c r="D370"/>
      <c r="E370" s="850" t="s">
        <v>113</v>
      </c>
      <c r="F370" s="851"/>
      <c r="G370" s="571">
        <f>AAG370</f>
        <v>41652</v>
      </c>
      <c r="H370" s="524" t="s">
        <v>536</v>
      </c>
      <c r="I370" s="244"/>
      <c r="J370" s="193"/>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s="52"/>
      <c r="AAA370" s="192"/>
      <c r="AAB370"/>
      <c r="AAC370"/>
      <c r="AAD370" s="90"/>
      <c r="AAE370" s="519">
        <f>IF(S.Hearing.1stInvolve="Y",1,0)</f>
        <v>1</v>
      </c>
      <c r="AAF370" s="190" t="s">
        <v>52</v>
      </c>
      <c r="AAG370" s="73">
        <f>S.Hearing.1stDate</f>
        <v>41652</v>
      </c>
      <c r="AAH370" s="572" t="s">
        <v>71</v>
      </c>
      <c r="AAI370" s="39"/>
      <c r="AAJ370" s="55"/>
      <c r="AAK370" s="55"/>
      <c r="AAL370" s="90"/>
    </row>
    <row r="371" spans="1:714" s="23" customFormat="1" ht="15" hidden="1" customHeight="1" outlineLevel="1" thickBot="1">
      <c r="A371" s="171"/>
      <c r="B371" s="620" t="str">
        <f t="shared" ref="B371:B377" si="302">"Enter city name"</f>
        <v>Enter city name</v>
      </c>
      <c r="C371" s="611" t="s">
        <v>303</v>
      </c>
      <c r="D371"/>
      <c r="E371" s="861" t="s">
        <v>114</v>
      </c>
      <c r="F371" s="862"/>
      <c r="G371" s="340">
        <f>AAG371</f>
        <v>0</v>
      </c>
      <c r="H371" s="524" t="str">
        <f t="shared" ref="H371:H377" si="303">AAH371</f>
        <v>6 p.m.</v>
      </c>
      <c r="I371" s="244"/>
      <c r="J371" s="194"/>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c r="DK371" s="49"/>
      <c r="DL371" s="49"/>
      <c r="DM371" s="49"/>
      <c r="DN371" s="49"/>
      <c r="DO371" s="49"/>
      <c r="DP371" s="49"/>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s="52"/>
      <c r="AAA371" s="192"/>
      <c r="AAB371"/>
      <c r="AAC371"/>
      <c r="AAD371" s="90"/>
      <c r="AAE371" s="519">
        <f>IF(AND(S.Hearing.2ndInvolve="Y",S.Hearing.1stInvolve="Y"),1,)</f>
        <v>0</v>
      </c>
      <c r="AAF371" s="190" t="s">
        <v>52</v>
      </c>
      <c r="AAG371" s="73">
        <f>IF(S.Hearing.2ndInvolve="N",,S.Hearing.1stDate)</f>
        <v>0</v>
      </c>
      <c r="AAH371" s="73" t="str">
        <f>H370</f>
        <v>6 p.m.</v>
      </c>
      <c r="AAI371" s="72"/>
      <c r="AAJ371" s="72"/>
      <c r="AAK371" s="79"/>
      <c r="AAL371" s="90"/>
    </row>
    <row r="372" spans="1:714" s="23" customFormat="1" ht="15" hidden="1" customHeight="1" outlineLevel="1" thickBot="1">
      <c r="A372" s="171"/>
      <c r="B372" s="620" t="str">
        <f t="shared" si="302"/>
        <v>Enter city name</v>
      </c>
      <c r="C372" s="611" t="s">
        <v>303</v>
      </c>
      <c r="D372"/>
      <c r="E372" s="861" t="s">
        <v>115</v>
      </c>
      <c r="F372" s="862"/>
      <c r="G372" s="340">
        <f t="shared" ref="G372:G376" si="304">AAG372</f>
        <v>0</v>
      </c>
      <c r="H372" s="524" t="str">
        <f t="shared" si="303"/>
        <v>6 p.m.</v>
      </c>
      <c r="I372" s="244"/>
      <c r="J372" s="194"/>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s="52"/>
      <c r="AAA372" s="192"/>
      <c r="AAB372"/>
      <c r="AAC372"/>
      <c r="AAD372" s="90"/>
      <c r="AAE372" s="519">
        <f>IF(AND(S.Hearing.3rdInvolve="Y",S.Hearing.1stInvolve="Y"),1,)</f>
        <v>0</v>
      </c>
      <c r="AAF372" s="190" t="s">
        <v>52</v>
      </c>
      <c r="AAG372" s="73">
        <f>IF(S.Hearing.3rdInvolve="N",,S.Hearing.2ndDate)</f>
        <v>0</v>
      </c>
      <c r="AAH372" s="73" t="str">
        <f>H370</f>
        <v>6 p.m.</v>
      </c>
      <c r="AAI372" s="72"/>
      <c r="AAJ372" s="56"/>
      <c r="AAK372" s="75"/>
      <c r="AAL372" s="90"/>
    </row>
    <row r="373" spans="1:714" s="23" customFormat="1" ht="15" hidden="1" customHeight="1" outlineLevel="1" thickBot="1">
      <c r="A373" s="171"/>
      <c r="B373" s="620" t="str">
        <f t="shared" si="302"/>
        <v>Enter city name</v>
      </c>
      <c r="C373" s="611" t="s">
        <v>303</v>
      </c>
      <c r="D373"/>
      <c r="E373" s="861" t="s">
        <v>116</v>
      </c>
      <c r="F373" s="862"/>
      <c r="G373" s="340">
        <f t="shared" si="304"/>
        <v>0</v>
      </c>
      <c r="H373" s="524" t="str">
        <f t="shared" si="303"/>
        <v>6 p.m.</v>
      </c>
      <c r="I373" s="244"/>
      <c r="J373" s="194"/>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s="52"/>
      <c r="AAA373" s="192"/>
      <c r="AAB373"/>
      <c r="AAC373"/>
      <c r="AAD373" s="90"/>
      <c r="AAE373" s="519">
        <f>IF(AND(S.Hearing.4thInvolve="Y",S.Hearing.1stInvolve="Y"),1,)</f>
        <v>0</v>
      </c>
      <c r="AAF373" s="190" t="s">
        <v>52</v>
      </c>
      <c r="AAG373" s="73">
        <f>IF(S.Hearing.4thInvolve="N",,S.Hearing.3rdDate)</f>
        <v>0</v>
      </c>
      <c r="AAH373" s="73" t="str">
        <f>H370</f>
        <v>6 p.m.</v>
      </c>
      <c r="AAI373" s="72"/>
      <c r="AAJ373" s="56"/>
      <c r="AAK373" s="75"/>
      <c r="AAL373" s="90"/>
    </row>
    <row r="374" spans="1:714" s="23" customFormat="1" ht="15" hidden="1" customHeight="1" outlineLevel="1" thickBot="1">
      <c r="A374" s="171"/>
      <c r="B374" s="620" t="str">
        <f t="shared" si="302"/>
        <v>Enter city name</v>
      </c>
      <c r="C374" s="611" t="s">
        <v>303</v>
      </c>
      <c r="D374"/>
      <c r="E374" s="861" t="s">
        <v>117</v>
      </c>
      <c r="F374" s="862"/>
      <c r="G374" s="340">
        <f t="shared" si="304"/>
        <v>0</v>
      </c>
      <c r="H374" s="524" t="str">
        <f t="shared" si="303"/>
        <v>6 p.m.</v>
      </c>
      <c r="I374" s="244"/>
      <c r="J374" s="194"/>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s="52"/>
      <c r="AAA374" s="192"/>
      <c r="AAB374"/>
      <c r="AAC374"/>
      <c r="AAD374" s="90"/>
      <c r="AAE374" s="519">
        <f>IF(AND(S.Hearing.5thInvolve="Y",S.Hearing.1stInvolve="Y"),1,)</f>
        <v>0</v>
      </c>
      <c r="AAF374" s="190" t="s">
        <v>52</v>
      </c>
      <c r="AAG374" s="73">
        <f>IF(S.Hearing.5thInvolve="N",,S.Hearing.4thDate)</f>
        <v>0</v>
      </c>
      <c r="AAH374" s="73" t="str">
        <f>H370</f>
        <v>6 p.m.</v>
      </c>
      <c r="AAI374" s="72"/>
      <c r="AAJ374" s="56"/>
      <c r="AAK374" s="75"/>
      <c r="AAL374" s="90"/>
    </row>
    <row r="375" spans="1:714" s="23" customFormat="1" ht="15" hidden="1" customHeight="1" outlineLevel="1" thickBot="1">
      <c r="A375" s="171"/>
      <c r="B375" s="620" t="str">
        <f t="shared" si="302"/>
        <v>Enter city name</v>
      </c>
      <c r="C375" s="611" t="s">
        <v>303</v>
      </c>
      <c r="D375"/>
      <c r="E375" s="861" t="s">
        <v>118</v>
      </c>
      <c r="F375" s="862"/>
      <c r="G375" s="340">
        <f t="shared" si="304"/>
        <v>0</v>
      </c>
      <c r="H375" s="524" t="str">
        <f t="shared" si="303"/>
        <v>6 p.m.</v>
      </c>
      <c r="I375" s="244"/>
      <c r="J375" s="194"/>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s="52"/>
      <c r="AAA375" s="192"/>
      <c r="AAB375"/>
      <c r="AAC375"/>
      <c r="AAD375" s="90"/>
      <c r="AAE375" s="519">
        <f>IF(AND(S.Hearing.6thInvolve="Y",S.Hearing.1stInvolve="Y"),1,)</f>
        <v>0</v>
      </c>
      <c r="AAF375" s="190" t="s">
        <v>52</v>
      </c>
      <c r="AAG375" s="73">
        <f>IF(S.Hearing.6thInvolve="N",,S.Hearing.5thDate)</f>
        <v>0</v>
      </c>
      <c r="AAH375" s="73" t="str">
        <f>H370</f>
        <v>6 p.m.</v>
      </c>
      <c r="AAI375" s="72"/>
      <c r="AAJ375" s="56"/>
      <c r="AAK375" s="75"/>
      <c r="AAL375" s="90"/>
    </row>
    <row r="376" spans="1:714" s="23" customFormat="1" ht="15" hidden="1" customHeight="1" outlineLevel="1" thickBot="1">
      <c r="A376" s="171"/>
      <c r="B376" s="620" t="str">
        <f t="shared" si="302"/>
        <v>Enter city name</v>
      </c>
      <c r="C376" s="611" t="s">
        <v>303</v>
      </c>
      <c r="D376"/>
      <c r="E376" s="861" t="s">
        <v>119</v>
      </c>
      <c r="F376" s="862"/>
      <c r="G376" s="340">
        <f t="shared" si="304"/>
        <v>0</v>
      </c>
      <c r="H376" s="524" t="str">
        <f t="shared" si="303"/>
        <v>6 p.m.</v>
      </c>
      <c r="I376" s="244"/>
      <c r="J376" s="194"/>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c r="DK376" s="49"/>
      <c r="DL376" s="49"/>
      <c r="DM376" s="49"/>
      <c r="DN376" s="49"/>
      <c r="DO376" s="49"/>
      <c r="DP376" s="49"/>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s="52"/>
      <c r="AAA376" s="192"/>
      <c r="AAB376"/>
      <c r="AAC376"/>
      <c r="AAD376" s="90"/>
      <c r="AAE376" s="519">
        <f>IF(AND(S.Hearing.7thInvolve="Y",S.Hearing.1stInvolve="Y"),1,)</f>
        <v>0</v>
      </c>
      <c r="AAF376" s="190" t="s">
        <v>52</v>
      </c>
      <c r="AAG376" s="73">
        <f>IF(S.Hearing.7thInvolve="N",,S.Hearing.6thDate)</f>
        <v>0</v>
      </c>
      <c r="AAH376" s="73" t="str">
        <f>H370</f>
        <v>6 p.m.</v>
      </c>
      <c r="AAI376" s="72"/>
      <c r="AAJ376" s="56"/>
      <c r="AAK376" s="75"/>
      <c r="AAL376" s="90"/>
    </row>
    <row r="377" spans="1:714" s="23" customFormat="1" ht="15" hidden="1" customHeight="1" outlineLevel="1" thickBot="1">
      <c r="A377" s="171"/>
      <c r="B377" s="620" t="str">
        <f t="shared" si="302"/>
        <v>Enter city name</v>
      </c>
      <c r="C377" s="611" t="s">
        <v>303</v>
      </c>
      <c r="D377"/>
      <c r="E377" s="867" t="s">
        <v>328</v>
      </c>
      <c r="F377" s="868"/>
      <c r="G377" s="340">
        <f>AAG376</f>
        <v>0</v>
      </c>
      <c r="H377" s="340" t="str">
        <f t="shared" si="303"/>
        <v>6 p.m.</v>
      </c>
      <c r="I377" s="244"/>
      <c r="J377" s="194"/>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c r="DK377" s="49"/>
      <c r="DL377" s="49"/>
      <c r="DM377" s="49"/>
      <c r="DN377" s="49"/>
      <c r="DO377" s="49"/>
      <c r="DP377" s="49"/>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s="52"/>
      <c r="AAA377" s="192"/>
      <c r="AAB377"/>
      <c r="AAC377"/>
      <c r="AAD377" s="90"/>
      <c r="AAE377" s="519">
        <f>IF(AND(S.Hearing.8thtInvolve="Y",S.Hearing.1stInvolve="Y"),1,0)</f>
        <v>0</v>
      </c>
      <c r="AAF377" s="190" t="s">
        <v>52</v>
      </c>
      <c r="AAG377" s="73">
        <f>IF(S.Hearing.8thtInvolve="N",S.Hearing.1stDate,S.Hearing.7thDate)</f>
        <v>41652</v>
      </c>
      <c r="AAH377" s="73" t="str">
        <f>H370</f>
        <v>6 p.m.</v>
      </c>
      <c r="AAI377" s="72"/>
      <c r="AAJ377" s="56"/>
      <c r="AAK377" s="75"/>
      <c r="AAL377" s="90"/>
    </row>
    <row r="378" spans="1:714" s="23" customFormat="1" ht="15" customHeight="1" collapsed="1">
      <c r="A378" s="171"/>
      <c r="B378" s="363" t="s">
        <v>0</v>
      </c>
      <c r="C378" s="362"/>
      <c r="D378" s="362"/>
      <c r="E378" s="904" t="s">
        <v>329</v>
      </c>
      <c r="F378" s="905"/>
      <c r="G378" s="571">
        <f>AAG378</f>
        <v>41652</v>
      </c>
      <c r="H378" s="346"/>
      <c r="I378" s="244"/>
      <c r="J378" s="194"/>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9"/>
      <c r="CD378" s="49"/>
      <c r="CE378" s="49"/>
      <c r="CF378" s="49"/>
      <c r="CG378" s="49"/>
      <c r="CH378" s="49"/>
      <c r="CI378" s="49"/>
      <c r="CJ378" s="49"/>
      <c r="CK378" s="49"/>
      <c r="CL378" s="49"/>
      <c r="CM378" s="49"/>
      <c r="CN378" s="49"/>
      <c r="CO378" s="49"/>
      <c r="CP378" s="49"/>
      <c r="CQ378" s="49"/>
      <c r="CR378" s="49"/>
      <c r="CS378" s="49"/>
      <c r="CT378" s="49"/>
      <c r="CU378" s="49"/>
      <c r="CV378" s="49"/>
      <c r="CW378" s="49"/>
      <c r="CX378" s="49"/>
      <c r="CY378" s="49"/>
      <c r="CZ378" s="49"/>
      <c r="DA378" s="49"/>
      <c r="DB378" s="49"/>
      <c r="DC378" s="49"/>
      <c r="DD378" s="49"/>
      <c r="DE378" s="49"/>
      <c r="DF378" s="49"/>
      <c r="DG378" s="49"/>
      <c r="DH378" s="49"/>
      <c r="DI378" s="49"/>
      <c r="DJ378" s="49"/>
      <c r="DK378" s="49"/>
      <c r="DL378" s="49"/>
      <c r="DM378" s="49"/>
      <c r="DN378" s="49"/>
      <c r="DO378" s="49"/>
      <c r="DP378" s="49"/>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s="52"/>
      <c r="AAA378" s="192"/>
      <c r="AAD378" s="90"/>
      <c r="AAE378" s="519">
        <f>IF(S.Hearing.1stInvolve="Y",1,0)</f>
        <v>1</v>
      </c>
      <c r="AAF378" s="190" t="s">
        <v>52</v>
      </c>
      <c r="AAG378" s="73">
        <f>MAX(G370:G377)</f>
        <v>41652</v>
      </c>
      <c r="AAH378" s="71"/>
      <c r="AAI378" s="71"/>
      <c r="AAJ378" s="56"/>
      <c r="AAK378" s="254" t="str">
        <f>S.Staff.Lead&amp;":"</f>
        <v>AndreaRW:</v>
      </c>
      <c r="AAL378" s="90"/>
    </row>
    <row r="379" spans="1:714" s="23" customFormat="1" ht="15" customHeight="1">
      <c r="A379" s="171"/>
      <c r="B379" s="305" t="str">
        <f>AAK379</f>
        <v>SavvySupport reserves venues/equipment for hearings</v>
      </c>
      <c r="C379" s="376" t="s">
        <v>0</v>
      </c>
      <c r="D379" s="380"/>
      <c r="E379" s="342">
        <f>NETWORKDAYS(G379,H379,S.DDL_DEQClosed)</f>
        <v>53</v>
      </c>
      <c r="F379" s="457">
        <f ca="1">IF(YEAR(H379)&gt;2000,NETWORKDAYS(TODAY(),H379,S.DDL_DEQClosed),0)</f>
        <v>52</v>
      </c>
      <c r="G379" s="343">
        <f t="shared" ref="G379:H400" si="305">AAG379</f>
        <v>41572</v>
      </c>
      <c r="H379" s="343">
        <f t="shared" si="305"/>
        <v>41652</v>
      </c>
      <c r="I379" s="244"/>
      <c r="J379" s="194"/>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9"/>
      <c r="CD379" s="49"/>
      <c r="CE379" s="49"/>
      <c r="CF379" s="49"/>
      <c r="CG379" s="49"/>
      <c r="CH379" s="49"/>
      <c r="CI379" s="49"/>
      <c r="CJ379" s="49"/>
      <c r="CK379" s="49"/>
      <c r="CL379" s="49"/>
      <c r="CM379" s="49"/>
      <c r="CN379" s="49"/>
      <c r="CO379" s="49"/>
      <c r="CP379" s="49"/>
      <c r="CQ379" s="49"/>
      <c r="CR379" s="49"/>
      <c r="CS379" s="49"/>
      <c r="CT379" s="49"/>
      <c r="CU379" s="49"/>
      <c r="CV379" s="49"/>
      <c r="CW379" s="49"/>
      <c r="CX379" s="49"/>
      <c r="CY379" s="49"/>
      <c r="CZ379" s="49"/>
      <c r="DA379" s="49"/>
      <c r="DB379" s="49"/>
      <c r="DC379" s="49"/>
      <c r="DD379" s="49"/>
      <c r="DE379" s="49"/>
      <c r="DF379" s="49"/>
      <c r="DG379" s="49"/>
      <c r="DH379" s="49"/>
      <c r="DI379" s="49"/>
      <c r="DJ379" s="49"/>
      <c r="DK379" s="49"/>
      <c r="DL379" s="49"/>
      <c r="DM379" s="49"/>
      <c r="DN379" s="49"/>
      <c r="DO379" s="49"/>
      <c r="DP379" s="4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s="52"/>
      <c r="AAA379" s="192"/>
      <c r="AAB379"/>
      <c r="AAC379"/>
      <c r="AAD379" s="90"/>
      <c r="AAE379" s="519">
        <f>IF(S.Hearing.1stInvolve="Y",1,0)</f>
        <v>1</v>
      </c>
      <c r="AAF379" s="90"/>
      <c r="AAG379" s="73">
        <f t="shared" ref="AAG379" si="306">S.Notice.BANNER.Begin</f>
        <v>41572</v>
      </c>
      <c r="AAH379" s="73">
        <f>S.Notice.LastHearingDate</f>
        <v>41652</v>
      </c>
      <c r="AAI379" s="60"/>
      <c r="AAJ379" s="56"/>
      <c r="AAK379" s="254" t="str">
        <f>S.Staff.Support&amp;" reserves venues/equipment for hearings"</f>
        <v>SavvySupport reserves venues/equipment for hearings</v>
      </c>
      <c r="AAL379" s="90"/>
    </row>
    <row r="380" spans="1:714" s="23" customFormat="1" ht="15.75" customHeight="1">
      <c r="A380" s="171"/>
      <c r="B380" s="486" t="s">
        <v>486</v>
      </c>
      <c r="C380" s="272"/>
      <c r="D380" s="265"/>
      <c r="E380" s="266"/>
      <c r="F380" s="267"/>
      <c r="G380" s="268"/>
      <c r="H380" s="269"/>
      <c r="I380" s="244"/>
      <c r="J380" s="193"/>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c r="DN380" s="46"/>
      <c r="DO380" s="46"/>
      <c r="DP380" s="46"/>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s="52"/>
      <c r="AAA380" s="192"/>
      <c r="AAD380" s="90"/>
      <c r="AAE380" s="519">
        <f t="shared" ref="AAE380:AAE385" si="307">IF(AND(S.Hearing.1stInvolve="Y",S.EQC.FacHearing="Y"),1,0)</f>
        <v>0</v>
      </c>
      <c r="AAF380" s="190" t="s">
        <v>52</v>
      </c>
      <c r="AAG380" s="71"/>
      <c r="AAH380" s="71"/>
      <c r="AAI380" s="72"/>
      <c r="AAJ380" s="55"/>
      <c r="AAK380" s="56"/>
      <c r="AAL380" s="90"/>
    </row>
    <row r="381" spans="1:714" s="23" customFormat="1" ht="15.75" customHeight="1">
      <c r="A381" s="171"/>
      <c r="B381" s="440" t="s">
        <v>397</v>
      </c>
      <c r="C381" s="790" t="str">
        <f>HYPERLINK("http://www.oregonlaws.org/ors/192.630","i")</f>
        <v>i</v>
      </c>
      <c r="D381" s="265"/>
      <c r="E381" s="266"/>
      <c r="F381" s="267"/>
      <c r="G381" s="268"/>
      <c r="H381" s="269"/>
      <c r="I381" s="244"/>
      <c r="J381" s="193"/>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c r="DM381" s="46"/>
      <c r="DN381" s="46"/>
      <c r="DO381" s="46"/>
      <c r="DP381" s="46"/>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s="52"/>
      <c r="AAA381" s="192"/>
      <c r="AAD381" s="90"/>
      <c r="AAE381" s="519">
        <f t="shared" si="307"/>
        <v>0</v>
      </c>
      <c r="AAF381" s="190" t="s">
        <v>52</v>
      </c>
      <c r="AAG381" s="71"/>
      <c r="AAH381" s="71"/>
      <c r="AAI381" s="72"/>
      <c r="AAJ381" s="55"/>
      <c r="AAK381" s="56"/>
      <c r="AAL381" s="90"/>
    </row>
    <row r="382" spans="1:714" s="23" customFormat="1" ht="15" customHeight="1">
      <c r="A382" s="171"/>
      <c r="B382" s="717" t="str">
        <f t="shared" ref="B382:B393" si="308">AAK382</f>
        <v>No EQC facilitated hearing</v>
      </c>
      <c r="C382" s="376" t="s">
        <v>0</v>
      </c>
      <c r="D382" s="380"/>
      <c r="E382"/>
      <c r="F382" s="457">
        <f ca="1">IF(YEAR(H382)&gt;2000,NETWORKDAYS(TODAY(),H382,S.DDL_DEQClosed),0)</f>
        <v>0</v>
      </c>
      <c r="G382"/>
      <c r="H382" s="343">
        <f t="shared" ref="H382:H385" si="309">AAH382</f>
        <v>0</v>
      </c>
      <c r="I382" s="244"/>
      <c r="J382" s="194"/>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c r="DK382" s="49"/>
      <c r="DL382" s="49"/>
      <c r="DM382" s="49"/>
      <c r="DN382" s="49"/>
      <c r="DO382" s="49"/>
      <c r="DP382" s="49"/>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s="52"/>
      <c r="AAA382" s="192" t="s">
        <v>0</v>
      </c>
      <c r="AAD382" s="90"/>
      <c r="AAE382" s="519">
        <f t="shared" si="307"/>
        <v>0</v>
      </c>
      <c r="AAF382" s="90"/>
      <c r="AAG382" s="71"/>
      <c r="AAH382" s="73">
        <f>IF(AAE382=0,,S.Notice.LastHearingDate)</f>
        <v>0</v>
      </c>
      <c r="AAI382" s="60"/>
      <c r="AAJ382" s="56"/>
      <c r="AAK382" s="254" t="str">
        <f>IF(S.EQC.FacHearing="N","No EQC facilitated hearing","Identify EQC facilitaed hearing, coordinate with commissioner")</f>
        <v>No EQC facilitated hearing</v>
      </c>
      <c r="AAL382" s="90"/>
    </row>
    <row r="383" spans="1:714" s="23" customFormat="1" ht="15" customHeight="1">
      <c r="A383" s="171"/>
      <c r="B383" s="717" t="str">
        <f t="shared" si="308"/>
        <v>No EQC facilitated hearing</v>
      </c>
      <c r="C383" s="376" t="s">
        <v>0</v>
      </c>
      <c r="D383" s="380"/>
      <c r="E383"/>
      <c r="F383" s="457">
        <f ca="1">IF(YEAR(H383)&gt;2000,NETWORKDAYS(TODAY(),H383,S.DDL_DEQClosed),0)</f>
        <v>0</v>
      </c>
      <c r="G383"/>
      <c r="H383" s="343">
        <f t="shared" si="309"/>
        <v>0</v>
      </c>
      <c r="I383" s="244"/>
      <c r="J383" s="194"/>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c r="DK383" s="49"/>
      <c r="DL383" s="49"/>
      <c r="DM383" s="49"/>
      <c r="DN383" s="49"/>
      <c r="DO383" s="49"/>
      <c r="DP383" s="49"/>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s="52"/>
      <c r="AAA383" s="192" t="s">
        <v>0</v>
      </c>
      <c r="AAD383" s="90"/>
      <c r="AAE383" s="519">
        <f t="shared" si="307"/>
        <v>0</v>
      </c>
      <c r="AAF383" s="90"/>
      <c r="AAG383" s="71"/>
      <c r="AAH383" s="73">
        <f>IF(AAE383=0,,S.Notice.LastHearingDate)</f>
        <v>0</v>
      </c>
      <c r="AAI383" s="60"/>
      <c r="AAJ383" s="56"/>
      <c r="AAK383" s="254" t="str">
        <f>IF(S.EQC.FacHearing="N","No EQC facilitated hearing","Identify EQC facilitaed hearing, coordinate with commissioner")</f>
        <v>No EQC facilitated hearing</v>
      </c>
      <c r="AAL383" s="90"/>
    </row>
    <row r="384" spans="1:714" s="23" customFormat="1" ht="15" customHeight="1">
      <c r="A384" s="171"/>
      <c r="B384" s="717" t="str">
        <f t="shared" si="308"/>
        <v>No EQC facilitated hearing</v>
      </c>
      <c r="C384" s="376" t="s">
        <v>0</v>
      </c>
      <c r="D384" s="380"/>
      <c r="E384"/>
      <c r="F384" s="457">
        <f ca="1">IF(YEAR(H384)&gt;2000,NETWORKDAYS(TODAY(),H384,S.DDL_DEQClosed),0)</f>
        <v>0</v>
      </c>
      <c r="G384"/>
      <c r="H384" s="343">
        <f t="shared" si="309"/>
        <v>0</v>
      </c>
      <c r="I384" s="244"/>
      <c r="J384" s="194"/>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c r="DK384" s="49"/>
      <c r="DL384" s="49"/>
      <c r="DM384" s="49"/>
      <c r="DN384" s="49"/>
      <c r="DO384" s="49"/>
      <c r="DP384" s="49"/>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s="52"/>
      <c r="AAA384" s="192" t="s">
        <v>0</v>
      </c>
      <c r="AAD384" s="90"/>
      <c r="AAE384" s="519">
        <f t="shared" si="307"/>
        <v>0</v>
      </c>
      <c r="AAF384" s="90"/>
      <c r="AAG384" s="71"/>
      <c r="AAH384" s="73">
        <f>IF(AAE384=0,,S.Notice.LastHearingDate)</f>
        <v>0</v>
      </c>
      <c r="AAI384" s="60"/>
      <c r="AAJ384" s="56"/>
      <c r="AAK384" s="254" t="str">
        <f>IF(S.EQC.FacHearing="N","No EQC facilitated hearing","Identify EQC facilitaed hearing, coordinate with commissioner")</f>
        <v>No EQC facilitated hearing</v>
      </c>
      <c r="AAL384" s="90"/>
    </row>
    <row r="385" spans="1:715" s="23" customFormat="1" ht="15" customHeight="1">
      <c r="A385" s="171"/>
      <c r="B385" s="717" t="str">
        <f t="shared" si="308"/>
        <v>No EQC facilitated hearing</v>
      </c>
      <c r="C385" s="376" t="s">
        <v>0</v>
      </c>
      <c r="D385" s="380"/>
      <c r="E385"/>
      <c r="F385" s="457">
        <f ca="1">IF(YEAR(H385)&gt;2000,NETWORKDAYS(TODAY(),H385,S.DDL_DEQClosed),0)</f>
        <v>0</v>
      </c>
      <c r="G385"/>
      <c r="H385" s="343">
        <f t="shared" si="309"/>
        <v>0</v>
      </c>
      <c r="I385" s="244"/>
      <c r="J385" s="194"/>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9"/>
      <c r="CD385" s="49"/>
      <c r="CE385" s="49"/>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c r="DC385" s="49"/>
      <c r="DD385" s="49"/>
      <c r="DE385" s="49"/>
      <c r="DF385" s="49"/>
      <c r="DG385" s="49"/>
      <c r="DH385" s="49"/>
      <c r="DI385" s="49"/>
      <c r="DJ385" s="49"/>
      <c r="DK385" s="49"/>
      <c r="DL385" s="49"/>
      <c r="DM385" s="49"/>
      <c r="DN385" s="49"/>
      <c r="DO385" s="49"/>
      <c r="DP385" s="49"/>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s="52"/>
      <c r="AAA385" s="192" t="s">
        <v>0</v>
      </c>
      <c r="AAD385" s="90"/>
      <c r="AAE385" s="519">
        <f t="shared" si="307"/>
        <v>0</v>
      </c>
      <c r="AAF385" s="90"/>
      <c r="AAG385" s="71"/>
      <c r="AAH385" s="73">
        <f>IF(AAE385=0,,S.Notice.LastHearingDate)</f>
        <v>0</v>
      </c>
      <c r="AAI385" s="60"/>
      <c r="AAJ385" s="56"/>
      <c r="AAK385" s="254" t="str">
        <f>IF(S.EQC.FacHearing="N","No EQC facilitated hearing","Identify EQC facilitaed hearing, coordinate with commissioner")</f>
        <v>No EQC facilitated hearing</v>
      </c>
      <c r="AAL385" s="90"/>
    </row>
    <row r="386" spans="1:715" s="23" customFormat="1" ht="15" customHeight="1" outlineLevel="1">
      <c r="A386" s="171"/>
      <c r="B386" s="799" t="s">
        <v>511</v>
      </c>
      <c r="C386" s="376"/>
      <c r="D386"/>
      <c r="E386"/>
      <c r="F386"/>
      <c r="G386"/>
      <c r="H386"/>
      <c r="I386" s="244"/>
      <c r="J386" s="194"/>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9"/>
      <c r="CD386" s="49"/>
      <c r="CE386" s="49"/>
      <c r="CF386" s="49"/>
      <c r="CG386" s="49"/>
      <c r="CH386" s="49"/>
      <c r="CI386" s="49"/>
      <c r="CJ386" s="49"/>
      <c r="CK386" s="49"/>
      <c r="CL386" s="49"/>
      <c r="CM386" s="49"/>
      <c r="CN386" s="49"/>
      <c r="CO386" s="49"/>
      <c r="CP386" s="49"/>
      <c r="CQ386" s="49"/>
      <c r="CR386" s="49"/>
      <c r="CS386" s="49"/>
      <c r="CT386" s="49"/>
      <c r="CU386" s="49"/>
      <c r="CV386" s="49"/>
      <c r="CW386" s="49"/>
      <c r="CX386" s="49"/>
      <c r="CY386" s="49"/>
      <c r="CZ386" s="49"/>
      <c r="DA386" s="49"/>
      <c r="DB386" s="49"/>
      <c r="DC386" s="49"/>
      <c r="DD386" s="49"/>
      <c r="DE386" s="49"/>
      <c r="DF386" s="49"/>
      <c r="DG386" s="49"/>
      <c r="DH386" s="49"/>
      <c r="DI386" s="49"/>
      <c r="DJ386" s="49"/>
      <c r="DK386" s="49"/>
      <c r="DL386" s="49"/>
      <c r="DM386" s="49"/>
      <c r="DN386" s="49"/>
      <c r="DO386" s="49"/>
      <c r="DP386" s="49"/>
      <c r="ZZ386" s="52"/>
      <c r="AAA386" s="192"/>
      <c r="AAD386" s="90"/>
      <c r="AAE386" s="519">
        <f t="shared" ref="AAE386:AAE390" si="310">IF(S.Notice.Involved="Y",1,0)</f>
        <v>1</v>
      </c>
      <c r="AAF386" s="190" t="s">
        <v>52</v>
      </c>
      <c r="AAG386" s="94"/>
      <c r="AAH386" s="94"/>
      <c r="AAI386" s="72"/>
      <c r="AAJ386" s="56"/>
      <c r="AAK386" s="56"/>
      <c r="AAL386" s="90"/>
    </row>
    <row r="387" spans="1:715" s="23" customFormat="1" ht="15" customHeight="1" outlineLevel="1">
      <c r="A387" s="171"/>
      <c r="B387" s="800" t="s">
        <v>512</v>
      </c>
      <c r="C387" s="376"/>
      <c r="D387"/>
      <c r="E387"/>
      <c r="F387"/>
      <c r="G387"/>
      <c r="H387"/>
      <c r="I387" s="244"/>
      <c r="J387" s="194"/>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49"/>
      <c r="CK387" s="49"/>
      <c r="CL387" s="49"/>
      <c r="CM387" s="49"/>
      <c r="CN387" s="49"/>
      <c r="CO387" s="49"/>
      <c r="CP387" s="49"/>
      <c r="CQ387" s="49"/>
      <c r="CR387" s="49"/>
      <c r="CS387" s="49"/>
      <c r="CT387" s="49"/>
      <c r="CU387" s="49"/>
      <c r="CV387" s="49"/>
      <c r="CW387" s="49"/>
      <c r="CX387" s="49"/>
      <c r="CY387" s="49"/>
      <c r="CZ387" s="49"/>
      <c r="DA387" s="49"/>
      <c r="DB387" s="49"/>
      <c r="DC387" s="49"/>
      <c r="DD387" s="49"/>
      <c r="DE387" s="49"/>
      <c r="DF387" s="49"/>
      <c r="DG387" s="49"/>
      <c r="DH387" s="49"/>
      <c r="DI387" s="49"/>
      <c r="DJ387" s="49"/>
      <c r="DK387" s="49"/>
      <c r="DL387" s="49"/>
      <c r="DM387" s="49"/>
      <c r="DN387" s="49"/>
      <c r="DO387" s="49"/>
      <c r="DP387" s="49"/>
      <c r="ZZ387" s="52"/>
      <c r="AAA387" s="192"/>
      <c r="AAD387" s="90"/>
      <c r="AAE387" s="519">
        <f t="shared" si="310"/>
        <v>1</v>
      </c>
      <c r="AAF387" s="190" t="s">
        <v>52</v>
      </c>
      <c r="AAG387" s="94"/>
      <c r="AAH387" s="94"/>
      <c r="AAI387" s="72"/>
      <c r="AAJ387" s="56"/>
      <c r="AAK387" s="56"/>
      <c r="AAL387" s="90"/>
    </row>
    <row r="388" spans="1:715" s="23" customFormat="1" ht="15" customHeight="1" outlineLevel="1">
      <c r="A388" s="171"/>
      <c r="B388" s="799" t="s">
        <v>513</v>
      </c>
      <c r="C388" s="376"/>
      <c r="D388"/>
      <c r="E388"/>
      <c r="F388"/>
      <c r="G388"/>
      <c r="H388"/>
      <c r="I388" s="244"/>
      <c r="J388" s="194"/>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9"/>
      <c r="CD388" s="49"/>
      <c r="CE388" s="49"/>
      <c r="CF388" s="49"/>
      <c r="CG388" s="49"/>
      <c r="CH388" s="49"/>
      <c r="CI388" s="49"/>
      <c r="CJ388" s="49"/>
      <c r="CK388" s="49"/>
      <c r="CL388" s="49"/>
      <c r="CM388" s="49"/>
      <c r="CN388" s="49"/>
      <c r="CO388" s="49"/>
      <c r="CP388" s="49"/>
      <c r="CQ388" s="49"/>
      <c r="CR388" s="49"/>
      <c r="CS388" s="49"/>
      <c r="CT388" s="49"/>
      <c r="CU388" s="49"/>
      <c r="CV388" s="49"/>
      <c r="CW388" s="49"/>
      <c r="CX388" s="49"/>
      <c r="CY388" s="49"/>
      <c r="CZ388" s="49"/>
      <c r="DA388" s="49"/>
      <c r="DB388" s="49"/>
      <c r="DC388" s="49"/>
      <c r="DD388" s="49"/>
      <c r="DE388" s="49"/>
      <c r="DF388" s="49"/>
      <c r="DG388" s="49"/>
      <c r="DH388" s="49"/>
      <c r="DI388" s="49"/>
      <c r="DJ388" s="49"/>
      <c r="DK388" s="49"/>
      <c r="DL388" s="49"/>
      <c r="DM388" s="49"/>
      <c r="DN388" s="49"/>
      <c r="DO388" s="49"/>
      <c r="DP388" s="49"/>
      <c r="ZZ388" s="52"/>
      <c r="AAA388" s="192"/>
      <c r="AAD388" s="90"/>
      <c r="AAE388" s="519">
        <f t="shared" si="310"/>
        <v>1</v>
      </c>
      <c r="AAF388" s="190" t="s">
        <v>52</v>
      </c>
      <c r="AAG388" s="94"/>
      <c r="AAH388" s="94"/>
      <c r="AAI388" s="72"/>
      <c r="AAJ388" s="56"/>
      <c r="AAK388" s="56"/>
      <c r="AAL388" s="90"/>
    </row>
    <row r="389" spans="1:715" s="23" customFormat="1" ht="15" customHeight="1" outlineLevel="1">
      <c r="A389" s="171"/>
      <c r="B389" s="799" t="s">
        <v>514</v>
      </c>
      <c r="C389" s="376"/>
      <c r="D389"/>
      <c r="E389"/>
      <c r="F389"/>
      <c r="G389"/>
      <c r="H389"/>
      <c r="I389" s="244"/>
      <c r="J389" s="194"/>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9"/>
      <c r="CD389" s="49"/>
      <c r="CE389" s="49"/>
      <c r="CF389" s="49"/>
      <c r="CG389" s="49"/>
      <c r="CH389" s="49"/>
      <c r="CI389" s="49"/>
      <c r="CJ389" s="49"/>
      <c r="CK389" s="49"/>
      <c r="CL389" s="49"/>
      <c r="CM389" s="49"/>
      <c r="CN389" s="49"/>
      <c r="CO389" s="49"/>
      <c r="CP389" s="49"/>
      <c r="CQ389" s="49"/>
      <c r="CR389" s="49"/>
      <c r="CS389" s="49"/>
      <c r="CT389" s="49"/>
      <c r="CU389" s="49"/>
      <c r="CV389" s="49"/>
      <c r="CW389" s="49"/>
      <c r="CX389" s="49"/>
      <c r="CY389" s="49"/>
      <c r="CZ389" s="49"/>
      <c r="DA389" s="49"/>
      <c r="DB389" s="49"/>
      <c r="DC389" s="49"/>
      <c r="DD389" s="49"/>
      <c r="DE389" s="49"/>
      <c r="DF389" s="49"/>
      <c r="DG389" s="49"/>
      <c r="DH389" s="49"/>
      <c r="DI389" s="49"/>
      <c r="DJ389" s="49"/>
      <c r="DK389" s="49"/>
      <c r="DL389" s="49"/>
      <c r="DM389" s="49"/>
      <c r="DN389" s="49"/>
      <c r="DO389" s="49"/>
      <c r="DP389" s="49"/>
      <c r="ZZ389" s="52"/>
      <c r="AAA389" s="192"/>
      <c r="AAD389" s="90"/>
      <c r="AAE389" s="519">
        <f t="shared" si="310"/>
        <v>1</v>
      </c>
      <c r="AAF389" s="190" t="s">
        <v>52</v>
      </c>
      <c r="AAG389" s="94"/>
      <c r="AAH389" s="94"/>
      <c r="AAI389" s="72"/>
      <c r="AAJ389" s="56"/>
      <c r="AAK389" s="56"/>
      <c r="AAL389" s="90"/>
    </row>
    <row r="390" spans="1:715" s="23" customFormat="1" ht="15" customHeight="1" outlineLevel="1">
      <c r="A390" s="171"/>
      <c r="B390" s="801" t="s">
        <v>515</v>
      </c>
      <c r="C390" s="376"/>
      <c r="D390"/>
      <c r="E390"/>
      <c r="F390"/>
      <c r="G390"/>
      <c r="H390"/>
      <c r="I390" s="244"/>
      <c r="J390" s="194"/>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9"/>
      <c r="CD390" s="49"/>
      <c r="CE390" s="49"/>
      <c r="CF390" s="49"/>
      <c r="CG390" s="49"/>
      <c r="CH390" s="49"/>
      <c r="CI390" s="49"/>
      <c r="CJ390" s="49"/>
      <c r="CK390" s="49"/>
      <c r="CL390" s="49"/>
      <c r="CM390" s="49"/>
      <c r="CN390" s="49"/>
      <c r="CO390" s="49"/>
      <c r="CP390" s="49"/>
      <c r="CQ390" s="49"/>
      <c r="CR390" s="49"/>
      <c r="CS390" s="49"/>
      <c r="CT390" s="49"/>
      <c r="CU390" s="49"/>
      <c r="CV390" s="49"/>
      <c r="CW390" s="49"/>
      <c r="CX390" s="49"/>
      <c r="CY390" s="49"/>
      <c r="CZ390" s="49"/>
      <c r="DA390" s="49"/>
      <c r="DB390" s="49"/>
      <c r="DC390" s="49"/>
      <c r="DD390" s="49"/>
      <c r="DE390" s="49"/>
      <c r="DF390" s="49"/>
      <c r="DG390" s="49"/>
      <c r="DH390" s="49"/>
      <c r="DI390" s="49"/>
      <c r="DJ390" s="49"/>
      <c r="DK390" s="49"/>
      <c r="DL390" s="49"/>
      <c r="DM390" s="49"/>
      <c r="DN390" s="49"/>
      <c r="DO390" s="49"/>
      <c r="DP390" s="49"/>
      <c r="ZZ390" s="52"/>
      <c r="AAA390" s="192"/>
      <c r="AAD390" s="90"/>
      <c r="AAE390" s="519">
        <f t="shared" si="310"/>
        <v>1</v>
      </c>
      <c r="AAF390" s="190" t="s">
        <v>52</v>
      </c>
      <c r="AAG390" s="94"/>
      <c r="AAH390" s="94"/>
      <c r="AAI390" s="72"/>
      <c r="AAJ390" s="56"/>
      <c r="AAK390" s="56"/>
      <c r="AAL390" s="90"/>
    </row>
    <row r="391" spans="1:715" ht="15" customHeight="1" outlineLevel="1">
      <c r="A391" s="171"/>
      <c r="B391" s="305" t="str">
        <f t="shared" si="308"/>
        <v>AndreaRW coordinates/drafts Notice Packet that includes:</v>
      </c>
      <c r="C391" s="376" t="s">
        <v>0</v>
      </c>
      <c r="D391" s="380"/>
      <c r="E391" s="342">
        <f>NETWORKDAYS(G391,H391,S.DDL_DEQClosed)</f>
        <v>29700</v>
      </c>
      <c r="F391" s="457">
        <f t="shared" ref="F391:F450" ca="1" si="311">IF(YEAR(H391)&gt;2000,NETWORKDAYS(TODAY(),H391,S.DDL_DEQClosed),0)</f>
        <v>14</v>
      </c>
      <c r="G391" s="343">
        <f t="shared" si="305"/>
        <v>0</v>
      </c>
      <c r="H391" s="343">
        <f>AAH391</f>
        <v>41593</v>
      </c>
      <c r="I391" s="244"/>
      <c r="J391" s="194"/>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c r="CE391" s="49"/>
      <c r="CF391" s="49"/>
      <c r="CG391" s="49"/>
      <c r="CH391" s="49"/>
      <c r="CI391" s="49"/>
      <c r="CJ391" s="49"/>
      <c r="CK391" s="49"/>
      <c r="CL391" s="49"/>
      <c r="CM391" s="49"/>
      <c r="CN391" s="49"/>
      <c r="CO391" s="49"/>
      <c r="CP391" s="49"/>
      <c r="CQ391" s="49"/>
      <c r="CR391" s="49"/>
      <c r="CS391" s="49"/>
      <c r="CT391" s="49"/>
      <c r="CU391" s="49"/>
      <c r="CV391" s="49"/>
      <c r="CW391" s="49"/>
      <c r="CX391" s="49"/>
      <c r="CY391" s="49"/>
      <c r="CZ391" s="49"/>
      <c r="DA391" s="49"/>
      <c r="DB391" s="49"/>
      <c r="DC391" s="49"/>
      <c r="DD391" s="49"/>
      <c r="DE391" s="49"/>
      <c r="DF391" s="49"/>
      <c r="DG391" s="49"/>
      <c r="DH391" s="49"/>
      <c r="DI391" s="49"/>
      <c r="DJ391" s="49"/>
      <c r="DK391" s="49"/>
      <c r="DL391" s="49"/>
      <c r="DM391" s="49"/>
      <c r="DN391" s="49"/>
      <c r="DO391" s="49"/>
      <c r="DP391" s="49"/>
      <c r="AAA391" s="192"/>
      <c r="AAD391" s="90"/>
      <c r="AAE391" s="519">
        <f t="shared" ref="AAE391:AAE397" si="312">IF(S.Notice.Involved="Y",1,0)</f>
        <v>1</v>
      </c>
      <c r="AAF391" s="90"/>
      <c r="AAG391" s="73">
        <f>IF(AAE$382=0,,S.Notice.BANNER.Begin)</f>
        <v>0</v>
      </c>
      <c r="AAH391" s="73">
        <f>IF(AAE391=0,,WORKDAY(S.Notice.PreviewBegin-1,-1,S.DDL_DEQClosed))</f>
        <v>41593</v>
      </c>
      <c r="AAI391" s="60"/>
      <c r="AAJ391" s="56"/>
      <c r="AAK391" s="254" t="str">
        <f>S.Staff.Lead&amp;" coordinates/drafts Notice Packet that includes:"</f>
        <v>AndreaRW coordinates/drafts Notice Packet that includes:</v>
      </c>
      <c r="AAL391" s="90"/>
      <c r="AAM391"/>
    </row>
    <row r="392" spans="1:715" ht="15" customHeight="1" outlineLevel="1">
      <c r="A392" s="171"/>
      <c r="B392" s="304" t="str">
        <f t="shared" si="308"/>
        <v>a. LRAPAINVITATION.TO.COMMENT preloaded in SharePoint folder 4</v>
      </c>
      <c r="C392"/>
      <c r="D392" s="380"/>
      <c r="E392" s="342">
        <f t="shared" ref="E392:E399" si="313">NETWORKDAYS(G392,H392,S.DDL_DEQClosed)</f>
        <v>29700</v>
      </c>
      <c r="F392" s="457">
        <f t="shared" ca="1" si="311"/>
        <v>14</v>
      </c>
      <c r="G392" s="343">
        <f t="shared" si="305"/>
        <v>0</v>
      </c>
      <c r="H392" s="343">
        <f t="shared" ref="H392:H450" si="314">AAH392</f>
        <v>41593</v>
      </c>
      <c r="I392" s="244"/>
      <c r="J392" s="194"/>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c r="CE392" s="49"/>
      <c r="CF392" s="49"/>
      <c r="CG392" s="49"/>
      <c r="CH392" s="49"/>
      <c r="CI392" s="49"/>
      <c r="CJ392" s="49"/>
      <c r="CK392" s="49"/>
      <c r="CL392" s="49"/>
      <c r="CM392" s="49"/>
      <c r="CN392" s="49"/>
      <c r="CO392" s="49"/>
      <c r="CP392" s="49"/>
      <c r="CQ392" s="49"/>
      <c r="CR392" s="49"/>
      <c r="CS392" s="49"/>
      <c r="CT392" s="49"/>
      <c r="CU392" s="49"/>
      <c r="CV392" s="49"/>
      <c r="CW392" s="49"/>
      <c r="CX392" s="49"/>
      <c r="CY392" s="49"/>
      <c r="CZ392" s="49"/>
      <c r="DA392" s="49"/>
      <c r="DB392" s="49"/>
      <c r="DC392" s="49"/>
      <c r="DD392" s="49"/>
      <c r="DE392" s="49"/>
      <c r="DF392" s="49"/>
      <c r="DG392" s="49"/>
      <c r="DH392" s="49"/>
      <c r="DI392" s="49"/>
      <c r="DJ392" s="49"/>
      <c r="DK392" s="49"/>
      <c r="DL392" s="49"/>
      <c r="DM392" s="49"/>
      <c r="DN392" s="49"/>
      <c r="DO392" s="49"/>
      <c r="DP392" s="49"/>
      <c r="AAA392" s="192"/>
      <c r="AAD392" s="90"/>
      <c r="AAE392" s="519">
        <f t="shared" si="312"/>
        <v>1</v>
      </c>
      <c r="AAF392" s="90"/>
      <c r="AAG392" s="73">
        <f>IF(AAE$382=0,,S.Notice.BANNER.Begin)</f>
        <v>0</v>
      </c>
      <c r="AAH392" s="73">
        <f>IF(AAE392=0,,WORKDAY(S.Notice.PreviewBegin-1,-1,S.DDL_DEQClosed))</f>
        <v>41593</v>
      </c>
      <c r="AAI392" s="72"/>
      <c r="AAJ392" s="72"/>
      <c r="AAK392" s="80" t="str">
        <f>"a. "&amp;S.General.CodeName&amp;"INVITATION.TO.COMMENT preloaded in SharePoint folder 4"</f>
        <v>a. LRAPAINVITATION.TO.COMMENT preloaded in SharePoint folder 4</v>
      </c>
      <c r="AAL392" s="90"/>
      <c r="AAM392"/>
    </row>
    <row r="393" spans="1:715" ht="15" customHeight="1" outlineLevel="1">
      <c r="A393" s="171"/>
      <c r="B393" s="304" t="str">
        <f t="shared" si="308"/>
        <v>b. LRAPAPROPOSED.RULES</v>
      </c>
      <c r="C393" s="376" t="s">
        <v>0</v>
      </c>
      <c r="D393" s="381"/>
      <c r="E393" s="342">
        <f t="shared" si="313"/>
        <v>29700</v>
      </c>
      <c r="F393" s="457">
        <f t="shared" ca="1" si="311"/>
        <v>14</v>
      </c>
      <c r="G393" s="343">
        <f t="shared" si="305"/>
        <v>0</v>
      </c>
      <c r="H393" s="343">
        <f t="shared" si="314"/>
        <v>41593</v>
      </c>
      <c r="I393" s="244"/>
      <c r="J393" s="194"/>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c r="DK393" s="49"/>
      <c r="DL393" s="49"/>
      <c r="DM393" s="49"/>
      <c r="DN393" s="49"/>
      <c r="DO393" s="49"/>
      <c r="DP393" s="49"/>
      <c r="AAA393" s="192"/>
      <c r="AAD393" s="90"/>
      <c r="AAE393" s="519">
        <f t="shared" si="312"/>
        <v>1</v>
      </c>
      <c r="AAF393" s="90"/>
      <c r="AAG393" s="73">
        <f>IF(AAE$382=0,,S.Notice.BANNER.Begin)</f>
        <v>0</v>
      </c>
      <c r="AAH393" s="73">
        <f>IF(AAE393=0,,WORKDAY(S.Notice.PreviewBegin-1,-1,S.DDL_DEQClosed))</f>
        <v>41593</v>
      </c>
      <c r="AAI393" s="72"/>
      <c r="AAJ393" s="72"/>
      <c r="AAK393" s="80" t="str">
        <f>"b. "&amp;S.General.CodeName&amp;"PROPOSED.RULES"</f>
        <v>b. LRAPAPROPOSED.RULES</v>
      </c>
      <c r="AAL393" s="90"/>
      <c r="AAM393"/>
    </row>
    <row r="394" spans="1:715" s="23" customFormat="1" ht="15" customHeight="1" outlineLevel="1">
      <c r="A394" s="171"/>
      <c r="B394" s="483" t="str">
        <f t="shared" ref="B394" si="315">AAK394</f>
        <v>AndreaRW verifies:</v>
      </c>
      <c r="C394" s="362"/>
      <c r="D394" s="362"/>
      <c r="E394" s="350"/>
      <c r="F394" s="350"/>
      <c r="G394" s="346"/>
      <c r="H394" s="346"/>
      <c r="I394" s="244"/>
      <c r="J394" s="194"/>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c r="DK394" s="49"/>
      <c r="DL394" s="49"/>
      <c r="DM394" s="49"/>
      <c r="DN394" s="49"/>
      <c r="DO394" s="49"/>
      <c r="DP394" s="49"/>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s="52"/>
      <c r="AAA394" s="192"/>
      <c r="AAD394" s="90"/>
      <c r="AAE394" s="519">
        <f t="shared" si="312"/>
        <v>1</v>
      </c>
      <c r="AAF394" s="190" t="s">
        <v>52</v>
      </c>
      <c r="AAG394" s="71"/>
      <c r="AAH394" s="71"/>
      <c r="AAI394" s="71"/>
      <c r="AAJ394" s="56"/>
      <c r="AAK394" s="254" t="str">
        <f>S.Staff.Lead&amp;" verifies:"</f>
        <v>AndreaRW verifies:</v>
      </c>
      <c r="AAL394" s="90"/>
    </row>
    <row r="395" spans="1:715" s="23" customFormat="1" ht="15" customHeight="1" outlineLevel="1">
      <c r="A395" s="171"/>
      <c r="B395" s="656" t="s">
        <v>498</v>
      </c>
      <c r="C395" s="790" t="str">
        <f>HYPERLINK("http://arcweb.sos.state.or.us/pages/rules/oars_300/oar_340/340_tofc.html","i")</f>
        <v>i</v>
      </c>
      <c r="D395" s="380"/>
      <c r="E395" s="342">
        <f t="shared" si="313"/>
        <v>29700</v>
      </c>
      <c r="F395" s="457">
        <f t="shared" ca="1" si="311"/>
        <v>14</v>
      </c>
      <c r="G395" s="343">
        <f t="shared" si="305"/>
        <v>0</v>
      </c>
      <c r="H395" s="343">
        <f t="shared" si="314"/>
        <v>41593</v>
      </c>
      <c r="I395" s="244"/>
      <c r="J395" s="194"/>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c r="DK395" s="49"/>
      <c r="DL395" s="49"/>
      <c r="DM395" s="49"/>
      <c r="DN395" s="49"/>
      <c r="DO395" s="49"/>
      <c r="DP395" s="49"/>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s="52"/>
      <c r="AAA395" s="192"/>
      <c r="AAB395"/>
      <c r="AAC395"/>
      <c r="AAD395" s="90"/>
      <c r="AAE395" s="519">
        <f t="shared" si="312"/>
        <v>1</v>
      </c>
      <c r="AAF395" s="90"/>
      <c r="AAG395" s="73">
        <f t="shared" ref="AAG395:AAG408" si="316">IF(AAE$382=0,,S.Notice.BANNER.Begin)</f>
        <v>0</v>
      </c>
      <c r="AAH395" s="73">
        <f t="shared" ref="AAH395:AAH408" si="317">IF(AAE395=0,,WORKDAY(S.Notice.PreviewBegin-1,-1,S.DDL_DEQClosed))</f>
        <v>41593</v>
      </c>
      <c r="AAI395" s="72"/>
      <c r="AAJ395" s="72"/>
      <c r="AAK395" s="56"/>
      <c r="AAL395" s="90"/>
    </row>
    <row r="396" spans="1:715" s="23" customFormat="1" ht="15" customHeight="1" outlineLevel="1">
      <c r="A396" s="171"/>
      <c r="B396" s="290" t="s">
        <v>325</v>
      </c>
      <c r="C396"/>
      <c r="D396" s="380"/>
      <c r="E396" s="342">
        <f t="shared" ref="E396" si="318">NETWORKDAYS(G396,H396,S.DDL_DEQClosed)</f>
        <v>29700</v>
      </c>
      <c r="F396" s="457">
        <f t="shared" ref="F396" ca="1" si="319">IF(YEAR(H396)&gt;2000,NETWORKDAYS(TODAY(),H396,S.DDL_DEQClosed),0)</f>
        <v>14</v>
      </c>
      <c r="G396" s="343">
        <f t="shared" ref="G396" si="320">AAG396</f>
        <v>0</v>
      </c>
      <c r="H396" s="343">
        <f t="shared" ref="H396" si="321">AAH396</f>
        <v>41593</v>
      </c>
      <c r="I396" s="244"/>
      <c r="J396" s="194"/>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c r="DK396" s="49"/>
      <c r="DL396" s="49"/>
      <c r="DM396" s="49"/>
      <c r="DN396" s="49"/>
      <c r="DO396" s="49"/>
      <c r="DP396" s="49"/>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s="52"/>
      <c r="AAA396" s="192"/>
      <c r="AAD396" s="90"/>
      <c r="AAE396" s="519">
        <f t="shared" si="312"/>
        <v>1</v>
      </c>
      <c r="AAF396" s="90"/>
      <c r="AAG396" s="73">
        <f t="shared" si="316"/>
        <v>0</v>
      </c>
      <c r="AAH396" s="73">
        <f t="shared" si="317"/>
        <v>41593</v>
      </c>
      <c r="AAI396" s="72"/>
      <c r="AAJ396" s="72"/>
      <c r="AAK396" s="56"/>
      <c r="AAL396" s="90"/>
    </row>
    <row r="397" spans="1:715" s="23" customFormat="1" ht="15" customHeight="1" outlineLevel="1">
      <c r="A397" s="171"/>
      <c r="B397" s="656" t="s">
        <v>305</v>
      </c>
      <c r="C397"/>
      <c r="D397" s="380"/>
      <c r="E397" s="342">
        <f t="shared" ref="E397" si="322">NETWORKDAYS(G397,H397,S.DDL_DEQClosed)</f>
        <v>29700</v>
      </c>
      <c r="F397" s="457">
        <f t="shared" ref="F397" ca="1" si="323">IF(YEAR(H397)&gt;2000,NETWORKDAYS(TODAY(),H397,S.DDL_DEQClosed),0)</f>
        <v>14</v>
      </c>
      <c r="G397" s="343">
        <f t="shared" ref="G397" si="324">AAG397</f>
        <v>0</v>
      </c>
      <c r="H397" s="343">
        <f t="shared" ref="H397" si="325">AAH397</f>
        <v>41593</v>
      </c>
      <c r="I397" s="244"/>
      <c r="J397" s="194"/>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c r="DK397" s="49"/>
      <c r="DL397" s="49"/>
      <c r="DM397" s="49"/>
      <c r="DN397" s="49"/>
      <c r="DO397" s="49"/>
      <c r="DP397" s="49"/>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s="52"/>
      <c r="AAA397" s="192"/>
      <c r="AAD397" s="90"/>
      <c r="AAE397" s="519">
        <f t="shared" si="312"/>
        <v>1</v>
      </c>
      <c r="AAF397" s="90"/>
      <c r="AAG397" s="73">
        <f t="shared" si="316"/>
        <v>0</v>
      </c>
      <c r="AAH397" s="73">
        <f t="shared" si="317"/>
        <v>41593</v>
      </c>
      <c r="AAI397" s="72"/>
      <c r="AAJ397" s="72"/>
      <c r="AAK397" s="56"/>
      <c r="AAL397" s="90"/>
    </row>
    <row r="398" spans="1:715" s="23" customFormat="1" ht="15" customHeight="1" outlineLevel="1">
      <c r="A398" s="171"/>
      <c r="B398" s="656" t="str">
        <f>AAK398</f>
        <v>- SIP note is at bottom of all SIP rules</v>
      </c>
      <c r="D398" s="380"/>
      <c r="E398" s="342">
        <f t="shared" ref="E398" si="326">NETWORKDAYS(G398,H398,S.DDL_DEQClosed)</f>
        <v>29700</v>
      </c>
      <c r="F398" s="457">
        <f t="shared" ref="F398" ca="1" si="327">IF(YEAR(H398)&gt;2000,NETWORKDAYS(TODAY(),H398,S.DDL_DEQClosed),0)</f>
        <v>14</v>
      </c>
      <c r="G398" s="343">
        <f t="shared" ref="G398" si="328">AAG398</f>
        <v>0</v>
      </c>
      <c r="H398" s="343">
        <f t="shared" ref="H398" si="329">AAH398</f>
        <v>41593</v>
      </c>
      <c r="I398" s="244" t="s">
        <v>0</v>
      </c>
      <c r="J398" s="194"/>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c r="DK398" s="49"/>
      <c r="DL398" s="49"/>
      <c r="DM398" s="49"/>
      <c r="DN398" s="49"/>
      <c r="DO398" s="49"/>
      <c r="DP398" s="49"/>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s="52"/>
      <c r="AAA398" s="192"/>
      <c r="AAD398" s="90"/>
      <c r="AAE398" s="519">
        <f>IF(AND(S.SIP.Involved="Y",S.Notice.Involved="Y"),1,0)</f>
        <v>1</v>
      </c>
      <c r="AAF398" s="90"/>
      <c r="AAG398" s="73">
        <f t="shared" si="316"/>
        <v>0</v>
      </c>
      <c r="AAH398" s="73">
        <f t="shared" si="317"/>
        <v>41593</v>
      </c>
      <c r="AAI398" s="72"/>
      <c r="AAJ398" s="72"/>
      <c r="AAK398" s="254" t="str">
        <f>IF(S.SIP.Involved="Y","- SIP note is at bottom of all SIP rules","* SIP rules are not involved")</f>
        <v>- SIP note is at bottom of all SIP rules</v>
      </c>
      <c r="AAL398" s="90"/>
    </row>
    <row r="399" spans="1:715" ht="15" customHeight="1" outlineLevel="1">
      <c r="A399" s="171"/>
      <c r="B399" s="413" t="s">
        <v>289</v>
      </c>
      <c r="C399"/>
      <c r="D399" s="380"/>
      <c r="E399" s="342">
        <f t="shared" si="313"/>
        <v>29700</v>
      </c>
      <c r="F399" s="457">
        <f t="shared" ca="1" si="311"/>
        <v>14</v>
      </c>
      <c r="G399" s="343">
        <f t="shared" si="305"/>
        <v>0</v>
      </c>
      <c r="H399" s="343">
        <f t="shared" si="314"/>
        <v>41593</v>
      </c>
      <c r="I399" s="244"/>
      <c r="J399" s="194"/>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c r="DK399" s="49"/>
      <c r="DL399" s="49"/>
      <c r="DM399" s="49"/>
      <c r="DN399" s="49"/>
      <c r="DO399" s="49"/>
      <c r="DP399" s="49"/>
      <c r="AAA399" s="192"/>
      <c r="AAD399" s="90"/>
      <c r="AAE399" s="519">
        <f t="shared" ref="AAE399:AAE405" si="330">IF(S.Notice.Involved="Y",1,0)</f>
        <v>1</v>
      </c>
      <c r="AAF399" s="90"/>
      <c r="AAG399" s="73">
        <f t="shared" si="316"/>
        <v>0</v>
      </c>
      <c r="AAH399" s="73">
        <f t="shared" si="317"/>
        <v>41593</v>
      </c>
      <c r="AAI399" s="72"/>
      <c r="AAJ399" s="72"/>
      <c r="AAK399" s="56"/>
      <c r="AAL399" s="90"/>
      <c r="AAM399"/>
    </row>
    <row r="400" spans="1:715" s="23" customFormat="1" ht="15" customHeight="1" outlineLevel="1">
      <c r="A400" s="171"/>
      <c r="B400" s="631" t="s">
        <v>268</v>
      </c>
      <c r="C400" s="364" t="s">
        <v>0</v>
      </c>
      <c r="D400" s="382"/>
      <c r="E400" s="342">
        <f t="shared" ref="E400" si="331">NETWORKDAYS(G400,H400,S.DDL_DEQClosed)</f>
        <v>29700</v>
      </c>
      <c r="F400" s="457">
        <f t="shared" ca="1" si="311"/>
        <v>14</v>
      </c>
      <c r="G400" s="343">
        <f t="shared" si="305"/>
        <v>0</v>
      </c>
      <c r="H400" s="343">
        <f t="shared" si="314"/>
        <v>41593</v>
      </c>
      <c r="I400" s="244"/>
      <c r="J400" s="194"/>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s="52"/>
      <c r="AAA400" s="192"/>
      <c r="AAD400" s="90"/>
      <c r="AAE400" s="519">
        <f t="shared" si="330"/>
        <v>1</v>
      </c>
      <c r="AAF400" s="90"/>
      <c r="AAG400" s="73">
        <f t="shared" si="316"/>
        <v>0</v>
      </c>
      <c r="AAH400" s="73">
        <f t="shared" si="317"/>
        <v>41593</v>
      </c>
      <c r="AAI400" s="72"/>
      <c r="AAJ400" s="72"/>
      <c r="AAK400" s="56"/>
      <c r="AAL400" s="90"/>
    </row>
    <row r="401" spans="1:715" s="23" customFormat="1" ht="15" customHeight="1" outlineLevel="1">
      <c r="A401" s="171"/>
      <c r="B401" s="631" t="s">
        <v>267</v>
      </c>
      <c r="C401" s="364" t="s">
        <v>0</v>
      </c>
      <c r="D401" s="382"/>
      <c r="E401" s="342">
        <f t="shared" ref="E401:E402" si="332">NETWORKDAYS(G401,H401,S.DDL_DEQClosed)</f>
        <v>29700</v>
      </c>
      <c r="F401" s="457">
        <f t="shared" ca="1" si="311"/>
        <v>14</v>
      </c>
      <c r="G401" s="343">
        <f t="shared" ref="G401:G466" si="333">AAG401</f>
        <v>0</v>
      </c>
      <c r="H401" s="343">
        <f t="shared" si="314"/>
        <v>41593</v>
      </c>
      <c r="I401" s="244"/>
      <c r="J401" s="194"/>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c r="DK401" s="49"/>
      <c r="DL401" s="49"/>
      <c r="DM401" s="49"/>
      <c r="DN401" s="49"/>
      <c r="DO401" s="49"/>
      <c r="DP401" s="49"/>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s="52"/>
      <c r="AAA401" s="192"/>
      <c r="AAD401" s="90"/>
      <c r="AAE401" s="519">
        <f t="shared" si="330"/>
        <v>1</v>
      </c>
      <c r="AAF401" s="90"/>
      <c r="AAG401" s="73">
        <f t="shared" si="316"/>
        <v>0</v>
      </c>
      <c r="AAH401" s="73">
        <f t="shared" si="317"/>
        <v>41593</v>
      </c>
      <c r="AAI401" s="72"/>
      <c r="AAJ401" s="72"/>
      <c r="AAK401" s="56"/>
      <c r="AAL401" s="90"/>
    </row>
    <row r="402" spans="1:715" s="23" customFormat="1" ht="15" customHeight="1" outlineLevel="1">
      <c r="A402" s="171"/>
      <c r="B402" s="631" t="s">
        <v>269</v>
      </c>
      <c r="C402" s="364" t="s">
        <v>0</v>
      </c>
      <c r="D402" s="382"/>
      <c r="E402" s="342">
        <f t="shared" si="332"/>
        <v>29700</v>
      </c>
      <c r="F402" s="457">
        <f t="shared" ca="1" si="311"/>
        <v>14</v>
      </c>
      <c r="G402" s="343">
        <f t="shared" si="333"/>
        <v>0</v>
      </c>
      <c r="H402" s="343">
        <f t="shared" si="314"/>
        <v>41593</v>
      </c>
      <c r="I402" s="244"/>
      <c r="J402" s="194"/>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c r="DK402" s="49"/>
      <c r="DL402" s="49"/>
      <c r="DM402" s="49"/>
      <c r="DN402" s="49"/>
      <c r="DO402" s="49"/>
      <c r="DP402" s="49"/>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c r="ST402"/>
      <c r="SU402"/>
      <c r="SV402"/>
      <c r="SW402"/>
      <c r="SX402"/>
      <c r="SY402"/>
      <c r="SZ402"/>
      <c r="TA402"/>
      <c r="TB402"/>
      <c r="TC402"/>
      <c r="TD402"/>
      <c r="TE402"/>
      <c r="TF402"/>
      <c r="TG402"/>
      <c r="TH402"/>
      <c r="TI402"/>
      <c r="TJ402"/>
      <c r="TK402"/>
      <c r="TL402"/>
      <c r="TM402"/>
      <c r="TN402"/>
      <c r="TO402"/>
      <c r="TP402"/>
      <c r="TQ402"/>
      <c r="TR402"/>
      <c r="TS402"/>
      <c r="TT402"/>
      <c r="TU402"/>
      <c r="TV402"/>
      <c r="TW402"/>
      <c r="TX402"/>
      <c r="TY402"/>
      <c r="TZ402"/>
      <c r="UA402"/>
      <c r="UB402"/>
      <c r="UC402"/>
      <c r="UD402"/>
      <c r="UE402"/>
      <c r="UF402"/>
      <c r="UG402"/>
      <c r="UH402"/>
      <c r="UI402"/>
      <c r="UJ402"/>
      <c r="UK402"/>
      <c r="UL402"/>
      <c r="UM402"/>
      <c r="UN402"/>
      <c r="UO402"/>
      <c r="UP402"/>
      <c r="UQ402"/>
      <c r="UR402"/>
      <c r="US402"/>
      <c r="UT402"/>
      <c r="UU402"/>
      <c r="UV402"/>
      <c r="UW402"/>
      <c r="UX402"/>
      <c r="UY402"/>
      <c r="UZ402"/>
      <c r="VA402"/>
      <c r="VB402"/>
      <c r="VC402"/>
      <c r="VD402"/>
      <c r="VE402"/>
      <c r="VF402"/>
      <c r="VG402"/>
      <c r="VH402"/>
      <c r="VI402"/>
      <c r="VJ402"/>
      <c r="VK402"/>
      <c r="VL402"/>
      <c r="VM402"/>
      <c r="VN402"/>
      <c r="VO402"/>
      <c r="VP402"/>
      <c r="VQ402"/>
      <c r="VR402"/>
      <c r="VS402"/>
      <c r="VT402"/>
      <c r="VU402"/>
      <c r="VV402"/>
      <c r="VW402"/>
      <c r="VX402"/>
      <c r="VY402"/>
      <c r="VZ402"/>
      <c r="WA402"/>
      <c r="WB402"/>
      <c r="WC402"/>
      <c r="WD402"/>
      <c r="WE402"/>
      <c r="WF402"/>
      <c r="WG402"/>
      <c r="WH402"/>
      <c r="WI402"/>
      <c r="WJ402"/>
      <c r="WK402"/>
      <c r="WL402"/>
      <c r="WM402"/>
      <c r="WN402"/>
      <c r="WO402"/>
      <c r="WP402"/>
      <c r="WQ402"/>
      <c r="WR402"/>
      <c r="WS402"/>
      <c r="WT402"/>
      <c r="WU402"/>
      <c r="WV402"/>
      <c r="WW402"/>
      <c r="WX402"/>
      <c r="WY402"/>
      <c r="WZ402"/>
      <c r="XA402"/>
      <c r="XB402"/>
      <c r="XC402"/>
      <c r="XD402"/>
      <c r="XE402"/>
      <c r="XF402"/>
      <c r="XG402"/>
      <c r="XH402"/>
      <c r="XI402"/>
      <c r="XJ402"/>
      <c r="XK402"/>
      <c r="XL402"/>
      <c r="XM402"/>
      <c r="XN402"/>
      <c r="XO402"/>
      <c r="XP402"/>
      <c r="XQ402"/>
      <c r="XR402"/>
      <c r="XS402"/>
      <c r="XT402"/>
      <c r="XU402"/>
      <c r="XV402"/>
      <c r="XW402"/>
      <c r="XX402"/>
      <c r="XY402"/>
      <c r="XZ402"/>
      <c r="YA402"/>
      <c r="YB402"/>
      <c r="YC402"/>
      <c r="YD402"/>
      <c r="YE402"/>
      <c r="YF402"/>
      <c r="YG402"/>
      <c r="YH402"/>
      <c r="YI402"/>
      <c r="YJ402"/>
      <c r="YK402"/>
      <c r="YL402"/>
      <c r="YM402"/>
      <c r="YN402"/>
      <c r="YO402"/>
      <c r="YP402"/>
      <c r="YQ402"/>
      <c r="YR402"/>
      <c r="YS402"/>
      <c r="YT402"/>
      <c r="YU402"/>
      <c r="YV402"/>
      <c r="YW402"/>
      <c r="YX402"/>
      <c r="YY402"/>
      <c r="YZ402"/>
      <c r="ZA402"/>
      <c r="ZB402"/>
      <c r="ZC402"/>
      <c r="ZD402"/>
      <c r="ZE402"/>
      <c r="ZF402"/>
      <c r="ZG402"/>
      <c r="ZH402"/>
      <c r="ZI402"/>
      <c r="ZJ402"/>
      <c r="ZK402"/>
      <c r="ZL402"/>
      <c r="ZM402"/>
      <c r="ZN402"/>
      <c r="ZO402"/>
      <c r="ZP402"/>
      <c r="ZQ402"/>
      <c r="ZR402"/>
      <c r="ZS402"/>
      <c r="ZT402"/>
      <c r="ZU402"/>
      <c r="ZV402"/>
      <c r="ZW402"/>
      <c r="ZX402"/>
      <c r="ZY402"/>
      <c r="ZZ402" s="52"/>
      <c r="AAA402" s="192"/>
      <c r="AAD402" s="90"/>
      <c r="AAE402" s="519">
        <f t="shared" si="330"/>
        <v>1</v>
      </c>
      <c r="AAF402" s="90"/>
      <c r="AAG402" s="73">
        <f t="shared" si="316"/>
        <v>0</v>
      </c>
      <c r="AAH402" s="73">
        <f t="shared" si="317"/>
        <v>41593</v>
      </c>
      <c r="AAI402" s="72"/>
      <c r="AAJ402" s="72"/>
      <c r="AAK402" s="56"/>
      <c r="AAL402" s="90"/>
    </row>
    <row r="403" spans="1:715" s="23" customFormat="1" ht="15" customHeight="1" outlineLevel="1">
      <c r="A403" s="171"/>
      <c r="B403" s="631" t="s">
        <v>270</v>
      </c>
      <c r="C403" s="364" t="s">
        <v>0</v>
      </c>
      <c r="D403" s="382"/>
      <c r="E403" s="342">
        <f t="shared" ref="E403:E404" si="334">NETWORKDAYS(G403,H403,S.DDL_DEQClosed)</f>
        <v>29700</v>
      </c>
      <c r="F403" s="457">
        <f t="shared" ca="1" si="311"/>
        <v>14</v>
      </c>
      <c r="G403" s="343">
        <f t="shared" si="333"/>
        <v>0</v>
      </c>
      <c r="H403" s="343">
        <f t="shared" si="314"/>
        <v>41593</v>
      </c>
      <c r="I403" s="244"/>
      <c r="J403" s="194"/>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c r="DK403" s="49"/>
      <c r="DL403" s="49"/>
      <c r="DM403" s="49"/>
      <c r="DN403" s="49"/>
      <c r="DO403" s="49"/>
      <c r="DP403" s="49"/>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c r="ST403"/>
      <c r="SU403"/>
      <c r="SV403"/>
      <c r="SW403"/>
      <c r="SX403"/>
      <c r="SY403"/>
      <c r="SZ403"/>
      <c r="TA403"/>
      <c r="TB403"/>
      <c r="TC403"/>
      <c r="TD403"/>
      <c r="TE403"/>
      <c r="TF403"/>
      <c r="TG403"/>
      <c r="TH403"/>
      <c r="TI403"/>
      <c r="TJ403"/>
      <c r="TK403"/>
      <c r="TL403"/>
      <c r="TM403"/>
      <c r="TN403"/>
      <c r="TO403"/>
      <c r="TP403"/>
      <c r="TQ403"/>
      <c r="TR403"/>
      <c r="TS403"/>
      <c r="TT403"/>
      <c r="TU403"/>
      <c r="TV403"/>
      <c r="TW403"/>
      <c r="TX403"/>
      <c r="TY403"/>
      <c r="TZ403"/>
      <c r="UA403"/>
      <c r="UB403"/>
      <c r="UC403"/>
      <c r="UD403"/>
      <c r="UE403"/>
      <c r="UF403"/>
      <c r="UG403"/>
      <c r="UH403"/>
      <c r="UI403"/>
      <c r="UJ403"/>
      <c r="UK403"/>
      <c r="UL403"/>
      <c r="UM403"/>
      <c r="UN403"/>
      <c r="UO403"/>
      <c r="UP403"/>
      <c r="UQ403"/>
      <c r="UR403"/>
      <c r="US403"/>
      <c r="UT403"/>
      <c r="UU403"/>
      <c r="UV403"/>
      <c r="UW403"/>
      <c r="UX403"/>
      <c r="UY403"/>
      <c r="UZ403"/>
      <c r="VA403"/>
      <c r="VB403"/>
      <c r="VC403"/>
      <c r="VD403"/>
      <c r="VE403"/>
      <c r="VF403"/>
      <c r="VG403"/>
      <c r="VH403"/>
      <c r="VI403"/>
      <c r="VJ403"/>
      <c r="VK403"/>
      <c r="VL403"/>
      <c r="VM403"/>
      <c r="VN403"/>
      <c r="VO403"/>
      <c r="VP403"/>
      <c r="VQ403"/>
      <c r="VR403"/>
      <c r="VS403"/>
      <c r="VT403"/>
      <c r="VU403"/>
      <c r="VV403"/>
      <c r="VW403"/>
      <c r="VX403"/>
      <c r="VY403"/>
      <c r="VZ403"/>
      <c r="WA403"/>
      <c r="WB403"/>
      <c r="WC403"/>
      <c r="WD403"/>
      <c r="WE403"/>
      <c r="WF403"/>
      <c r="WG403"/>
      <c r="WH403"/>
      <c r="WI403"/>
      <c r="WJ403"/>
      <c r="WK403"/>
      <c r="WL403"/>
      <c r="WM403"/>
      <c r="WN403"/>
      <c r="WO403"/>
      <c r="WP403"/>
      <c r="WQ403"/>
      <c r="WR403"/>
      <c r="WS403"/>
      <c r="WT403"/>
      <c r="WU403"/>
      <c r="WV403"/>
      <c r="WW403"/>
      <c r="WX403"/>
      <c r="WY403"/>
      <c r="WZ403"/>
      <c r="XA403"/>
      <c r="XB403"/>
      <c r="XC403"/>
      <c r="XD403"/>
      <c r="XE403"/>
      <c r="XF403"/>
      <c r="XG403"/>
      <c r="XH403"/>
      <c r="XI403"/>
      <c r="XJ403"/>
      <c r="XK403"/>
      <c r="XL403"/>
      <c r="XM403"/>
      <c r="XN403"/>
      <c r="XO403"/>
      <c r="XP403"/>
      <c r="XQ403"/>
      <c r="XR403"/>
      <c r="XS403"/>
      <c r="XT403"/>
      <c r="XU403"/>
      <c r="XV403"/>
      <c r="XW403"/>
      <c r="XX403"/>
      <c r="XY403"/>
      <c r="XZ403"/>
      <c r="YA403"/>
      <c r="YB403"/>
      <c r="YC403"/>
      <c r="YD403"/>
      <c r="YE403"/>
      <c r="YF403"/>
      <c r="YG403"/>
      <c r="YH403"/>
      <c r="YI403"/>
      <c r="YJ403"/>
      <c r="YK403"/>
      <c r="YL403"/>
      <c r="YM403"/>
      <c r="YN403"/>
      <c r="YO403"/>
      <c r="YP403"/>
      <c r="YQ403"/>
      <c r="YR403"/>
      <c r="YS403"/>
      <c r="YT403"/>
      <c r="YU403"/>
      <c r="YV403"/>
      <c r="YW403"/>
      <c r="YX403"/>
      <c r="YY403"/>
      <c r="YZ403"/>
      <c r="ZA403"/>
      <c r="ZB403"/>
      <c r="ZC403"/>
      <c r="ZD403"/>
      <c r="ZE403"/>
      <c r="ZF403"/>
      <c r="ZG403"/>
      <c r="ZH403"/>
      <c r="ZI403"/>
      <c r="ZJ403"/>
      <c r="ZK403"/>
      <c r="ZL403"/>
      <c r="ZM403"/>
      <c r="ZN403"/>
      <c r="ZO403"/>
      <c r="ZP403"/>
      <c r="ZQ403"/>
      <c r="ZR403"/>
      <c r="ZS403"/>
      <c r="ZT403"/>
      <c r="ZU403"/>
      <c r="ZV403"/>
      <c r="ZW403"/>
      <c r="ZX403"/>
      <c r="ZY403"/>
      <c r="ZZ403" s="52"/>
      <c r="AAA403" s="192"/>
      <c r="AAD403" s="90"/>
      <c r="AAE403" s="519">
        <f t="shared" si="330"/>
        <v>1</v>
      </c>
      <c r="AAF403" s="90"/>
      <c r="AAG403" s="73">
        <f t="shared" si="316"/>
        <v>0</v>
      </c>
      <c r="AAH403" s="73">
        <f t="shared" si="317"/>
        <v>41593</v>
      </c>
      <c r="AAI403" s="72"/>
      <c r="AAJ403" s="72"/>
      <c r="AAK403" s="56"/>
      <c r="AAL403" s="90"/>
    </row>
    <row r="404" spans="1:715" s="23" customFormat="1" ht="15" customHeight="1" outlineLevel="1">
      <c r="A404" s="171"/>
      <c r="B404" s="631" t="s">
        <v>271</v>
      </c>
      <c r="C404" s="364" t="s">
        <v>0</v>
      </c>
      <c r="D404" s="382"/>
      <c r="E404" s="342">
        <f t="shared" si="334"/>
        <v>29700</v>
      </c>
      <c r="F404" s="457">
        <f t="shared" ca="1" si="311"/>
        <v>14</v>
      </c>
      <c r="G404" s="343">
        <f t="shared" si="333"/>
        <v>0</v>
      </c>
      <c r="H404" s="343">
        <f t="shared" si="314"/>
        <v>41593</v>
      </c>
      <c r="I404" s="244"/>
      <c r="J404" s="194"/>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c r="DK404" s="49"/>
      <c r="DL404" s="49"/>
      <c r="DM404" s="49"/>
      <c r="DN404" s="49"/>
      <c r="DO404" s="49"/>
      <c r="DP404" s="49"/>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c r="ST404"/>
      <c r="SU404"/>
      <c r="SV404"/>
      <c r="SW404"/>
      <c r="SX404"/>
      <c r="SY404"/>
      <c r="SZ404"/>
      <c r="TA404"/>
      <c r="TB404"/>
      <c r="TC404"/>
      <c r="TD404"/>
      <c r="TE404"/>
      <c r="TF404"/>
      <c r="TG404"/>
      <c r="TH404"/>
      <c r="TI404"/>
      <c r="TJ404"/>
      <c r="TK404"/>
      <c r="TL404"/>
      <c r="TM404"/>
      <c r="TN404"/>
      <c r="TO404"/>
      <c r="TP404"/>
      <c r="TQ404"/>
      <c r="TR404"/>
      <c r="TS404"/>
      <c r="TT404"/>
      <c r="TU404"/>
      <c r="TV404"/>
      <c r="TW404"/>
      <c r="TX404"/>
      <c r="TY404"/>
      <c r="TZ404"/>
      <c r="UA404"/>
      <c r="UB404"/>
      <c r="UC404"/>
      <c r="UD404"/>
      <c r="UE404"/>
      <c r="UF404"/>
      <c r="UG404"/>
      <c r="UH404"/>
      <c r="UI404"/>
      <c r="UJ404"/>
      <c r="UK404"/>
      <c r="UL404"/>
      <c r="UM404"/>
      <c r="UN404"/>
      <c r="UO404"/>
      <c r="UP404"/>
      <c r="UQ404"/>
      <c r="UR404"/>
      <c r="US404"/>
      <c r="UT404"/>
      <c r="UU404"/>
      <c r="UV404"/>
      <c r="UW404"/>
      <c r="UX404"/>
      <c r="UY404"/>
      <c r="UZ404"/>
      <c r="VA404"/>
      <c r="VB404"/>
      <c r="VC404"/>
      <c r="VD404"/>
      <c r="VE404"/>
      <c r="VF404"/>
      <c r="VG404"/>
      <c r="VH404"/>
      <c r="VI404"/>
      <c r="VJ404"/>
      <c r="VK404"/>
      <c r="VL404"/>
      <c r="VM404"/>
      <c r="VN404"/>
      <c r="VO404"/>
      <c r="VP404"/>
      <c r="VQ404"/>
      <c r="VR404"/>
      <c r="VS404"/>
      <c r="VT404"/>
      <c r="VU404"/>
      <c r="VV404"/>
      <c r="VW404"/>
      <c r="VX404"/>
      <c r="VY404"/>
      <c r="VZ404"/>
      <c r="WA404"/>
      <c r="WB404"/>
      <c r="WC404"/>
      <c r="WD404"/>
      <c r="WE404"/>
      <c r="WF404"/>
      <c r="WG404"/>
      <c r="WH404"/>
      <c r="WI404"/>
      <c r="WJ404"/>
      <c r="WK404"/>
      <c r="WL404"/>
      <c r="WM404"/>
      <c r="WN404"/>
      <c r="WO404"/>
      <c r="WP404"/>
      <c r="WQ404"/>
      <c r="WR404"/>
      <c r="WS404"/>
      <c r="WT404"/>
      <c r="WU404"/>
      <c r="WV404"/>
      <c r="WW404"/>
      <c r="WX404"/>
      <c r="WY404"/>
      <c r="WZ404"/>
      <c r="XA404"/>
      <c r="XB404"/>
      <c r="XC404"/>
      <c r="XD404"/>
      <c r="XE404"/>
      <c r="XF404"/>
      <c r="XG404"/>
      <c r="XH404"/>
      <c r="XI404"/>
      <c r="XJ404"/>
      <c r="XK404"/>
      <c r="XL404"/>
      <c r="XM404"/>
      <c r="XN404"/>
      <c r="XO404"/>
      <c r="XP404"/>
      <c r="XQ404"/>
      <c r="XR404"/>
      <c r="XS404"/>
      <c r="XT404"/>
      <c r="XU404"/>
      <c r="XV404"/>
      <c r="XW404"/>
      <c r="XX404"/>
      <c r="XY404"/>
      <c r="XZ404"/>
      <c r="YA404"/>
      <c r="YB404"/>
      <c r="YC404"/>
      <c r="YD404"/>
      <c r="YE404"/>
      <c r="YF404"/>
      <c r="YG404"/>
      <c r="YH404"/>
      <c r="YI404"/>
      <c r="YJ404"/>
      <c r="YK404"/>
      <c r="YL404"/>
      <c r="YM404"/>
      <c r="YN404"/>
      <c r="YO404"/>
      <c r="YP404"/>
      <c r="YQ404"/>
      <c r="YR404"/>
      <c r="YS404"/>
      <c r="YT404"/>
      <c r="YU404"/>
      <c r="YV404"/>
      <c r="YW404"/>
      <c r="YX404"/>
      <c r="YY404"/>
      <c r="YZ404"/>
      <c r="ZA404"/>
      <c r="ZB404"/>
      <c r="ZC404"/>
      <c r="ZD404"/>
      <c r="ZE404"/>
      <c r="ZF404"/>
      <c r="ZG404"/>
      <c r="ZH404"/>
      <c r="ZI404"/>
      <c r="ZJ404"/>
      <c r="ZK404"/>
      <c r="ZL404"/>
      <c r="ZM404"/>
      <c r="ZN404"/>
      <c r="ZO404"/>
      <c r="ZP404"/>
      <c r="ZQ404"/>
      <c r="ZR404"/>
      <c r="ZS404"/>
      <c r="ZT404"/>
      <c r="ZU404"/>
      <c r="ZV404"/>
      <c r="ZW404"/>
      <c r="ZX404"/>
      <c r="ZY404"/>
      <c r="ZZ404" s="52"/>
      <c r="AAA404" s="192"/>
      <c r="AAD404" s="90"/>
      <c r="AAE404" s="519">
        <f t="shared" si="330"/>
        <v>1</v>
      </c>
      <c r="AAF404" s="90"/>
      <c r="AAG404" s="73">
        <f t="shared" si="316"/>
        <v>0</v>
      </c>
      <c r="AAH404" s="73">
        <f t="shared" si="317"/>
        <v>41593</v>
      </c>
      <c r="AAI404" s="72"/>
      <c r="AAJ404" s="72"/>
      <c r="AAK404" s="56"/>
      <c r="AAL404" s="90"/>
    </row>
    <row r="405" spans="1:715" s="23" customFormat="1" ht="15" customHeight="1" outlineLevel="1">
      <c r="A405" s="171"/>
      <c r="B405" s="631" t="s">
        <v>272</v>
      </c>
      <c r="C405" s="364" t="s">
        <v>0</v>
      </c>
      <c r="D405" s="382"/>
      <c r="E405" s="342">
        <f t="shared" ref="E405:E406" si="335">NETWORKDAYS(G405,H405,S.DDL_DEQClosed)</f>
        <v>29700</v>
      </c>
      <c r="F405" s="457">
        <f t="shared" ca="1" si="311"/>
        <v>14</v>
      </c>
      <c r="G405" s="343">
        <f t="shared" si="333"/>
        <v>0</v>
      </c>
      <c r="H405" s="343">
        <f t="shared" si="314"/>
        <v>41593</v>
      </c>
      <c r="I405" s="244"/>
      <c r="J405" s="194"/>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c r="DK405" s="49"/>
      <c r="DL405" s="49"/>
      <c r="DM405" s="49"/>
      <c r="DN405" s="49"/>
      <c r="DO405" s="49"/>
      <c r="DP405" s="49"/>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s="52"/>
      <c r="AAA405" s="192"/>
      <c r="AAD405" s="90"/>
      <c r="AAE405" s="519">
        <f t="shared" si="330"/>
        <v>1</v>
      </c>
      <c r="AAF405" s="90"/>
      <c r="AAG405" s="73">
        <f t="shared" si="316"/>
        <v>0</v>
      </c>
      <c r="AAH405" s="73">
        <f t="shared" si="317"/>
        <v>41593</v>
      </c>
      <c r="AAI405" s="72"/>
      <c r="AAJ405" s="72"/>
      <c r="AAK405" s="56"/>
      <c r="AAL405" s="90"/>
    </row>
    <row r="406" spans="1:715" s="23" customFormat="1" ht="15" customHeight="1" outlineLevel="1">
      <c r="A406" s="171"/>
      <c r="B406" s="632" t="s">
        <v>288</v>
      </c>
      <c r="C406" s="364" t="s">
        <v>0</v>
      </c>
      <c r="D406" s="382"/>
      <c r="E406" s="342">
        <f t="shared" si="335"/>
        <v>0</v>
      </c>
      <c r="F406" s="457">
        <f t="shared" ca="1" si="311"/>
        <v>0</v>
      </c>
      <c r="G406" s="343">
        <f t="shared" si="333"/>
        <v>0</v>
      </c>
      <c r="H406" s="343">
        <f t="shared" si="314"/>
        <v>0</v>
      </c>
      <c r="I406" s="244"/>
      <c r="J406" s="194"/>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c r="DK406" s="49"/>
      <c r="DL406" s="49"/>
      <c r="DM406" s="49"/>
      <c r="DN406" s="49"/>
      <c r="DO406" s="49"/>
      <c r="DP406" s="49"/>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s="52"/>
      <c r="AAA406" s="192"/>
      <c r="AAD406" s="90"/>
      <c r="AAE406" s="519">
        <f>IF(S.Fee.Involved="Y",1,0)</f>
        <v>0</v>
      </c>
      <c r="AAF406" s="90"/>
      <c r="AAG406" s="73">
        <f t="shared" si="316"/>
        <v>0</v>
      </c>
      <c r="AAH406" s="73">
        <f t="shared" si="317"/>
        <v>0</v>
      </c>
      <c r="AAI406" s="72"/>
      <c r="AAJ406" s="72"/>
      <c r="AAK406" s="56"/>
      <c r="AAL406" s="90"/>
    </row>
    <row r="407" spans="1:715" s="23" customFormat="1" ht="15" customHeight="1" outlineLevel="1">
      <c r="A407" s="171"/>
      <c r="B407" s="631" t="s">
        <v>273</v>
      </c>
      <c r="C407" s="364" t="s">
        <v>0</v>
      </c>
      <c r="D407" s="382"/>
      <c r="E407" s="342">
        <f t="shared" ref="E407" si="336">NETWORKDAYS(G407,H407,S.DDL_DEQClosed)</f>
        <v>29700</v>
      </c>
      <c r="F407" s="457">
        <f t="shared" ca="1" si="311"/>
        <v>14</v>
      </c>
      <c r="G407" s="343">
        <f t="shared" si="333"/>
        <v>0</v>
      </c>
      <c r="H407" s="343">
        <f t="shared" si="314"/>
        <v>41593</v>
      </c>
      <c r="I407" s="244"/>
      <c r="J407" s="194"/>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c r="DK407" s="49"/>
      <c r="DL407" s="49"/>
      <c r="DM407" s="49"/>
      <c r="DN407" s="49"/>
      <c r="DO407" s="49"/>
      <c r="DP407" s="49"/>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s="52"/>
      <c r="AAA407" s="192"/>
      <c r="AAD407" s="90"/>
      <c r="AAE407" s="519">
        <f t="shared" ref="AAE407:AAE413" si="337">IF(S.Notice.Involved="Y",1,0)</f>
        <v>1</v>
      </c>
      <c r="AAF407" s="90"/>
      <c r="AAG407" s="73">
        <f t="shared" si="316"/>
        <v>0</v>
      </c>
      <c r="AAH407" s="73">
        <f t="shared" si="317"/>
        <v>41593</v>
      </c>
      <c r="AAI407" s="72"/>
      <c r="AAJ407" s="72"/>
      <c r="AAK407" s="56"/>
      <c r="AAL407" s="90"/>
    </row>
    <row r="408" spans="1:715" ht="15" customHeight="1" outlineLevel="1">
      <c r="A408" s="171"/>
      <c r="B408" s="304" t="s">
        <v>274</v>
      </c>
      <c r="C408" s="376" t="s">
        <v>0</v>
      </c>
      <c r="D408" s="382"/>
      <c r="E408" s="342">
        <f>NETWORKDAYS(G408,H408,S.DDL_DEQClosed)</f>
        <v>29700</v>
      </c>
      <c r="F408" s="457">
        <f t="shared" ca="1" si="311"/>
        <v>14</v>
      </c>
      <c r="G408" s="343">
        <f t="shared" si="333"/>
        <v>0</v>
      </c>
      <c r="H408" s="343">
        <f t="shared" si="314"/>
        <v>41593</v>
      </c>
      <c r="I408" s="244"/>
      <c r="J408" s="194"/>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c r="DK408" s="49"/>
      <c r="DL408" s="49"/>
      <c r="DM408" s="49"/>
      <c r="DN408" s="49"/>
      <c r="DO408" s="49"/>
      <c r="DP408" s="49"/>
      <c r="AAA408" s="192"/>
      <c r="AAD408" s="90"/>
      <c r="AAE408" s="519">
        <f t="shared" si="337"/>
        <v>1</v>
      </c>
      <c r="AAF408" s="90"/>
      <c r="AAG408" s="73">
        <f t="shared" si="316"/>
        <v>0</v>
      </c>
      <c r="AAH408" s="73">
        <f t="shared" si="317"/>
        <v>41593</v>
      </c>
      <c r="AAI408" s="72"/>
      <c r="AAJ408" s="72"/>
      <c r="AAK408" s="56"/>
      <c r="AAL408" s="90"/>
      <c r="AAM408"/>
    </row>
    <row r="409" spans="1:715" s="23" customFormat="1" ht="15" customHeight="1" outlineLevel="1">
      <c r="A409" s="171"/>
      <c r="B409" s="361" t="str">
        <f>AAK409</f>
        <v>AndreaRW:</v>
      </c>
      <c r="C409" s="362"/>
      <c r="D409" s="362"/>
      <c r="E409" s="350"/>
      <c r="F409" s="350"/>
      <c r="G409" s="346"/>
      <c r="H409" s="346"/>
      <c r="I409" s="244"/>
      <c r="J409" s="194"/>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c r="DK409" s="49"/>
      <c r="DL409" s="49"/>
      <c r="DM409" s="49"/>
      <c r="DN409" s="49"/>
      <c r="DO409" s="49"/>
      <c r="DP409" s="4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s="52"/>
      <c r="AAA409" s="192"/>
      <c r="AAD409" s="90"/>
      <c r="AAE409" s="519">
        <f t="shared" si="337"/>
        <v>1</v>
      </c>
      <c r="AAF409" s="190" t="s">
        <v>52</v>
      </c>
      <c r="AAG409" s="71"/>
      <c r="AAH409" s="71"/>
      <c r="AAI409" s="71"/>
      <c r="AAJ409" s="56"/>
      <c r="AAK409" s="254" t="str">
        <f>S.Staff.Lead&amp;":"</f>
        <v>AndreaRW:</v>
      </c>
      <c r="AAL409" s="90"/>
    </row>
    <row r="410" spans="1:715" s="23" customFormat="1" ht="15" customHeight="1" outlineLevel="1">
      <c r="A410" s="171"/>
      <c r="B410" s="441" t="str">
        <f>AAK410</f>
        <v>* asks Carol to schedule future meetings:</v>
      </c>
      <c r="C410" s="364" t="s">
        <v>0</v>
      </c>
      <c r="D410" s="52"/>
      <c r="E410" s="52"/>
      <c r="F410" s="52"/>
      <c r="G410" s="699"/>
      <c r="H410" s="343">
        <f t="shared" ref="H410:H412" si="338">AAH410</f>
        <v>41533</v>
      </c>
      <c r="I410" s="244"/>
      <c r="J410" s="194"/>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9"/>
      <c r="CD410" s="49"/>
      <c r="CE410" s="49"/>
      <c r="CF410" s="49"/>
      <c r="CG410" s="49"/>
      <c r="CH410" s="49"/>
      <c r="CI410" s="49"/>
      <c r="CJ410" s="49"/>
      <c r="CK410" s="49"/>
      <c r="CL410" s="49"/>
      <c r="CM410" s="49"/>
      <c r="CN410" s="49"/>
      <c r="CO410" s="49"/>
      <c r="CP410" s="49"/>
      <c r="CQ410" s="49"/>
      <c r="CR410" s="49"/>
      <c r="CS410" s="49"/>
      <c r="CT410" s="49"/>
      <c r="CU410" s="49"/>
      <c r="CV410" s="49"/>
      <c r="CW410" s="49"/>
      <c r="CX410" s="49"/>
      <c r="CY410" s="49"/>
      <c r="CZ410" s="49"/>
      <c r="DA410" s="49"/>
      <c r="DB410" s="49"/>
      <c r="DC410" s="49"/>
      <c r="DD410" s="49"/>
      <c r="DE410" s="49"/>
      <c r="DF410" s="49"/>
      <c r="DG410" s="49"/>
      <c r="DH410" s="49"/>
      <c r="DI410" s="49"/>
      <c r="DJ410" s="49"/>
      <c r="DK410" s="49"/>
      <c r="DL410" s="49"/>
      <c r="DM410" s="49"/>
      <c r="DN410" s="49"/>
      <c r="DO410" s="49"/>
      <c r="DP410" s="49"/>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s="52"/>
      <c r="AAA410" s="192" t="s">
        <v>0</v>
      </c>
      <c r="AAD410" s="90"/>
      <c r="AAE410" s="519">
        <f t="shared" si="337"/>
        <v>1</v>
      </c>
      <c r="AAF410" s="90"/>
      <c r="AAG410" s="71"/>
      <c r="AAH410" s="73">
        <f>IF(AAE410=0,,WORKDAY(S.Notice.DABriefing-59,-1,S.DDL_DEQClosed))</f>
        <v>41533</v>
      </c>
      <c r="AAI410" s="72"/>
      <c r="AAJ410" s="72"/>
      <c r="AAK410" s="254" t="str">
        <f>"* asks "&amp;S.Staff.AssistDA&amp;" to schedule future meetings:"</f>
        <v>* asks Carol to schedule future meetings:</v>
      </c>
      <c r="AAL410" s="90"/>
    </row>
    <row r="411" spans="1:715" s="23" customFormat="1" ht="15" customHeight="1" outlineLevel="1">
      <c r="A411" s="171"/>
      <c r="B411" s="667" t="str">
        <f>AAK411</f>
        <v>- DA briefing meeting with AndreaRW &amp; MargaretMGR</v>
      </c>
      <c r="C411" s="364" t="s">
        <v>0</v>
      </c>
      <c r="D411" s="902" t="s">
        <v>0</v>
      </c>
      <c r="E411" s="902"/>
      <c r="F411" s="902"/>
      <c r="G411" s="903"/>
      <c r="H411" s="351">
        <f t="shared" si="338"/>
        <v>41593</v>
      </c>
      <c r="I411" s="244" t="s">
        <v>0</v>
      </c>
      <c r="J411" s="194"/>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9"/>
      <c r="CD411" s="49"/>
      <c r="CE411" s="49"/>
      <c r="CF411" s="49"/>
      <c r="CG411" s="49"/>
      <c r="CH411" s="49"/>
      <c r="CI411" s="49"/>
      <c r="CJ411" s="49"/>
      <c r="CK411" s="49"/>
      <c r="CL411" s="49"/>
      <c r="CM411" s="49"/>
      <c r="CN411" s="49"/>
      <c r="CO411" s="49"/>
      <c r="CP411" s="49"/>
      <c r="CQ411" s="49"/>
      <c r="CR411" s="49"/>
      <c r="CS411" s="49"/>
      <c r="CT411" s="49"/>
      <c r="CU411" s="49"/>
      <c r="CV411" s="49"/>
      <c r="CW411" s="49"/>
      <c r="CX411" s="49"/>
      <c r="CY411" s="49"/>
      <c r="CZ411" s="49"/>
      <c r="DA411" s="49"/>
      <c r="DB411" s="49"/>
      <c r="DC411" s="49"/>
      <c r="DD411" s="49"/>
      <c r="DE411" s="49"/>
      <c r="DF411" s="49"/>
      <c r="DG411" s="49"/>
      <c r="DH411" s="49"/>
      <c r="DI411" s="49"/>
      <c r="DJ411" s="49"/>
      <c r="DK411" s="49"/>
      <c r="DL411" s="49"/>
      <c r="DM411" s="49"/>
      <c r="DN411" s="49"/>
      <c r="DO411" s="49"/>
      <c r="DP411" s="49"/>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s="52"/>
      <c r="AAA411" s="192" t="s">
        <v>0</v>
      </c>
      <c r="AAD411" s="90"/>
      <c r="AAE411" s="519">
        <f t="shared" si="337"/>
        <v>1</v>
      </c>
      <c r="AAF411" s="90"/>
      <c r="AAG411" s="71"/>
      <c r="AAH411" s="73">
        <f>IF(AAE411=0,,S.Notice.DABriefing)</f>
        <v>41593</v>
      </c>
      <c r="AAI411" s="72"/>
      <c r="AAJ411" s="72"/>
      <c r="AAK411" s="254" t="str">
        <f>"- DA briefing meeting with "&amp;S.Staff.Lead&amp;" &amp; "&amp;S.Staff.Mgr</f>
        <v>- DA briefing meeting with AndreaRW &amp; MargaretMGR</v>
      </c>
      <c r="AAL411" s="90"/>
    </row>
    <row r="412" spans="1:715" s="23" customFormat="1" ht="15" customHeight="1" outlineLevel="1">
      <c r="A412" s="171"/>
      <c r="B412" s="668" t="s">
        <v>330</v>
      </c>
      <c r="C412" s="364" t="s">
        <v>0</v>
      </c>
      <c r="D412" s="383"/>
      <c r="E412" s="342">
        <f>NETWORKDAYS(G412,H412,S.DDL_DEQClosed)</f>
        <v>8</v>
      </c>
      <c r="F412" s="457">
        <f t="shared" ref="F412" ca="1" si="339">IF(YEAR(H412)&gt;2000,NETWORKDAYS(TODAY(),H412,S.DDL_DEQClosed),0)</f>
        <v>22</v>
      </c>
      <c r="G412" s="351">
        <f t="shared" ref="G412" si="340">AAG412</f>
        <v>41596</v>
      </c>
      <c r="H412" s="351">
        <f t="shared" si="338"/>
        <v>41605</v>
      </c>
      <c r="I412" s="244" t="s">
        <v>0</v>
      </c>
      <c r="J412" s="194"/>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9"/>
      <c r="CD412" s="49"/>
      <c r="CE412" s="49"/>
      <c r="CF412" s="49"/>
      <c r="CG412" s="49"/>
      <c r="CH412" s="49"/>
      <c r="CI412" s="49"/>
      <c r="CJ412" s="49"/>
      <c r="CK412" s="49"/>
      <c r="CL412" s="49"/>
      <c r="CM412" s="49"/>
      <c r="CN412" s="49"/>
      <c r="CO412" s="49"/>
      <c r="CP412" s="49"/>
      <c r="CQ412" s="49"/>
      <c r="CR412" s="49"/>
      <c r="CS412" s="49"/>
      <c r="CT412" s="49"/>
      <c r="CU412" s="49"/>
      <c r="CV412" s="49"/>
      <c r="CW412" s="49"/>
      <c r="CX412" s="49"/>
      <c r="CY412" s="49"/>
      <c r="CZ412" s="49"/>
      <c r="DA412" s="49"/>
      <c r="DB412" s="49"/>
      <c r="DC412" s="49"/>
      <c r="DD412" s="49"/>
      <c r="DE412" s="49"/>
      <c r="DF412" s="49"/>
      <c r="DG412" s="49"/>
      <c r="DH412" s="49"/>
      <c r="DI412" s="49"/>
      <c r="DJ412" s="49"/>
      <c r="DK412" s="49"/>
      <c r="DL412" s="49"/>
      <c r="DM412" s="49"/>
      <c r="DN412" s="49"/>
      <c r="DO412" s="49"/>
      <c r="DP412" s="49"/>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s="52"/>
      <c r="AAA412" s="192" t="s">
        <v>0</v>
      </c>
      <c r="AAD412" s="90"/>
      <c r="AAE412" s="519">
        <f t="shared" si="337"/>
        <v>1</v>
      </c>
      <c r="AAF412" s="90"/>
      <c r="AAG412" s="73">
        <f>IF(AAE412=0,,S.Notice.PreviewBegin)</f>
        <v>41596</v>
      </c>
      <c r="AAH412" s="73">
        <f>IF(AAE412=0,,S.Notice.PreviewEnd)</f>
        <v>41605</v>
      </c>
      <c r="AAI412" s="72"/>
      <c r="AAJ412" s="72"/>
      <c r="AAK412" s="56" t="s">
        <v>0</v>
      </c>
      <c r="AAL412" s="90"/>
    </row>
    <row r="413" spans="1:715" ht="15" customHeight="1" outlineLevel="1">
      <c r="A413" s="171"/>
      <c r="B413" s="441" t="s">
        <v>297</v>
      </c>
      <c r="C413" s="364" t="s">
        <v>0</v>
      </c>
      <c r="D413" s="383"/>
      <c r="E413" s="342">
        <f>NETWORKDAYS(G413,H413,S.DDL_DEQClosed)</f>
        <v>14</v>
      </c>
      <c r="F413" s="457">
        <f t="shared" ref="F413:F448" ca="1" si="341">IF(YEAR(H413)&gt;2000,NETWORKDAYS(TODAY(),H413,S.DDL_DEQClosed),0)</f>
        <v>13</v>
      </c>
      <c r="G413" s="343">
        <f t="shared" ref="G413:G444" si="342">AAG413</f>
        <v>41572</v>
      </c>
      <c r="H413" s="343">
        <f t="shared" ref="H413:H444" si="343">AAH413</f>
        <v>41592</v>
      </c>
      <c r="I413" s="244"/>
      <c r="J413" s="194"/>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9"/>
      <c r="CD413" s="49"/>
      <c r="CE413" s="49"/>
      <c r="CF413" s="49"/>
      <c r="CG413" s="49"/>
      <c r="CH413" s="49"/>
      <c r="CI413" s="49"/>
      <c r="CJ413" s="49"/>
      <c r="CK413" s="49"/>
      <c r="CL413" s="49"/>
      <c r="CM413" s="49"/>
      <c r="CN413" s="49"/>
      <c r="CO413" s="49"/>
      <c r="CP413" s="49"/>
      <c r="CQ413" s="49"/>
      <c r="CR413" s="49"/>
      <c r="CS413" s="49"/>
      <c r="CT413" s="49"/>
      <c r="CU413" s="49"/>
      <c r="CV413" s="49"/>
      <c r="CW413" s="49"/>
      <c r="CX413" s="49"/>
      <c r="CY413" s="49"/>
      <c r="CZ413" s="49"/>
      <c r="DA413" s="49"/>
      <c r="DB413" s="49"/>
      <c r="DC413" s="49"/>
      <c r="DD413" s="49"/>
      <c r="DE413" s="49"/>
      <c r="DF413" s="49"/>
      <c r="DG413" s="49"/>
      <c r="DH413" s="49"/>
      <c r="DI413" s="49"/>
      <c r="DJ413" s="49"/>
      <c r="DK413" s="49"/>
      <c r="DL413" s="49"/>
      <c r="DM413" s="49"/>
      <c r="DN413" s="49"/>
      <c r="DO413" s="49"/>
      <c r="DP413" s="49"/>
      <c r="AAA413" s="192" t="s">
        <v>0</v>
      </c>
      <c r="AAD413" s="90"/>
      <c r="AAE413" s="519">
        <f t="shared" si="337"/>
        <v>1</v>
      </c>
      <c r="AAF413" s="90"/>
      <c r="AAG413" s="73">
        <f t="shared" ref="AAG413:AAG425" si="344">IF(AAE413=0,,S.Notice.BANNER.Begin)</f>
        <v>41572</v>
      </c>
      <c r="AAH413" s="73">
        <f t="shared" ref="AAH413:AAH425" si="345">IF(AAE413=0,,WORKDAY(S.Notice.DABriefing,-1,S.DDL_DEQClosed))</f>
        <v>41592</v>
      </c>
      <c r="AAI413" s="72"/>
      <c r="AAJ413" s="72"/>
      <c r="AAK413" s="56" t="s">
        <v>0</v>
      </c>
      <c r="AAL413" s="90"/>
      <c r="AAM413"/>
    </row>
    <row r="414" spans="1:715" s="23" customFormat="1" ht="15" customHeight="1" outlineLevel="1">
      <c r="A414" s="171"/>
      <c r="B414" s="668" t="str">
        <f>AAK414</f>
        <v>* Advisory Commiitee not involved</v>
      </c>
      <c r="C414" s="364" t="s">
        <v>0</v>
      </c>
      <c r="D414" s="383"/>
      <c r="E414" s="342">
        <f t="shared" ref="E414:E415" si="346">NETWORKDAYS(G414,H414,S.DDL_DEQClosed)</f>
        <v>0</v>
      </c>
      <c r="F414" s="457">
        <f t="shared" ca="1" si="341"/>
        <v>0</v>
      </c>
      <c r="G414" s="343">
        <f t="shared" si="342"/>
        <v>0</v>
      </c>
      <c r="H414" s="343">
        <f t="shared" si="343"/>
        <v>0</v>
      </c>
      <c r="I414" s="244"/>
      <c r="J414" s="194"/>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9"/>
      <c r="CD414" s="49"/>
      <c r="CE414" s="49"/>
      <c r="CF414" s="49"/>
      <c r="CG414" s="49"/>
      <c r="CH414" s="49"/>
      <c r="CI414" s="49"/>
      <c r="CJ414" s="49"/>
      <c r="CK414" s="49"/>
      <c r="CL414" s="49"/>
      <c r="CM414" s="49"/>
      <c r="CN414" s="49"/>
      <c r="CO414" s="49"/>
      <c r="CP414" s="49"/>
      <c r="CQ414" s="49"/>
      <c r="CR414" s="49"/>
      <c r="CS414" s="49"/>
      <c r="CT414" s="49"/>
      <c r="CU414" s="49"/>
      <c r="CV414" s="49"/>
      <c r="CW414" s="49"/>
      <c r="CX414" s="49"/>
      <c r="CY414" s="49"/>
      <c r="CZ414" s="49"/>
      <c r="DA414" s="49"/>
      <c r="DB414" s="49"/>
      <c r="DC414" s="49"/>
      <c r="DD414" s="49"/>
      <c r="DE414" s="49"/>
      <c r="DF414" s="49"/>
      <c r="DG414" s="49"/>
      <c r="DH414" s="49"/>
      <c r="DI414" s="49"/>
      <c r="DJ414" s="49"/>
      <c r="DK414" s="49"/>
      <c r="DL414" s="49"/>
      <c r="DM414" s="49"/>
      <c r="DN414" s="49"/>
      <c r="DO414" s="49"/>
      <c r="DP414" s="49"/>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s="52"/>
      <c r="AAA414" s="192"/>
      <c r="AAD414" s="90"/>
      <c r="AAE414" s="519">
        <f>IF(AND(S.Notice.Involved="Y",S.AC.CommitteeInvolved="Y"),1,0)</f>
        <v>0</v>
      </c>
      <c r="AAF414" s="90"/>
      <c r="AAG414" s="73">
        <f t="shared" si="344"/>
        <v>0</v>
      </c>
      <c r="AAH414" s="73">
        <f t="shared" si="345"/>
        <v>0</v>
      </c>
      <c r="AAI414" s="72"/>
      <c r="AAJ414" s="72"/>
      <c r="AAK414" s="80" t="str">
        <f>IF(S.AC.CommitteeInvolved="Y","- Advisory Committee-for fiscal impact","* Advisory Commiitee not involved")</f>
        <v>* Advisory Commiitee not involved</v>
      </c>
      <c r="AAL414" s="90"/>
    </row>
    <row r="415" spans="1:715" s="23" customFormat="1" ht="15" customHeight="1" outlineLevel="1">
      <c r="A415" s="171"/>
      <c r="B415" s="668" t="s">
        <v>282</v>
      </c>
      <c r="C415" s="364" t="s">
        <v>0</v>
      </c>
      <c r="D415" s="383"/>
      <c r="E415" s="342">
        <f t="shared" si="346"/>
        <v>14</v>
      </c>
      <c r="F415" s="457">
        <f t="shared" ca="1" si="341"/>
        <v>13</v>
      </c>
      <c r="G415" s="343">
        <f t="shared" si="342"/>
        <v>41572</v>
      </c>
      <c r="H415" s="343">
        <f t="shared" si="343"/>
        <v>41592</v>
      </c>
      <c r="I415" s="244"/>
      <c r="J415" s="194"/>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9"/>
      <c r="CD415" s="49"/>
      <c r="CE415" s="49"/>
      <c r="CF415" s="49"/>
      <c r="CG415" s="49"/>
      <c r="CH415" s="49"/>
      <c r="CI415" s="49"/>
      <c r="CJ415" s="49"/>
      <c r="CK415" s="49"/>
      <c r="CL415" s="49"/>
      <c r="CM415" s="49"/>
      <c r="CN415" s="49"/>
      <c r="CO415" s="49"/>
      <c r="CP415" s="49"/>
      <c r="CQ415" s="49"/>
      <c r="CR415" s="49"/>
      <c r="CS415" s="49"/>
      <c r="CT415" s="49"/>
      <c r="CU415" s="49"/>
      <c r="CV415" s="49"/>
      <c r="CW415" s="49"/>
      <c r="CX415" s="49"/>
      <c r="CY415" s="49"/>
      <c r="CZ415" s="49"/>
      <c r="DA415" s="49"/>
      <c r="DB415" s="49"/>
      <c r="DC415" s="49"/>
      <c r="DD415" s="49"/>
      <c r="DE415" s="49"/>
      <c r="DF415" s="49"/>
      <c r="DG415" s="49"/>
      <c r="DH415" s="49"/>
      <c r="DI415" s="49"/>
      <c r="DJ415" s="49"/>
      <c r="DK415" s="49"/>
      <c r="DL415" s="49"/>
      <c r="DM415" s="49"/>
      <c r="DN415" s="49"/>
      <c r="DO415" s="49"/>
      <c r="DP415" s="49"/>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s="52"/>
      <c r="AAA415" s="192"/>
      <c r="AAD415" s="90"/>
      <c r="AAE415" s="519">
        <f>IF(S.Notice.Involved="Y",1,0)</f>
        <v>1</v>
      </c>
      <c r="AAF415" s="90"/>
      <c r="AAG415" s="73">
        <f t="shared" si="344"/>
        <v>41572</v>
      </c>
      <c r="AAH415" s="73">
        <f t="shared" si="345"/>
        <v>41592</v>
      </c>
      <c r="AAI415" s="72"/>
      <c r="AAJ415" s="72"/>
      <c r="AAK415" s="56"/>
      <c r="AAL415" s="90"/>
    </row>
    <row r="416" spans="1:715" s="23" customFormat="1" ht="15" customHeight="1" outlineLevel="1">
      <c r="A416" s="171"/>
      <c r="B416" s="668" t="s">
        <v>283</v>
      </c>
      <c r="C416" s="364" t="s">
        <v>0</v>
      </c>
      <c r="D416" s="383"/>
      <c r="E416" s="342">
        <f t="shared" ref="E416" si="347">NETWORKDAYS(G416,H416,S.DDL_DEQClosed)</f>
        <v>14</v>
      </c>
      <c r="F416" s="457">
        <f t="shared" ca="1" si="341"/>
        <v>13</v>
      </c>
      <c r="G416" s="343">
        <f t="shared" si="342"/>
        <v>41572</v>
      </c>
      <c r="H416" s="343">
        <f t="shared" si="343"/>
        <v>41592</v>
      </c>
      <c r="I416" s="244"/>
      <c r="J416" s="194"/>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9"/>
      <c r="CD416" s="49"/>
      <c r="CE416" s="49"/>
      <c r="CF416" s="49"/>
      <c r="CG416" s="49"/>
      <c r="CH416" s="49"/>
      <c r="CI416" s="49"/>
      <c r="CJ416" s="49"/>
      <c r="CK416" s="49"/>
      <c r="CL416" s="49"/>
      <c r="CM416" s="49"/>
      <c r="CN416" s="49"/>
      <c r="CO416" s="49"/>
      <c r="CP416" s="49"/>
      <c r="CQ416" s="49"/>
      <c r="CR416" s="49"/>
      <c r="CS416" s="49"/>
      <c r="CT416" s="49"/>
      <c r="CU416" s="49"/>
      <c r="CV416" s="49"/>
      <c r="CW416" s="49"/>
      <c r="CX416" s="49"/>
      <c r="CY416" s="49"/>
      <c r="CZ416" s="49"/>
      <c r="DA416" s="49"/>
      <c r="DB416" s="49"/>
      <c r="DC416" s="49"/>
      <c r="DD416" s="49"/>
      <c r="DE416" s="49"/>
      <c r="DF416" s="49"/>
      <c r="DG416" s="49"/>
      <c r="DH416" s="49"/>
      <c r="DI416" s="49"/>
      <c r="DJ416" s="49"/>
      <c r="DK416" s="49"/>
      <c r="DL416" s="49"/>
      <c r="DM416" s="49"/>
      <c r="DN416" s="49"/>
      <c r="DO416" s="49"/>
      <c r="DP416" s="49"/>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s="52"/>
      <c r="AAA416" s="192"/>
      <c r="AAD416" s="90"/>
      <c r="AAE416" s="519">
        <f>IF(S.Notice.Involved="Y",1,0)</f>
        <v>1</v>
      </c>
      <c r="AAF416" s="90"/>
      <c r="AAG416" s="73">
        <f t="shared" si="344"/>
        <v>41572</v>
      </c>
      <c r="AAH416" s="73">
        <f t="shared" si="345"/>
        <v>41592</v>
      </c>
      <c r="AAI416" s="72"/>
      <c r="AAJ416" s="72"/>
      <c r="AAK416" s="56" t="s">
        <v>0</v>
      </c>
      <c r="AAL416" s="90"/>
    </row>
    <row r="417" spans="1:714" s="23" customFormat="1" ht="15" customHeight="1" outlineLevel="1">
      <c r="A417" s="171"/>
      <c r="B417" s="667" t="str">
        <f t="shared" ref="B417:B420" si="348">AAK417</f>
        <v>- AndreaSIP, edit for sufficiency of SIP inclusion</v>
      </c>
      <c r="C417" s="376" t="s">
        <v>0</v>
      </c>
      <c r="D417" s="383"/>
      <c r="E417" s="342">
        <f t="shared" ref="E417" si="349">NETWORKDAYS(G417,H417,S.DDL_DEQClosed)</f>
        <v>14</v>
      </c>
      <c r="F417" s="457">
        <f t="shared" ca="1" si="341"/>
        <v>13</v>
      </c>
      <c r="G417" s="343">
        <f t="shared" si="342"/>
        <v>41572</v>
      </c>
      <c r="H417" s="343">
        <f t="shared" si="343"/>
        <v>41592</v>
      </c>
      <c r="I417" s="244"/>
      <c r="J417" s="194"/>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9"/>
      <c r="CD417" s="49"/>
      <c r="CE417" s="49"/>
      <c r="CF417" s="49"/>
      <c r="CG417" s="49"/>
      <c r="CH417" s="49"/>
      <c r="CI417" s="49"/>
      <c r="CJ417" s="49"/>
      <c r="CK417" s="49"/>
      <c r="CL417" s="49"/>
      <c r="CM417" s="49"/>
      <c r="CN417" s="49"/>
      <c r="CO417" s="49"/>
      <c r="CP417" s="49"/>
      <c r="CQ417" s="49"/>
      <c r="CR417" s="49"/>
      <c r="CS417" s="49"/>
      <c r="CT417" s="49"/>
      <c r="CU417" s="49"/>
      <c r="CV417" s="49"/>
      <c r="CW417" s="49"/>
      <c r="CX417" s="49"/>
      <c r="CY417" s="49"/>
      <c r="CZ417" s="49"/>
      <c r="DA417" s="49"/>
      <c r="DB417" s="49"/>
      <c r="DC417" s="49"/>
      <c r="DD417" s="49"/>
      <c r="DE417" s="49"/>
      <c r="DF417" s="49"/>
      <c r="DG417" s="49"/>
      <c r="DH417" s="49"/>
      <c r="DI417" s="49"/>
      <c r="DJ417" s="49"/>
      <c r="DK417" s="49"/>
      <c r="DL417" s="49"/>
      <c r="DM417" s="49"/>
      <c r="DN417" s="49"/>
      <c r="DO417" s="49"/>
      <c r="DP417" s="49"/>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s="52"/>
      <c r="AAA417" s="192"/>
      <c r="AAD417" s="90"/>
      <c r="AAE417" s="519">
        <f>IF(AND(S.SIP.Involved="Y",S.Notice.Involved="Y"),1,0)</f>
        <v>1</v>
      </c>
      <c r="AAF417" s="90"/>
      <c r="AAG417" s="73">
        <f t="shared" si="344"/>
        <v>41572</v>
      </c>
      <c r="AAH417" s="73">
        <f t="shared" si="345"/>
        <v>41592</v>
      </c>
      <c r="AAI417" s="72"/>
      <c r="AAJ417" s="72"/>
      <c r="AAK417" s="80" t="str">
        <f>IF(S.SIP.Involved="Y","- "&amp;S.Staff.SIPCo&amp;", edit for sufficiency of SIP inclusion","* SIP not involved")</f>
        <v>- AndreaSIP, edit for sufficiency of SIP inclusion</v>
      </c>
      <c r="AAL417" s="90"/>
    </row>
    <row r="418" spans="1:714" s="23" customFormat="1" ht="15" customHeight="1" outlineLevel="1">
      <c r="A418" s="171"/>
      <c r="B418" s="667" t="str">
        <f t="shared" si="348"/>
        <v>- AndreaDRC for program sufficiency, consistency &amp; clarity</v>
      </c>
      <c r="C418" s="376" t="s">
        <v>0</v>
      </c>
      <c r="D418" s="383"/>
      <c r="E418" s="342">
        <f t="shared" ref="E418" si="350">NETWORKDAYS(G418,H418,S.DDL_DEQClosed)</f>
        <v>14</v>
      </c>
      <c r="F418" s="457">
        <f t="shared" ca="1" si="341"/>
        <v>13</v>
      </c>
      <c r="G418" s="343">
        <f t="shared" si="342"/>
        <v>41572</v>
      </c>
      <c r="H418" s="343">
        <f t="shared" si="343"/>
        <v>41592</v>
      </c>
      <c r="I418" s="244"/>
      <c r="J418" s="194"/>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9"/>
      <c r="CD418" s="49"/>
      <c r="CE418" s="49"/>
      <c r="CF418" s="49"/>
      <c r="CG418" s="49"/>
      <c r="CH418" s="49"/>
      <c r="CI418" s="49"/>
      <c r="CJ418" s="49"/>
      <c r="CK418" s="49"/>
      <c r="CL418" s="49"/>
      <c r="CM418" s="49"/>
      <c r="CN418" s="49"/>
      <c r="CO418" s="49"/>
      <c r="CP418" s="49"/>
      <c r="CQ418" s="49"/>
      <c r="CR418" s="49"/>
      <c r="CS418" s="49"/>
      <c r="CT418" s="49"/>
      <c r="CU418" s="49"/>
      <c r="CV418" s="49"/>
      <c r="CW418" s="49"/>
      <c r="CX418" s="49"/>
      <c r="CY418" s="49"/>
      <c r="CZ418" s="49"/>
      <c r="DA418" s="49"/>
      <c r="DB418" s="49"/>
      <c r="DC418" s="49"/>
      <c r="DD418" s="49"/>
      <c r="DE418" s="49"/>
      <c r="DF418" s="49"/>
      <c r="DG418" s="49"/>
      <c r="DH418" s="49"/>
      <c r="DI418" s="49"/>
      <c r="DJ418" s="49"/>
      <c r="DK418" s="49"/>
      <c r="DL418" s="49"/>
      <c r="DM418" s="49"/>
      <c r="DN418" s="49"/>
      <c r="DO418" s="49"/>
      <c r="DP418" s="49"/>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s="52"/>
      <c r="AAA418" s="192"/>
      <c r="AAD418" s="90"/>
      <c r="AAE418" s="519">
        <f t="shared" ref="AAE418:AAE445" si="351">IF(S.Notice.Involved="Y",1,0)</f>
        <v>1</v>
      </c>
      <c r="AAF418" s="90"/>
      <c r="AAG418" s="73">
        <f t="shared" si="344"/>
        <v>41572</v>
      </c>
      <c r="AAH418" s="73">
        <f t="shared" si="345"/>
        <v>41592</v>
      </c>
      <c r="AAI418" s="72"/>
      <c r="AAJ418" s="72"/>
      <c r="AAK418" s="80" t="str">
        <f>"- "&amp;S.Staff.DivisionRulesCoordinator&amp;" for program sufficiency, consistency &amp; clarity"</f>
        <v>- AndreaDRC for program sufficiency, consistency &amp; clarity</v>
      </c>
      <c r="AAL418" s="90"/>
    </row>
    <row r="419" spans="1:714" s="23" customFormat="1" ht="15" customHeight="1" outlineLevel="1">
      <c r="A419" s="171"/>
      <c r="B419" s="667" t="str">
        <f t="shared" si="348"/>
        <v>- LarryK for legal sufficiency of NOTICE and PROPOSED RULES if needed</v>
      </c>
      <c r="C419" s="376" t="s">
        <v>0</v>
      </c>
      <c r="D419" s="383"/>
      <c r="E419" s="342">
        <f t="shared" ref="E419" si="352">NETWORKDAYS(G419,H419,S.DDL_DEQClosed)</f>
        <v>14</v>
      </c>
      <c r="F419" s="457">
        <f t="shared" ca="1" si="341"/>
        <v>13</v>
      </c>
      <c r="G419" s="343">
        <f t="shared" si="342"/>
        <v>41572</v>
      </c>
      <c r="H419" s="343">
        <f t="shared" si="343"/>
        <v>41592</v>
      </c>
      <c r="I419" s="244"/>
      <c r="J419" s="194"/>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9"/>
      <c r="CD419" s="49"/>
      <c r="CE419" s="49"/>
      <c r="CF419" s="49"/>
      <c r="CG419" s="49"/>
      <c r="CH419" s="49"/>
      <c r="CI419" s="49"/>
      <c r="CJ419" s="49"/>
      <c r="CK419" s="49"/>
      <c r="CL419" s="49"/>
      <c r="CM419" s="49"/>
      <c r="CN419" s="49"/>
      <c r="CO419" s="49"/>
      <c r="CP419" s="49"/>
      <c r="CQ419" s="49"/>
      <c r="CR419" s="49"/>
      <c r="CS419" s="49"/>
      <c r="CT419" s="49"/>
      <c r="CU419" s="49"/>
      <c r="CV419" s="49"/>
      <c r="CW419" s="49"/>
      <c r="CX419" s="49"/>
      <c r="CY419" s="49"/>
      <c r="CZ419" s="49"/>
      <c r="DA419" s="49"/>
      <c r="DB419" s="49"/>
      <c r="DC419" s="49"/>
      <c r="DD419" s="49"/>
      <c r="DE419" s="49"/>
      <c r="DF419" s="49"/>
      <c r="DG419" s="49"/>
      <c r="DH419" s="49"/>
      <c r="DI419" s="49"/>
      <c r="DJ419" s="49"/>
      <c r="DK419" s="49"/>
      <c r="DL419" s="49"/>
      <c r="DM419" s="49"/>
      <c r="DN419" s="49"/>
      <c r="DO419" s="49"/>
      <c r="DP419" s="4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s="52"/>
      <c r="AAA419" s="192"/>
      <c r="AAD419" s="90"/>
      <c r="AAE419" s="519">
        <f t="shared" si="351"/>
        <v>1</v>
      </c>
      <c r="AAF419" s="90"/>
      <c r="AAG419" s="73">
        <f t="shared" si="344"/>
        <v>41572</v>
      </c>
      <c r="AAH419" s="73">
        <f t="shared" si="345"/>
        <v>41592</v>
      </c>
      <c r="AAI419" s="72"/>
      <c r="AAJ419" s="72"/>
      <c r="AAK419" s="80" t="str">
        <f>"- "&amp;S.Staff.AAG&amp;" for legal sufficiency of NOTICE and PROPOSED RULES if needed"</f>
        <v>- LarryK for legal sufficiency of NOTICE and PROPOSED RULES if needed</v>
      </c>
      <c r="AAL419" s="90"/>
    </row>
    <row r="420" spans="1:714" s="23" customFormat="1" ht="15" customHeight="1" outlineLevel="1">
      <c r="A420" s="171"/>
      <c r="B420" s="667" t="str">
        <f t="shared" si="348"/>
        <v>- Maggie for OR rulemaking sufficiency, consistency &amp; clarity</v>
      </c>
      <c r="C420" s="376" t="s">
        <v>0</v>
      </c>
      <c r="D420" s="383"/>
      <c r="E420" s="342">
        <f t="shared" ref="E420" si="353">NETWORKDAYS(G420,H420,S.DDL_DEQClosed)</f>
        <v>14</v>
      </c>
      <c r="F420" s="457">
        <f t="shared" ca="1" si="341"/>
        <v>13</v>
      </c>
      <c r="G420" s="343">
        <f t="shared" si="342"/>
        <v>41572</v>
      </c>
      <c r="H420" s="343">
        <f t="shared" si="343"/>
        <v>41592</v>
      </c>
      <c r="I420" s="244"/>
      <c r="J420" s="194"/>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9"/>
      <c r="CD420" s="49"/>
      <c r="CE420" s="49"/>
      <c r="CF420" s="49"/>
      <c r="CG420" s="49"/>
      <c r="CH420" s="49"/>
      <c r="CI420" s="49"/>
      <c r="CJ420" s="49"/>
      <c r="CK420" s="49"/>
      <c r="CL420" s="49"/>
      <c r="CM420" s="49"/>
      <c r="CN420" s="49"/>
      <c r="CO420" s="49"/>
      <c r="CP420" s="49"/>
      <c r="CQ420" s="49"/>
      <c r="CR420" s="49"/>
      <c r="CS420" s="49"/>
      <c r="CT420" s="49"/>
      <c r="CU420" s="49"/>
      <c r="CV420" s="49"/>
      <c r="CW420" s="49"/>
      <c r="CX420" s="49"/>
      <c r="CY420" s="49"/>
      <c r="CZ420" s="49"/>
      <c r="DA420" s="49"/>
      <c r="DB420" s="49"/>
      <c r="DC420" s="49"/>
      <c r="DD420" s="49"/>
      <c r="DE420" s="49"/>
      <c r="DF420" s="49"/>
      <c r="DG420" s="49"/>
      <c r="DH420" s="49"/>
      <c r="DI420" s="49"/>
      <c r="DJ420" s="49"/>
      <c r="DK420" s="49"/>
      <c r="DL420" s="49"/>
      <c r="DM420" s="49"/>
      <c r="DN420" s="49"/>
      <c r="DO420" s="49"/>
      <c r="DP420" s="49"/>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s="52"/>
      <c r="AAA420" s="192"/>
      <c r="AAD420" s="90"/>
      <c r="AAE420" s="519">
        <f t="shared" si="351"/>
        <v>1</v>
      </c>
      <c r="AAF420" s="90"/>
      <c r="AAG420" s="73">
        <f t="shared" si="344"/>
        <v>41572</v>
      </c>
      <c r="AAH420" s="73">
        <f t="shared" si="345"/>
        <v>41592</v>
      </c>
      <c r="AAI420" s="72"/>
      <c r="AAJ420" s="72"/>
      <c r="AAK420" s="80" t="str">
        <f>"- "&amp;S.Staff.AgencyRulesCoordinator&amp;" for OR rulemaking sufficiency, consistency &amp; clarity"</f>
        <v>- Maggie for OR rulemaking sufficiency, consistency &amp; clarity</v>
      </c>
      <c r="AAL420" s="90"/>
    </row>
    <row r="421" spans="1:714" s="23" customFormat="1" ht="15" customHeight="1" outlineLevel="1">
      <c r="A421" s="171"/>
      <c r="B421" s="669" t="s">
        <v>386</v>
      </c>
      <c r="C421" s="376" t="s">
        <v>0</v>
      </c>
      <c r="D421" s="383"/>
      <c r="E421" s="342">
        <f t="shared" ref="E421:E422" si="354">NETWORKDAYS(G421,H421,S.DDL_DEQClosed)</f>
        <v>14</v>
      </c>
      <c r="F421" s="457">
        <f t="shared" ca="1" si="341"/>
        <v>13</v>
      </c>
      <c r="G421" s="343">
        <f t="shared" si="342"/>
        <v>41572</v>
      </c>
      <c r="H421" s="343">
        <f t="shared" si="343"/>
        <v>41592</v>
      </c>
      <c r="I421" s="244"/>
      <c r="J421" s="194"/>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9"/>
      <c r="CD421" s="49"/>
      <c r="CE421" s="49"/>
      <c r="CF421" s="49"/>
      <c r="CG421" s="49"/>
      <c r="CH421" s="49"/>
      <c r="CI421" s="49"/>
      <c r="CJ421" s="49"/>
      <c r="CK421" s="49"/>
      <c r="CL421" s="49"/>
      <c r="CM421" s="49"/>
      <c r="CN421" s="49"/>
      <c r="CO421" s="49"/>
      <c r="CP421" s="49"/>
      <c r="CQ421" s="49"/>
      <c r="CR421" s="49"/>
      <c r="CS421" s="49"/>
      <c r="CT421" s="49"/>
      <c r="CU421" s="49"/>
      <c r="CV421" s="49"/>
      <c r="CW421" s="49"/>
      <c r="CX421" s="49"/>
      <c r="CY421" s="49"/>
      <c r="CZ421" s="49"/>
      <c r="DA421" s="49"/>
      <c r="DB421" s="49"/>
      <c r="DC421" s="49"/>
      <c r="DD421" s="49"/>
      <c r="DE421" s="49"/>
      <c r="DF421" s="49"/>
      <c r="DG421" s="49"/>
      <c r="DH421" s="49"/>
      <c r="DI421" s="49"/>
      <c r="DJ421" s="49"/>
      <c r="DK421" s="49"/>
      <c r="DL421" s="49"/>
      <c r="DM421" s="49"/>
      <c r="DN421" s="49"/>
      <c r="DO421" s="49"/>
      <c r="DP421" s="49"/>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s="52"/>
      <c r="AAA421" s="192"/>
      <c r="AAD421" s="90"/>
      <c r="AAE421" s="519">
        <f t="shared" si="351"/>
        <v>1</v>
      </c>
      <c r="AAF421" s="90"/>
      <c r="AAG421" s="73">
        <f t="shared" si="344"/>
        <v>41572</v>
      </c>
      <c r="AAH421" s="73">
        <f t="shared" si="345"/>
        <v>41592</v>
      </c>
      <c r="AAI421" s="72"/>
      <c r="AAJ421" s="72"/>
      <c r="AAK421" s="56"/>
      <c r="AAL421" s="90"/>
    </row>
    <row r="422" spans="1:714" s="23" customFormat="1" ht="15" customHeight="1" outlineLevel="1">
      <c r="A422" s="171"/>
      <c r="B422" s="669" t="s">
        <v>230</v>
      </c>
      <c r="C422" s="376" t="s">
        <v>0</v>
      </c>
      <c r="D422" s="383"/>
      <c r="E422" s="342">
        <f t="shared" si="354"/>
        <v>14</v>
      </c>
      <c r="F422" s="457">
        <f t="shared" ca="1" si="341"/>
        <v>13</v>
      </c>
      <c r="G422" s="343">
        <f t="shared" si="342"/>
        <v>41572</v>
      </c>
      <c r="H422" s="343">
        <f t="shared" si="343"/>
        <v>41592</v>
      </c>
      <c r="I422" s="244"/>
      <c r="J422" s="194"/>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9"/>
      <c r="CD422" s="49"/>
      <c r="CE422" s="49"/>
      <c r="CF422" s="49"/>
      <c r="CG422" s="49"/>
      <c r="CH422" s="49"/>
      <c r="CI422" s="49"/>
      <c r="CJ422" s="49"/>
      <c r="CK422" s="49"/>
      <c r="CL422" s="49"/>
      <c r="CM422" s="49"/>
      <c r="CN422" s="49"/>
      <c r="CO422" s="49"/>
      <c r="CP422" s="49"/>
      <c r="CQ422" s="49"/>
      <c r="CR422" s="49"/>
      <c r="CS422" s="49"/>
      <c r="CT422" s="49"/>
      <c r="CU422" s="49"/>
      <c r="CV422" s="49"/>
      <c r="CW422" s="49"/>
      <c r="CX422" s="49"/>
      <c r="CY422" s="49"/>
      <c r="CZ422" s="49"/>
      <c r="DA422" s="49"/>
      <c r="DB422" s="49"/>
      <c r="DC422" s="49"/>
      <c r="DD422" s="49"/>
      <c r="DE422" s="49"/>
      <c r="DF422" s="49"/>
      <c r="DG422" s="49"/>
      <c r="DH422" s="49"/>
      <c r="DI422" s="49"/>
      <c r="DJ422" s="49"/>
      <c r="DK422" s="49"/>
      <c r="DL422" s="49"/>
      <c r="DM422" s="49"/>
      <c r="DN422" s="49"/>
      <c r="DO422" s="49"/>
      <c r="DP422" s="49"/>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s="52"/>
      <c r="AAA422" s="192"/>
      <c r="AAD422" s="90"/>
      <c r="AAE422" s="519">
        <f t="shared" si="351"/>
        <v>1</v>
      </c>
      <c r="AAF422" s="90"/>
      <c r="AAG422" s="73">
        <f t="shared" si="344"/>
        <v>41572</v>
      </c>
      <c r="AAH422" s="73">
        <f t="shared" si="345"/>
        <v>41592</v>
      </c>
      <c r="AAI422" s="72"/>
      <c r="AAJ422" s="72"/>
      <c r="AAK422" s="56"/>
      <c r="AAL422" s="90"/>
    </row>
    <row r="423" spans="1:714" s="23" customFormat="1" ht="15" customHeight="1" outlineLevel="1">
      <c r="A423" s="171"/>
      <c r="B423" s="669" t="s">
        <v>230</v>
      </c>
      <c r="C423" s="376" t="s">
        <v>0</v>
      </c>
      <c r="D423" s="383"/>
      <c r="E423" s="342">
        <f t="shared" ref="E423" si="355">NETWORKDAYS(G423,H423,S.DDL_DEQClosed)</f>
        <v>14</v>
      </c>
      <c r="F423" s="457">
        <f t="shared" ca="1" si="341"/>
        <v>13</v>
      </c>
      <c r="G423" s="343">
        <f t="shared" si="342"/>
        <v>41572</v>
      </c>
      <c r="H423" s="343">
        <f t="shared" si="343"/>
        <v>41592</v>
      </c>
      <c r="I423" s="244"/>
      <c r="J423" s="194"/>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9"/>
      <c r="CD423" s="49"/>
      <c r="CE423" s="49"/>
      <c r="CF423" s="49"/>
      <c r="CG423" s="49"/>
      <c r="CH423" s="49"/>
      <c r="CI423" s="49"/>
      <c r="CJ423" s="49"/>
      <c r="CK423" s="49"/>
      <c r="CL423" s="49"/>
      <c r="CM423" s="49"/>
      <c r="CN423" s="49"/>
      <c r="CO423" s="49"/>
      <c r="CP423" s="49"/>
      <c r="CQ423" s="49"/>
      <c r="CR423" s="49"/>
      <c r="CS423" s="49"/>
      <c r="CT423" s="49"/>
      <c r="CU423" s="49"/>
      <c r="CV423" s="49"/>
      <c r="CW423" s="49"/>
      <c r="CX423" s="49"/>
      <c r="CY423" s="49"/>
      <c r="CZ423" s="49"/>
      <c r="DA423" s="49"/>
      <c r="DB423" s="49"/>
      <c r="DC423" s="49"/>
      <c r="DD423" s="49"/>
      <c r="DE423" s="49"/>
      <c r="DF423" s="49"/>
      <c r="DG423" s="49"/>
      <c r="DH423" s="49"/>
      <c r="DI423" s="49"/>
      <c r="DJ423" s="49"/>
      <c r="DK423" s="49"/>
      <c r="DL423" s="49"/>
      <c r="DM423" s="49"/>
      <c r="DN423" s="49"/>
      <c r="DO423" s="49"/>
      <c r="DP423" s="49"/>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s="52"/>
      <c r="AAA423" s="192"/>
      <c r="AAD423" s="90"/>
      <c r="AAE423" s="519">
        <f t="shared" si="351"/>
        <v>1</v>
      </c>
      <c r="AAF423" s="90"/>
      <c r="AAG423" s="73">
        <f t="shared" si="344"/>
        <v>41572</v>
      </c>
      <c r="AAH423" s="73">
        <f t="shared" si="345"/>
        <v>41592</v>
      </c>
      <c r="AAI423" s="72"/>
      <c r="AAJ423" s="72"/>
      <c r="AAK423" s="56"/>
      <c r="AAL423" s="90"/>
    </row>
    <row r="424" spans="1:714" s="23" customFormat="1" ht="15" customHeight="1" outlineLevel="1">
      <c r="A424" s="171"/>
      <c r="B424" s="669" t="s">
        <v>230</v>
      </c>
      <c r="C424" s="376" t="s">
        <v>0</v>
      </c>
      <c r="D424" s="383"/>
      <c r="E424" s="342">
        <f t="shared" ref="E424" si="356">NETWORKDAYS(G424,H424,S.DDL_DEQClosed)</f>
        <v>14</v>
      </c>
      <c r="F424" s="457">
        <f t="shared" ca="1" si="341"/>
        <v>13</v>
      </c>
      <c r="G424" s="343">
        <f t="shared" si="342"/>
        <v>41572</v>
      </c>
      <c r="H424" s="343">
        <f t="shared" si="343"/>
        <v>41592</v>
      </c>
      <c r="I424" s="244"/>
      <c r="J424" s="194"/>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9"/>
      <c r="CD424" s="49"/>
      <c r="CE424" s="49"/>
      <c r="CF424" s="49"/>
      <c r="CG424" s="49"/>
      <c r="CH424" s="49"/>
      <c r="CI424" s="49"/>
      <c r="CJ424" s="49"/>
      <c r="CK424" s="49"/>
      <c r="CL424" s="49"/>
      <c r="CM424" s="49"/>
      <c r="CN424" s="49"/>
      <c r="CO424" s="49"/>
      <c r="CP424" s="49"/>
      <c r="CQ424" s="49"/>
      <c r="CR424" s="49"/>
      <c r="CS424" s="49"/>
      <c r="CT424" s="49"/>
      <c r="CU424" s="49"/>
      <c r="CV424" s="49"/>
      <c r="CW424" s="49"/>
      <c r="CX424" s="49"/>
      <c r="CY424" s="49"/>
      <c r="CZ424" s="49"/>
      <c r="DA424" s="49"/>
      <c r="DB424" s="49"/>
      <c r="DC424" s="49"/>
      <c r="DD424" s="49"/>
      <c r="DE424" s="49"/>
      <c r="DF424" s="49"/>
      <c r="DG424" s="49"/>
      <c r="DH424" s="49"/>
      <c r="DI424" s="49"/>
      <c r="DJ424" s="49"/>
      <c r="DK424" s="49"/>
      <c r="DL424" s="49"/>
      <c r="DM424" s="49"/>
      <c r="DN424" s="49"/>
      <c r="DO424" s="49"/>
      <c r="DP424" s="49"/>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s="52"/>
      <c r="AAA424" s="192"/>
      <c r="AAD424" s="90"/>
      <c r="AAE424" s="519">
        <f t="shared" si="351"/>
        <v>1</v>
      </c>
      <c r="AAF424" s="90"/>
      <c r="AAG424" s="73">
        <f t="shared" si="344"/>
        <v>41572</v>
      </c>
      <c r="AAH424" s="73">
        <f t="shared" si="345"/>
        <v>41592</v>
      </c>
      <c r="AAI424" s="72"/>
      <c r="AAJ424" s="72"/>
      <c r="AAK424" s="56"/>
      <c r="AAL424" s="90"/>
    </row>
    <row r="425" spans="1:714" s="23" customFormat="1" ht="15" customHeight="1" outlineLevel="1">
      <c r="A425" s="171"/>
      <c r="B425" s="441" t="s">
        <v>300</v>
      </c>
      <c r="C425" s="364" t="s">
        <v>0</v>
      </c>
      <c r="D425" s="383"/>
      <c r="E425" s="342">
        <f t="shared" ref="E425:E448" si="357">NETWORKDAYS(G425,H425,S.DDL_DEQClosed)</f>
        <v>14</v>
      </c>
      <c r="F425" s="457">
        <f t="shared" ca="1" si="341"/>
        <v>13</v>
      </c>
      <c r="G425" s="343">
        <f t="shared" si="342"/>
        <v>41572</v>
      </c>
      <c r="H425" s="343">
        <f t="shared" si="343"/>
        <v>41592</v>
      </c>
      <c r="I425" s="244"/>
      <c r="J425" s="194"/>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9"/>
      <c r="CD425" s="49"/>
      <c r="CE425" s="49"/>
      <c r="CF425" s="49"/>
      <c r="CG425" s="49"/>
      <c r="CH425" s="49"/>
      <c r="CI425" s="49"/>
      <c r="CJ425" s="49"/>
      <c r="CK425" s="49"/>
      <c r="CL425" s="49"/>
      <c r="CM425" s="49"/>
      <c r="CN425" s="49"/>
      <c r="CO425" s="49"/>
      <c r="CP425" s="49"/>
      <c r="CQ425" s="49"/>
      <c r="CR425" s="49"/>
      <c r="CS425" s="49"/>
      <c r="CT425" s="49"/>
      <c r="CU425" s="49"/>
      <c r="CV425" s="49"/>
      <c r="CW425" s="49"/>
      <c r="CX425" s="49"/>
      <c r="CY425" s="49"/>
      <c r="CZ425" s="49"/>
      <c r="DA425" s="49"/>
      <c r="DB425" s="49"/>
      <c r="DC425" s="49"/>
      <c r="DD425" s="49"/>
      <c r="DE425" s="49"/>
      <c r="DF425" s="49"/>
      <c r="DG425" s="49"/>
      <c r="DH425" s="49"/>
      <c r="DI425" s="49"/>
      <c r="DJ425" s="49"/>
      <c r="DK425" s="49"/>
      <c r="DL425" s="49"/>
      <c r="DM425" s="49"/>
      <c r="DN425" s="49"/>
      <c r="DO425" s="49"/>
      <c r="DP425" s="49"/>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s="52"/>
      <c r="AAA425" s="192" t="s">
        <v>0</v>
      </c>
      <c r="AAD425" s="90"/>
      <c r="AAE425" s="519">
        <f t="shared" si="351"/>
        <v>1</v>
      </c>
      <c r="AAF425" s="90"/>
      <c r="AAG425" s="73">
        <f t="shared" si="344"/>
        <v>41572</v>
      </c>
      <c r="AAH425" s="73">
        <f t="shared" si="345"/>
        <v>41592</v>
      </c>
      <c r="AAI425" s="72"/>
      <c r="AAJ425" s="72"/>
      <c r="AAK425" s="56" t="s">
        <v>0</v>
      </c>
      <c r="AAL425" s="90"/>
    </row>
    <row r="426" spans="1:714" s="23" customFormat="1" ht="15" customHeight="1" outlineLevel="1">
      <c r="A426" s="171"/>
      <c r="B426" s="682" t="s">
        <v>461</v>
      </c>
      <c r="C426" s="376" t="s">
        <v>0</v>
      </c>
      <c r="I426" s="244"/>
      <c r="J426" s="194"/>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9"/>
      <c r="CD426" s="49"/>
      <c r="CE426" s="49"/>
      <c r="CF426" s="49"/>
      <c r="CG426" s="49"/>
      <c r="CH426" s="49"/>
      <c r="CI426" s="49"/>
      <c r="CJ426" s="49"/>
      <c r="CK426" s="49"/>
      <c r="CL426" s="49"/>
      <c r="CM426" s="49"/>
      <c r="CN426" s="49"/>
      <c r="CO426" s="49"/>
      <c r="CP426" s="49"/>
      <c r="CQ426" s="49"/>
      <c r="CR426" s="49"/>
      <c r="CS426" s="49"/>
      <c r="CT426" s="49"/>
      <c r="CU426" s="49"/>
      <c r="CV426" s="49"/>
      <c r="CW426" s="49"/>
      <c r="CX426" s="49"/>
      <c r="CY426" s="49"/>
      <c r="CZ426" s="49"/>
      <c r="DA426" s="49"/>
      <c r="DB426" s="49"/>
      <c r="DC426" s="49"/>
      <c r="DD426" s="49"/>
      <c r="DE426" s="49"/>
      <c r="DF426" s="49"/>
      <c r="DG426" s="49"/>
      <c r="DH426" s="49"/>
      <c r="DI426" s="49"/>
      <c r="DJ426" s="49"/>
      <c r="DK426" s="49"/>
      <c r="DL426" s="49"/>
      <c r="DM426" s="49"/>
      <c r="DN426" s="49"/>
      <c r="DO426" s="49"/>
      <c r="DP426" s="49"/>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s="52"/>
      <c r="AAA426" s="192"/>
      <c r="AAD426" s="90"/>
      <c r="AAE426" s="519">
        <f t="shared" si="351"/>
        <v>1</v>
      </c>
      <c r="AAF426" s="190" t="s">
        <v>52</v>
      </c>
      <c r="AAG426" s="72"/>
      <c r="AAH426" s="72"/>
      <c r="AAI426" s="72"/>
      <c r="AAJ426" s="72"/>
      <c r="AAK426" s="87"/>
      <c r="AAL426" s="90"/>
    </row>
    <row r="427" spans="1:714" s="23" customFormat="1" ht="5.25" customHeight="1" outlineLevel="1">
      <c r="A427" s="171"/>
      <c r="B427" s="682"/>
      <c r="C427" s="376"/>
      <c r="I427" s="244"/>
      <c r="J427" s="194"/>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c r="DK427" s="49"/>
      <c r="DL427" s="49"/>
      <c r="DM427" s="49"/>
      <c r="DN427" s="49"/>
      <c r="DO427" s="49"/>
      <c r="DP427" s="49"/>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s="52"/>
      <c r="AAA427" s="192"/>
      <c r="AAD427" s="90"/>
      <c r="AAE427" s="519">
        <f t="shared" si="351"/>
        <v>1</v>
      </c>
      <c r="AAF427" s="190" t="s">
        <v>52</v>
      </c>
      <c r="AAG427" s="72"/>
      <c r="AAH427" s="72"/>
      <c r="AAI427" s="72"/>
      <c r="AAJ427" s="72"/>
      <c r="AAK427" s="87"/>
      <c r="AAL427" s="90"/>
    </row>
    <row r="428" spans="1:714" s="23" customFormat="1" ht="15" hidden="1" customHeight="1" outlineLevel="2" thickBot="1">
      <c r="A428" s="171"/>
      <c r="B428" s="706" t="s">
        <v>472</v>
      </c>
      <c r="C428" s="611" t="s">
        <v>303</v>
      </c>
      <c r="D428" s="380"/>
      <c r="E428" s="342">
        <f>NETWORKDAYS(G428,H428,S.DDL_DEQClosed)</f>
        <v>0</v>
      </c>
      <c r="F428" s="457">
        <f t="shared" ref="F428:F439" ca="1" si="358">IF(YEAR(H428)&gt;2000,NETWORKDAYS(TODAY(),H428,S.DDL_DEQClosed),0)</f>
        <v>0</v>
      </c>
      <c r="G428" s="400">
        <f t="shared" ref="G428:G439" si="359">AAG428</f>
        <v>0</v>
      </c>
      <c r="H428" s="400">
        <f t="shared" ref="H428:H439" si="360">AAH428</f>
        <v>0</v>
      </c>
      <c r="I428" s="244"/>
      <c r="J428" s="194"/>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s="52"/>
      <c r="AAA428" s="192"/>
      <c r="AAD428" s="90"/>
      <c r="AAE428" s="519">
        <f>IF(S.Notice.CustomReviewLoop1="N",0,IF(S.General.RuleType="T",0,1))</f>
        <v>0</v>
      </c>
      <c r="AAF428" s="90"/>
      <c r="AAG428" s="73">
        <f t="shared" ref="AAG428:AAG439" si="361">IF(AAE428=0,,S.Notice.BANNER.Begin)</f>
        <v>0</v>
      </c>
      <c r="AAH428" s="73">
        <f t="shared" ref="AAH428:AAH439" si="362">IF(AAE428=0,,WORKDAY(S.Notice.DABriefing,-1,S.DDL_DEQClosed))</f>
        <v>0</v>
      </c>
      <c r="AAI428" s="72"/>
      <c r="AAJ428" s="56"/>
      <c r="AAK428" s="56"/>
      <c r="AAL428" s="90"/>
    </row>
    <row r="429" spans="1:714" s="23" customFormat="1" ht="15" hidden="1" customHeight="1" outlineLevel="2">
      <c r="A429" s="171"/>
      <c r="B429" s="708" t="s">
        <v>376</v>
      </c>
      <c r="C429" s="376" t="s">
        <v>0</v>
      </c>
      <c r="D429" s="423"/>
      <c r="E429" s="397">
        <f t="shared" ref="E429:E431" si="363">NETWORKDAYS(G429,H429,S.DDL_DEQClosed)</f>
        <v>0</v>
      </c>
      <c r="F429" s="457">
        <f t="shared" ca="1" si="358"/>
        <v>0</v>
      </c>
      <c r="G429" s="400">
        <f t="shared" si="359"/>
        <v>0</v>
      </c>
      <c r="H429" s="400">
        <f t="shared" si="360"/>
        <v>0</v>
      </c>
      <c r="I429" s="244"/>
      <c r="J429" s="194"/>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c r="DK429" s="49"/>
      <c r="DL429" s="49"/>
      <c r="DM429" s="49"/>
      <c r="DN429" s="49"/>
      <c r="DO429" s="49"/>
      <c r="DP429" s="4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s="52"/>
      <c r="AAA429" s="192"/>
      <c r="AAD429" s="90"/>
      <c r="AAE429" s="519">
        <f>IF(S.Notice.CustomReviewLoop1="N",0,IF(S.General.RuleType="T",0,1))</f>
        <v>0</v>
      </c>
      <c r="AAF429" s="90"/>
      <c r="AAG429" s="73">
        <f t="shared" si="361"/>
        <v>0</v>
      </c>
      <c r="AAH429" s="73">
        <f t="shared" si="362"/>
        <v>0</v>
      </c>
      <c r="AAI429" s="72"/>
      <c r="AAJ429" s="185"/>
      <c r="AAK429" s="56"/>
      <c r="AAL429" s="90"/>
    </row>
    <row r="430" spans="1:714" s="23" customFormat="1" ht="15" hidden="1" customHeight="1" outlineLevel="2">
      <c r="A430" s="171"/>
      <c r="B430" s="708" t="s">
        <v>376</v>
      </c>
      <c r="C430" s="376" t="s">
        <v>0</v>
      </c>
      <c r="D430" s="423"/>
      <c r="E430" s="397">
        <f t="shared" si="363"/>
        <v>0</v>
      </c>
      <c r="F430" s="457">
        <f t="shared" ca="1" si="358"/>
        <v>0</v>
      </c>
      <c r="G430" s="400">
        <f t="shared" si="359"/>
        <v>0</v>
      </c>
      <c r="H430" s="400">
        <f t="shared" si="360"/>
        <v>0</v>
      </c>
      <c r="I430" s="244"/>
      <c r="J430" s="194"/>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c r="DK430" s="49"/>
      <c r="DL430" s="49"/>
      <c r="DM430" s="49"/>
      <c r="DN430" s="49"/>
      <c r="DO430" s="49"/>
      <c r="DP430" s="49"/>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s="52"/>
      <c r="AAA430" s="192"/>
      <c r="AAD430" s="90"/>
      <c r="AAE430" s="519">
        <f>IF(S.Notice.CustomReviewLoop1="N",0,IF(S.General.RuleType="T",0,1))</f>
        <v>0</v>
      </c>
      <c r="AAF430" s="90"/>
      <c r="AAG430" s="73">
        <f t="shared" si="361"/>
        <v>0</v>
      </c>
      <c r="AAH430" s="73">
        <f t="shared" si="362"/>
        <v>0</v>
      </c>
      <c r="AAI430" s="72"/>
      <c r="AAJ430" s="185"/>
      <c r="AAK430" s="56"/>
      <c r="AAL430" s="90"/>
    </row>
    <row r="431" spans="1:714" s="23" customFormat="1" ht="15" hidden="1" customHeight="1" outlineLevel="2" thickBot="1">
      <c r="A431" s="171"/>
      <c r="B431" s="708" t="s">
        <v>376</v>
      </c>
      <c r="C431" s="376" t="s">
        <v>0</v>
      </c>
      <c r="D431" s="423"/>
      <c r="E431" s="397">
        <f t="shared" si="363"/>
        <v>0</v>
      </c>
      <c r="F431" s="457">
        <f t="shared" ca="1" si="358"/>
        <v>0</v>
      </c>
      <c r="G431" s="400">
        <f t="shared" si="359"/>
        <v>0</v>
      </c>
      <c r="H431" s="400">
        <f t="shared" si="360"/>
        <v>0</v>
      </c>
      <c r="I431" s="244"/>
      <c r="J431" s="194"/>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c r="DK431" s="49"/>
      <c r="DL431" s="49"/>
      <c r="DM431" s="49"/>
      <c r="DN431" s="49"/>
      <c r="DO431" s="49"/>
      <c r="DP431" s="49"/>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s="52"/>
      <c r="AAA431" s="192"/>
      <c r="AAD431" s="90"/>
      <c r="AAE431" s="519">
        <f>IF(S.Notice.CustomReviewLoop1="N",0,IF(S.General.RuleType="T",0,1))</f>
        <v>0</v>
      </c>
      <c r="AAF431" s="90"/>
      <c r="AAG431" s="73">
        <f t="shared" si="361"/>
        <v>0</v>
      </c>
      <c r="AAH431" s="73">
        <f t="shared" si="362"/>
        <v>0</v>
      </c>
      <c r="AAI431" s="72"/>
      <c r="AAJ431" s="185"/>
      <c r="AAK431" s="56"/>
      <c r="AAL431" s="90"/>
    </row>
    <row r="432" spans="1:714" s="23" customFormat="1" ht="15" hidden="1" customHeight="1" outlineLevel="2" thickBot="1">
      <c r="A432" s="171"/>
      <c r="B432" s="709" t="s">
        <v>379</v>
      </c>
      <c r="C432" s="611" t="s">
        <v>303</v>
      </c>
      <c r="D432" s="380"/>
      <c r="E432" s="342">
        <f>NETWORKDAYS(G432,H432,S.DDL_DEQClosed)</f>
        <v>0</v>
      </c>
      <c r="F432" s="457">
        <f t="shared" ca="1" si="358"/>
        <v>0</v>
      </c>
      <c r="G432" s="400">
        <f t="shared" si="359"/>
        <v>0</v>
      </c>
      <c r="H432" s="400">
        <f t="shared" si="360"/>
        <v>0</v>
      </c>
      <c r="I432" s="244"/>
      <c r="J432" s="194"/>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49"/>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s="52"/>
      <c r="AAA432" s="192"/>
      <c r="AAD432" s="90"/>
      <c r="AAE432" s="519">
        <f>IF(AND(S.Notice.CustomReviewLoop1="Y",S.Notice.CustomReviewLoop2="Y"),1,0)</f>
        <v>0</v>
      </c>
      <c r="AAF432" s="90"/>
      <c r="AAG432" s="73">
        <f t="shared" si="361"/>
        <v>0</v>
      </c>
      <c r="AAH432" s="73">
        <f t="shared" si="362"/>
        <v>0</v>
      </c>
      <c r="AAI432" s="72"/>
      <c r="AAJ432" s="56"/>
      <c r="AAK432" s="56"/>
      <c r="AAL432" s="90"/>
    </row>
    <row r="433" spans="1:715" s="23" customFormat="1" ht="15" hidden="1" customHeight="1" outlineLevel="2">
      <c r="A433" s="171"/>
      <c r="B433" s="710" t="s">
        <v>376</v>
      </c>
      <c r="C433" s="376" t="s">
        <v>0</v>
      </c>
      <c r="D433" s="423"/>
      <c r="E433" s="397">
        <f t="shared" ref="E433:E435" si="364">NETWORKDAYS(G433,H433,S.DDL_DEQClosed)</f>
        <v>0</v>
      </c>
      <c r="F433" s="457">
        <f t="shared" ca="1" si="358"/>
        <v>0</v>
      </c>
      <c r="G433" s="400">
        <f t="shared" si="359"/>
        <v>0</v>
      </c>
      <c r="H433" s="400">
        <f t="shared" si="360"/>
        <v>0</v>
      </c>
      <c r="I433" s="244"/>
      <c r="J433" s="194"/>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c r="DK433" s="49"/>
      <c r="DL433" s="49"/>
      <c r="DM433" s="49"/>
      <c r="DN433" s="49"/>
      <c r="DO433" s="49"/>
      <c r="DP433" s="49"/>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s="52"/>
      <c r="AAA433" s="192"/>
      <c r="AAD433" s="90"/>
      <c r="AAE433" s="519">
        <f>IF(AND(S.Notice.CustomReviewLoop1="Y",S.Notice.CustomReviewLoop2="Y"),1,0)</f>
        <v>0</v>
      </c>
      <c r="AAF433" s="90"/>
      <c r="AAG433" s="73">
        <f t="shared" si="361"/>
        <v>0</v>
      </c>
      <c r="AAH433" s="73">
        <f t="shared" si="362"/>
        <v>0</v>
      </c>
      <c r="AAI433" s="72"/>
      <c r="AAJ433" s="185"/>
      <c r="AAK433" s="56"/>
      <c r="AAL433" s="90"/>
    </row>
    <row r="434" spans="1:715" s="23" customFormat="1" ht="15" hidden="1" customHeight="1" outlineLevel="2">
      <c r="A434" s="171"/>
      <c r="B434" s="710" t="s">
        <v>376</v>
      </c>
      <c r="C434" s="376" t="s">
        <v>0</v>
      </c>
      <c r="D434" s="423"/>
      <c r="E434" s="397">
        <f t="shared" si="364"/>
        <v>0</v>
      </c>
      <c r="F434" s="457">
        <f t="shared" ca="1" si="358"/>
        <v>0</v>
      </c>
      <c r="G434" s="400">
        <f t="shared" si="359"/>
        <v>0</v>
      </c>
      <c r="H434" s="400">
        <f t="shared" si="360"/>
        <v>0</v>
      </c>
      <c r="I434" s="244"/>
      <c r="J434" s="194"/>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c r="DK434" s="49"/>
      <c r="DL434" s="49"/>
      <c r="DM434" s="49"/>
      <c r="DN434" s="49"/>
      <c r="DO434" s="49"/>
      <c r="DP434" s="49"/>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s="52"/>
      <c r="AAA434" s="192"/>
      <c r="AAD434" s="90"/>
      <c r="AAE434" s="519">
        <f>IF(AND(S.Notice.CustomReviewLoop1="Y",S.Notice.CustomReviewLoop2="Y"),1,0)</f>
        <v>0</v>
      </c>
      <c r="AAF434" s="90"/>
      <c r="AAG434" s="73">
        <f t="shared" si="361"/>
        <v>0</v>
      </c>
      <c r="AAH434" s="73">
        <f t="shared" si="362"/>
        <v>0</v>
      </c>
      <c r="AAI434" s="72"/>
      <c r="AAJ434" s="185"/>
      <c r="AAK434" s="56"/>
      <c r="AAL434" s="90"/>
    </row>
    <row r="435" spans="1:715" s="23" customFormat="1" ht="15" hidden="1" customHeight="1" outlineLevel="2" thickBot="1">
      <c r="A435" s="171"/>
      <c r="B435" s="710" t="s">
        <v>376</v>
      </c>
      <c r="C435" s="376" t="s">
        <v>0</v>
      </c>
      <c r="D435" s="423"/>
      <c r="E435" s="397">
        <f t="shared" si="364"/>
        <v>0</v>
      </c>
      <c r="F435" s="457">
        <f t="shared" ca="1" si="358"/>
        <v>0</v>
      </c>
      <c r="G435" s="400">
        <f t="shared" si="359"/>
        <v>0</v>
      </c>
      <c r="H435" s="400">
        <f t="shared" si="360"/>
        <v>0</v>
      </c>
      <c r="I435" s="244"/>
      <c r="J435" s="194"/>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c r="DK435" s="49"/>
      <c r="DL435" s="49"/>
      <c r="DM435" s="49"/>
      <c r="DN435" s="49"/>
      <c r="DO435" s="49"/>
      <c r="DP435" s="49"/>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s="52"/>
      <c r="AAA435" s="192"/>
      <c r="AAD435" s="90"/>
      <c r="AAE435" s="519">
        <f>IF(AND(S.Notice.CustomReviewLoop1="Y",S.Notice.CustomReviewLoop2="Y"),1,0)</f>
        <v>0</v>
      </c>
      <c r="AAF435" s="90"/>
      <c r="AAG435" s="73">
        <f t="shared" si="361"/>
        <v>0</v>
      </c>
      <c r="AAH435" s="73">
        <f t="shared" si="362"/>
        <v>0</v>
      </c>
      <c r="AAI435" s="72"/>
      <c r="AAJ435" s="185"/>
      <c r="AAK435" s="56"/>
      <c r="AAL435" s="90"/>
    </row>
    <row r="436" spans="1:715" s="23" customFormat="1" ht="15" hidden="1" customHeight="1" outlineLevel="2" thickBot="1">
      <c r="A436" s="171"/>
      <c r="B436" s="711" t="s">
        <v>380</v>
      </c>
      <c r="C436" s="611" t="s">
        <v>303</v>
      </c>
      <c r="D436" s="380"/>
      <c r="E436" s="342">
        <f>NETWORKDAYS(G436,H436,S.DDL_DEQClosed)</f>
        <v>0</v>
      </c>
      <c r="F436" s="457">
        <f t="shared" ca="1" si="358"/>
        <v>0</v>
      </c>
      <c r="G436" s="400">
        <f t="shared" si="359"/>
        <v>0</v>
      </c>
      <c r="H436" s="400">
        <f t="shared" si="360"/>
        <v>0</v>
      </c>
      <c r="I436" s="244"/>
      <c r="J436" s="194"/>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c r="DK436" s="49"/>
      <c r="DL436" s="49"/>
      <c r="DM436" s="49"/>
      <c r="DN436" s="49"/>
      <c r="DO436" s="49"/>
      <c r="DP436" s="49"/>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s="52"/>
      <c r="AAA436" s="192"/>
      <c r="AAD436" s="90"/>
      <c r="AAE436" s="519">
        <f>IF(AND(S.Notice.CustomReviewLoop1="Y",S.Notice.CustomReviewLoop2="Y",S.Notice.CustomReviewLoop3="Y"),1,0)</f>
        <v>0</v>
      </c>
      <c r="AAF436" s="90"/>
      <c r="AAG436" s="73">
        <f t="shared" si="361"/>
        <v>0</v>
      </c>
      <c r="AAH436" s="73">
        <f t="shared" si="362"/>
        <v>0</v>
      </c>
      <c r="AAI436" s="72"/>
      <c r="AAJ436" s="56"/>
      <c r="AAK436" s="56"/>
      <c r="AAL436" s="90"/>
    </row>
    <row r="437" spans="1:715" s="23" customFormat="1" ht="15" hidden="1" customHeight="1" outlineLevel="2">
      <c r="A437" s="171"/>
      <c r="B437" s="712" t="s">
        <v>376</v>
      </c>
      <c r="C437" s="376" t="s">
        <v>0</v>
      </c>
      <c r="D437" s="423"/>
      <c r="E437" s="397">
        <f t="shared" ref="E437:E439" si="365">NETWORKDAYS(G437,H437,S.DDL_DEQClosed)</f>
        <v>0</v>
      </c>
      <c r="F437" s="457">
        <f t="shared" ca="1" si="358"/>
        <v>0</v>
      </c>
      <c r="G437" s="400">
        <f t="shared" si="359"/>
        <v>0</v>
      </c>
      <c r="H437" s="400">
        <f t="shared" si="360"/>
        <v>0</v>
      </c>
      <c r="I437" s="244"/>
      <c r="J437" s="194"/>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c r="DK437" s="49"/>
      <c r="DL437" s="49"/>
      <c r="DM437" s="49"/>
      <c r="DN437" s="49"/>
      <c r="DO437" s="49"/>
      <c r="DP437" s="49"/>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s="52"/>
      <c r="AAA437" s="192"/>
      <c r="AAD437" s="90"/>
      <c r="AAE437" s="519">
        <f>IF(AND(S.Notice.CustomReviewLoop1="Y",S.Notice.CustomReviewLoop2="Y",S.Notice.CustomReviewLoop3="Y"),1,0)</f>
        <v>0</v>
      </c>
      <c r="AAF437" s="90"/>
      <c r="AAG437" s="73">
        <f t="shared" si="361"/>
        <v>0</v>
      </c>
      <c r="AAH437" s="73">
        <f t="shared" si="362"/>
        <v>0</v>
      </c>
      <c r="AAI437" s="72"/>
      <c r="AAJ437" s="185"/>
      <c r="AAK437" s="56"/>
      <c r="AAL437" s="90"/>
    </row>
    <row r="438" spans="1:715" s="23" customFormat="1" ht="15" hidden="1" customHeight="1" outlineLevel="2">
      <c r="A438" s="171"/>
      <c r="B438" s="712" t="s">
        <v>376</v>
      </c>
      <c r="C438" s="376" t="s">
        <v>0</v>
      </c>
      <c r="D438" s="423"/>
      <c r="E438" s="397">
        <f t="shared" si="365"/>
        <v>0</v>
      </c>
      <c r="F438" s="457">
        <f t="shared" ca="1" si="358"/>
        <v>0</v>
      </c>
      <c r="G438" s="400">
        <f t="shared" si="359"/>
        <v>0</v>
      </c>
      <c r="H438" s="400">
        <f t="shared" si="360"/>
        <v>0</v>
      </c>
      <c r="I438" s="244"/>
      <c r="J438" s="194"/>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9"/>
      <c r="CD438" s="49"/>
      <c r="CE438" s="49"/>
      <c r="CF438" s="49"/>
      <c r="CG438" s="49"/>
      <c r="CH438" s="49"/>
      <c r="CI438" s="49"/>
      <c r="CJ438" s="49"/>
      <c r="CK438" s="49"/>
      <c r="CL438" s="49"/>
      <c r="CM438" s="49"/>
      <c r="CN438" s="49"/>
      <c r="CO438" s="49"/>
      <c r="CP438" s="49"/>
      <c r="CQ438" s="49"/>
      <c r="CR438" s="49"/>
      <c r="CS438" s="49"/>
      <c r="CT438" s="49"/>
      <c r="CU438" s="49"/>
      <c r="CV438" s="49"/>
      <c r="CW438" s="49"/>
      <c r="CX438" s="49"/>
      <c r="CY438" s="49"/>
      <c r="CZ438" s="49"/>
      <c r="DA438" s="49"/>
      <c r="DB438" s="49"/>
      <c r="DC438" s="49"/>
      <c r="DD438" s="49"/>
      <c r="DE438" s="49"/>
      <c r="DF438" s="49"/>
      <c r="DG438" s="49"/>
      <c r="DH438" s="49"/>
      <c r="DI438" s="49"/>
      <c r="DJ438" s="49"/>
      <c r="DK438" s="49"/>
      <c r="DL438" s="49"/>
      <c r="DM438" s="49"/>
      <c r="DN438" s="49"/>
      <c r="DO438" s="49"/>
      <c r="DP438" s="49"/>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s="52"/>
      <c r="AAA438" s="192"/>
      <c r="AAD438" s="90"/>
      <c r="AAE438" s="519">
        <f>IF(AND(S.Notice.CustomReviewLoop1="Y",S.Notice.CustomReviewLoop2="Y",S.Notice.CustomReviewLoop3="Y"),1,0)</f>
        <v>0</v>
      </c>
      <c r="AAF438" s="90"/>
      <c r="AAG438" s="73">
        <f t="shared" si="361"/>
        <v>0</v>
      </c>
      <c r="AAH438" s="73">
        <f t="shared" si="362"/>
        <v>0</v>
      </c>
      <c r="AAI438" s="72"/>
      <c r="AAJ438" s="185"/>
      <c r="AAK438" s="56"/>
      <c r="AAL438" s="90"/>
    </row>
    <row r="439" spans="1:715" s="23" customFormat="1" ht="15" hidden="1" customHeight="1" outlineLevel="2">
      <c r="A439" s="171"/>
      <c r="B439" s="712" t="s">
        <v>376</v>
      </c>
      <c r="C439" s="376" t="s">
        <v>0</v>
      </c>
      <c r="D439" s="423"/>
      <c r="E439" s="397">
        <f t="shared" si="365"/>
        <v>0</v>
      </c>
      <c r="F439" s="457">
        <f t="shared" ca="1" si="358"/>
        <v>0</v>
      </c>
      <c r="G439" s="400">
        <f t="shared" si="359"/>
        <v>0</v>
      </c>
      <c r="H439" s="400">
        <f t="shared" si="360"/>
        <v>0</v>
      </c>
      <c r="I439" s="244"/>
      <c r="J439" s="194"/>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9"/>
      <c r="CD439" s="49"/>
      <c r="CE439" s="49"/>
      <c r="CF439" s="49"/>
      <c r="CG439" s="49"/>
      <c r="CH439" s="49"/>
      <c r="CI439" s="49"/>
      <c r="CJ439" s="49"/>
      <c r="CK439" s="49"/>
      <c r="CL439" s="49"/>
      <c r="CM439" s="49"/>
      <c r="CN439" s="49"/>
      <c r="CO439" s="49"/>
      <c r="CP439" s="49"/>
      <c r="CQ439" s="49"/>
      <c r="CR439" s="49"/>
      <c r="CS439" s="49"/>
      <c r="CT439" s="49"/>
      <c r="CU439" s="49"/>
      <c r="CV439" s="49"/>
      <c r="CW439" s="49"/>
      <c r="CX439" s="49"/>
      <c r="CY439" s="49"/>
      <c r="CZ439" s="49"/>
      <c r="DA439" s="49"/>
      <c r="DB439" s="49"/>
      <c r="DC439" s="49"/>
      <c r="DD439" s="49"/>
      <c r="DE439" s="49"/>
      <c r="DF439" s="49"/>
      <c r="DG439" s="49"/>
      <c r="DH439" s="49"/>
      <c r="DI439" s="49"/>
      <c r="DJ439" s="49"/>
      <c r="DK439" s="49"/>
      <c r="DL439" s="49"/>
      <c r="DM439" s="49"/>
      <c r="DN439" s="49"/>
      <c r="DO439" s="49"/>
      <c r="DP439" s="4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s="52"/>
      <c r="AAA439" s="192"/>
      <c r="AAD439" s="90"/>
      <c r="AAE439" s="519">
        <f>IF(AND(S.Notice.CustomReviewLoop1="Y",S.Notice.CustomReviewLoop2="Y",S.Notice.CustomReviewLoop3="Y"),1,0)</f>
        <v>0</v>
      </c>
      <c r="AAF439" s="90"/>
      <c r="AAG439" s="73">
        <f t="shared" si="361"/>
        <v>0</v>
      </c>
      <c r="AAH439" s="73">
        <f t="shared" si="362"/>
        <v>0</v>
      </c>
      <c r="AAI439" s="72"/>
      <c r="AAJ439" s="185"/>
      <c r="AAK439" s="56"/>
      <c r="AAL439" s="90"/>
    </row>
    <row r="440" spans="1:715" s="23" customFormat="1" ht="5.25" hidden="1" customHeight="1" outlineLevel="2">
      <c r="A440" s="171"/>
      <c r="B440" s="682"/>
      <c r="C440" s="376"/>
      <c r="I440" s="244"/>
      <c r="J440" s="194"/>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9"/>
      <c r="CD440" s="49"/>
      <c r="CE440" s="49"/>
      <c r="CF440" s="49"/>
      <c r="CG440" s="49"/>
      <c r="CH440" s="49"/>
      <c r="CI440" s="49"/>
      <c r="CJ440" s="49"/>
      <c r="CK440" s="49"/>
      <c r="CL440" s="49"/>
      <c r="CM440" s="49"/>
      <c r="CN440" s="49"/>
      <c r="CO440" s="49"/>
      <c r="CP440" s="49"/>
      <c r="CQ440" s="49"/>
      <c r="CR440" s="49"/>
      <c r="CS440" s="49"/>
      <c r="CT440" s="49"/>
      <c r="CU440" s="49"/>
      <c r="CV440" s="49"/>
      <c r="CW440" s="49"/>
      <c r="CX440" s="49"/>
      <c r="CY440" s="49"/>
      <c r="CZ440" s="49"/>
      <c r="DA440" s="49"/>
      <c r="DB440" s="49"/>
      <c r="DC440" s="49"/>
      <c r="DD440" s="49"/>
      <c r="DE440" s="49"/>
      <c r="DF440" s="49"/>
      <c r="DG440" s="49"/>
      <c r="DH440" s="49"/>
      <c r="DI440" s="49"/>
      <c r="DJ440" s="49"/>
      <c r="DK440" s="49"/>
      <c r="DL440" s="49"/>
      <c r="DM440" s="49"/>
      <c r="DN440" s="49"/>
      <c r="DO440" s="49"/>
      <c r="DP440" s="49"/>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s="52"/>
      <c r="AAA440" s="192"/>
      <c r="AAD440" s="90"/>
      <c r="AAE440" s="519">
        <f t="shared" si="351"/>
        <v>1</v>
      </c>
      <c r="AAF440" s="190" t="s">
        <v>52</v>
      </c>
      <c r="AAG440" s="72"/>
      <c r="AAH440" s="72"/>
      <c r="AAI440" s="72"/>
      <c r="AAJ440" s="72"/>
      <c r="AAK440" s="87"/>
      <c r="AAL440" s="90"/>
    </row>
    <row r="441" spans="1:715" s="23" customFormat="1" ht="15" customHeight="1" outlineLevel="1" collapsed="1">
      <c r="A441" s="171"/>
      <c r="B441" s="361" t="str">
        <f>AAK441</f>
        <v>AndreaRW:</v>
      </c>
      <c r="C441" s="362"/>
      <c r="D441" s="362"/>
      <c r="E441" s="350"/>
      <c r="F441" s="350"/>
      <c r="G441" s="346"/>
      <c r="H441" s="346"/>
      <c r="I441" s="244"/>
      <c r="J441" s="194"/>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9"/>
      <c r="CD441" s="49"/>
      <c r="CE441" s="49"/>
      <c r="CF441" s="49"/>
      <c r="CG441" s="49"/>
      <c r="CH441" s="49"/>
      <c r="CI441" s="49"/>
      <c r="CJ441" s="49"/>
      <c r="CK441" s="49"/>
      <c r="CL441" s="49"/>
      <c r="CM441" s="49"/>
      <c r="CN441" s="49"/>
      <c r="CO441" s="49"/>
      <c r="CP441" s="49"/>
      <c r="CQ441" s="49"/>
      <c r="CR441" s="49"/>
      <c r="CS441" s="49"/>
      <c r="CT441" s="49"/>
      <c r="CU441" s="49"/>
      <c r="CV441" s="49"/>
      <c r="CW441" s="49"/>
      <c r="CX441" s="49"/>
      <c r="CY441" s="49"/>
      <c r="CZ441" s="49"/>
      <c r="DA441" s="49"/>
      <c r="DB441" s="49"/>
      <c r="DC441" s="49"/>
      <c r="DD441" s="49"/>
      <c r="DE441" s="49"/>
      <c r="DF441" s="49"/>
      <c r="DG441" s="49"/>
      <c r="DH441" s="49"/>
      <c r="DI441" s="49"/>
      <c r="DJ441" s="49"/>
      <c r="DK441" s="49"/>
      <c r="DL441" s="49"/>
      <c r="DM441" s="49"/>
      <c r="DN441" s="49"/>
      <c r="DO441" s="49"/>
      <c r="DP441" s="49"/>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s="52"/>
      <c r="AAA441" s="192"/>
      <c r="AAD441" s="90"/>
      <c r="AAE441" s="519">
        <f t="shared" ref="AAE441" si="366">IF(S.Notice.Involved="Y",1,0)</f>
        <v>1</v>
      </c>
      <c r="AAF441" s="190" t="s">
        <v>52</v>
      </c>
      <c r="AAG441" s="71"/>
      <c r="AAH441" s="71"/>
      <c r="AAI441" s="71"/>
      <c r="AAJ441" s="56"/>
      <c r="AAK441" s="254" t="str">
        <f>S.Staff.Lead&amp;":"</f>
        <v>AndreaRW:</v>
      </c>
      <c r="AAL441" s="90"/>
    </row>
    <row r="442" spans="1:715" s="23" customFormat="1" ht="15" customHeight="1" outlineLevel="1">
      <c r="A442" s="171"/>
      <c r="B442" s="441" t="s">
        <v>301</v>
      </c>
      <c r="C442" s="364" t="s">
        <v>0</v>
      </c>
      <c r="D442" s="383"/>
      <c r="E442" s="342">
        <f t="shared" si="357"/>
        <v>14</v>
      </c>
      <c r="F442" s="457">
        <f t="shared" ca="1" si="341"/>
        <v>13</v>
      </c>
      <c r="G442" s="343">
        <f t="shared" si="342"/>
        <v>41572</v>
      </c>
      <c r="H442" s="343">
        <f t="shared" si="343"/>
        <v>41592</v>
      </c>
      <c r="I442" s="244"/>
      <c r="J442" s="194"/>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9"/>
      <c r="CD442" s="49"/>
      <c r="CE442" s="49"/>
      <c r="CF442" s="49"/>
      <c r="CG442" s="49"/>
      <c r="CH442" s="49"/>
      <c r="CI442" s="49"/>
      <c r="CJ442" s="49"/>
      <c r="CK442" s="49"/>
      <c r="CL442" s="49"/>
      <c r="CM442" s="49"/>
      <c r="CN442" s="49"/>
      <c r="CO442" s="49"/>
      <c r="CP442" s="49"/>
      <c r="CQ442" s="49"/>
      <c r="CR442" s="49"/>
      <c r="CS442" s="49"/>
      <c r="CT442" s="49"/>
      <c r="CU442" s="49"/>
      <c r="CV442" s="49"/>
      <c r="CW442" s="49"/>
      <c r="CX442" s="49"/>
      <c r="CY442" s="49"/>
      <c r="CZ442" s="49"/>
      <c r="DA442" s="49"/>
      <c r="DB442" s="49"/>
      <c r="DC442" s="49"/>
      <c r="DD442" s="49"/>
      <c r="DE442" s="49"/>
      <c r="DF442" s="49"/>
      <c r="DG442" s="49"/>
      <c r="DH442" s="49"/>
      <c r="DI442" s="49"/>
      <c r="DJ442" s="49"/>
      <c r="DK442" s="49"/>
      <c r="DL442" s="49"/>
      <c r="DM442" s="49"/>
      <c r="DN442" s="49"/>
      <c r="DO442" s="49"/>
      <c r="DP442" s="49"/>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s="52"/>
      <c r="AAA442" s="192" t="s">
        <v>0</v>
      </c>
      <c r="AAD442" s="90"/>
      <c r="AAE442" s="519">
        <f t="shared" si="351"/>
        <v>1</v>
      </c>
      <c r="AAF442" s="90"/>
      <c r="AAG442" s="73">
        <f>IF(AAE442=0,,S.Notice.BANNER.Begin)</f>
        <v>41572</v>
      </c>
      <c r="AAH442" s="73">
        <f>IF(AAE442=0,,WORKDAY(S.Notice.DABriefing,-1,S.DDL_DEQClosed))</f>
        <v>41592</v>
      </c>
      <c r="AAI442" s="72"/>
      <c r="AAJ442" s="72"/>
      <c r="AAK442" s="56" t="s">
        <v>0</v>
      </c>
      <c r="AAL442" s="90"/>
    </row>
    <row r="443" spans="1:715" s="23" customFormat="1" ht="15" customHeight="1" outlineLevel="1">
      <c r="A443" s="171"/>
      <c r="B443" s="441" t="str">
        <f t="shared" ref="B443:B448" si="367">AAK443</f>
        <v>* updates prevously scheduled DA briefing and review, if changed, with Carol</v>
      </c>
      <c r="C443" s="364" t="s">
        <v>0</v>
      </c>
      <c r="D443"/>
      <c r="E443"/>
      <c r="F443"/>
      <c r="G443"/>
      <c r="H443" s="351">
        <f t="shared" ref="H443" si="368">AAH443</f>
        <v>41592</v>
      </c>
      <c r="I443" s="244"/>
      <c r="J443" s="194"/>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9"/>
      <c r="CD443" s="49"/>
      <c r="CE443" s="49"/>
      <c r="CF443" s="49"/>
      <c r="CG443" s="49"/>
      <c r="CH443" s="49"/>
      <c r="CI443" s="49"/>
      <c r="CJ443" s="49"/>
      <c r="CK443" s="49"/>
      <c r="CL443" s="49"/>
      <c r="CM443" s="49"/>
      <c r="CN443" s="49"/>
      <c r="CO443" s="49"/>
      <c r="CP443" s="49"/>
      <c r="CQ443" s="49"/>
      <c r="CR443" s="49"/>
      <c r="CS443" s="49"/>
      <c r="CT443" s="49"/>
      <c r="CU443" s="49"/>
      <c r="CV443" s="49"/>
      <c r="CW443" s="49"/>
      <c r="CX443" s="49"/>
      <c r="CY443" s="49"/>
      <c r="CZ443" s="49"/>
      <c r="DA443" s="49"/>
      <c r="DB443" s="49"/>
      <c r="DC443" s="49"/>
      <c r="DD443" s="49"/>
      <c r="DE443" s="49"/>
      <c r="DF443" s="49"/>
      <c r="DG443" s="49"/>
      <c r="DH443" s="49"/>
      <c r="DI443" s="49"/>
      <c r="DJ443" s="49"/>
      <c r="DK443" s="49"/>
      <c r="DL443" s="49"/>
      <c r="DM443" s="49"/>
      <c r="DN443" s="49"/>
      <c r="DO443" s="49"/>
      <c r="DP443" s="49"/>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s="52"/>
      <c r="AAA443" s="192" t="s">
        <v>0</v>
      </c>
      <c r="AAD443" s="90"/>
      <c r="AAE443" s="519">
        <f t="shared" si="351"/>
        <v>1</v>
      </c>
      <c r="AAF443" s="90"/>
      <c r="AAG443" s="72"/>
      <c r="AAH443" s="73">
        <f>IF(AAE443=0,,WORKDAY(S.Notice.DABriefing,-1,S.DDL_DEQClosed))</f>
        <v>41592</v>
      </c>
      <c r="AAI443" s="72"/>
      <c r="AAJ443" s="72"/>
      <c r="AAK443" s="254" t="str">
        <f>"* updates prevously scheduled DA briefing and review, if changed, with "&amp;S.Staff.AssistDA</f>
        <v>* updates prevously scheduled DA briefing and review, if changed, with Carol</v>
      </c>
      <c r="AAL443" s="90"/>
    </row>
    <row r="444" spans="1:715" s="23" customFormat="1" ht="15" customHeight="1" outlineLevel="1">
      <c r="A444" s="171"/>
      <c r="B444" s="363" t="str">
        <f t="shared" si="367"/>
        <v>* initiates MargaretMGR's review/approval, addresses suggestions</v>
      </c>
      <c r="C444" s="364" t="s">
        <v>0</v>
      </c>
      <c r="D444" s="380"/>
      <c r="E444" s="342">
        <f t="shared" si="357"/>
        <v>1</v>
      </c>
      <c r="F444" s="457">
        <f t="shared" ca="1" si="341"/>
        <v>13</v>
      </c>
      <c r="G444" s="343">
        <f t="shared" si="342"/>
        <v>41592</v>
      </c>
      <c r="H444" s="343">
        <f t="shared" si="343"/>
        <v>41592</v>
      </c>
      <c r="I444" s="244"/>
      <c r="J444" s="194"/>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9"/>
      <c r="CD444" s="49"/>
      <c r="CE444" s="49"/>
      <c r="CF444" s="49"/>
      <c r="CG444" s="49"/>
      <c r="CH444" s="49"/>
      <c r="CI444" s="49"/>
      <c r="CJ444" s="49"/>
      <c r="CK444" s="49"/>
      <c r="CL444" s="49"/>
      <c r="CM444" s="49"/>
      <c r="CN444" s="49"/>
      <c r="CO444" s="49"/>
      <c r="CP444" s="49"/>
      <c r="CQ444" s="49"/>
      <c r="CR444" s="49"/>
      <c r="CS444" s="49"/>
      <c r="CT444" s="49"/>
      <c r="CU444" s="49"/>
      <c r="CV444" s="49"/>
      <c r="CW444" s="49"/>
      <c r="CX444" s="49"/>
      <c r="CY444" s="49"/>
      <c r="CZ444" s="49"/>
      <c r="DA444" s="49"/>
      <c r="DB444" s="49"/>
      <c r="DC444" s="49"/>
      <c r="DD444" s="49"/>
      <c r="DE444" s="49"/>
      <c r="DF444" s="49"/>
      <c r="DG444" s="49"/>
      <c r="DH444" s="49"/>
      <c r="DI444" s="49"/>
      <c r="DJ444" s="49"/>
      <c r="DK444" s="49"/>
      <c r="DL444" s="49"/>
      <c r="DM444" s="49"/>
      <c r="DN444" s="49"/>
      <c r="DO444" s="49"/>
      <c r="DP444" s="49"/>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s="52"/>
      <c r="AAA444" s="192" t="s">
        <v>0</v>
      </c>
      <c r="AAD444" s="90"/>
      <c r="AAE444" s="519">
        <f t="shared" si="351"/>
        <v>1</v>
      </c>
      <c r="AAF444" s="90"/>
      <c r="AAG444" s="73">
        <f>IF(AAE444=0,,H442)</f>
        <v>41592</v>
      </c>
      <c r="AAH444" s="73">
        <f>IF(AAE444=0,,WORKDAY(S.Notice.DABriefing,-1,S.DDL_DEQClosed))</f>
        <v>41592</v>
      </c>
      <c r="AAI444" s="72"/>
      <c r="AAJ444" s="72"/>
      <c r="AAK444" s="254" t="str">
        <f>"* initiates "&amp;S.Staff.Mgr&amp;"'s review/approval, addresses suggestions"</f>
        <v>* initiates MargaretMGR's review/approval, addresses suggestions</v>
      </c>
      <c r="AAL444" s="90"/>
    </row>
    <row r="445" spans="1:715" ht="15" customHeight="1" outlineLevel="1" thickBot="1">
      <c r="A445" s="171"/>
      <c r="B445" s="516" t="str">
        <f t="shared" si="367"/>
        <v>1st loop of MargaretMGR's Notice Packet review and approval</v>
      </c>
      <c r="C445"/>
      <c r="D445" s="380"/>
      <c r="E445" s="342">
        <f t="shared" si="357"/>
        <v>1</v>
      </c>
      <c r="F445" s="457">
        <f t="shared" ca="1" si="341"/>
        <v>13</v>
      </c>
      <c r="G445" s="343">
        <f>AAG445</f>
        <v>41592</v>
      </c>
      <c r="H445" s="343">
        <f t="shared" ref="H445:H448" si="369">AAH445</f>
        <v>41592</v>
      </c>
      <c r="I445" s="244" t="s">
        <v>0</v>
      </c>
      <c r="J445" s="194"/>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9"/>
      <c r="CD445" s="49"/>
      <c r="CE445" s="49"/>
      <c r="CF445" s="49"/>
      <c r="CG445" s="49"/>
      <c r="CH445" s="49"/>
      <c r="CI445" s="49"/>
      <c r="CJ445" s="49"/>
      <c r="CK445" s="49"/>
      <c r="CL445" s="49"/>
      <c r="CM445" s="49"/>
      <c r="CN445" s="49"/>
      <c r="CO445" s="49"/>
      <c r="CP445" s="49"/>
      <c r="CQ445" s="49"/>
      <c r="CR445" s="49"/>
      <c r="CS445" s="49"/>
      <c r="CT445" s="49"/>
      <c r="CU445" s="49"/>
      <c r="CV445" s="49"/>
      <c r="CW445" s="49"/>
      <c r="CX445" s="49"/>
      <c r="CY445" s="49"/>
      <c r="CZ445" s="49"/>
      <c r="DA445" s="49"/>
      <c r="DB445" s="49"/>
      <c r="DC445" s="49"/>
      <c r="DD445" s="49"/>
      <c r="DE445" s="49"/>
      <c r="DF445" s="49"/>
      <c r="DG445" s="49"/>
      <c r="DH445" s="49"/>
      <c r="DI445" s="49"/>
      <c r="DJ445" s="49"/>
      <c r="DK445" s="49"/>
      <c r="DL445" s="49"/>
      <c r="DM445" s="49"/>
      <c r="DN445" s="49"/>
      <c r="DO445" s="49"/>
      <c r="DP445" s="49"/>
      <c r="AAA445" s="192"/>
      <c r="AAD445" s="90"/>
      <c r="AAE445" s="519">
        <f t="shared" si="351"/>
        <v>1</v>
      </c>
      <c r="AAF445" s="90"/>
      <c r="AAG445" s="73">
        <f>IF(AAE445=0,,H444)</f>
        <v>41592</v>
      </c>
      <c r="AAH445" s="73">
        <f>IF(AAE445=0,,G445)</f>
        <v>41592</v>
      </c>
      <c r="AAI445" s="72"/>
      <c r="AAJ445" s="72"/>
      <c r="AAK445" s="254" t="str">
        <f>"1st loop of "&amp;S.Staff.Mgr&amp;"'s Notice Packet review and approval"</f>
        <v>1st loop of MargaretMGR's Notice Packet review and approval</v>
      </c>
      <c r="AAL445" s="90"/>
      <c r="AAM445"/>
    </row>
    <row r="446" spans="1:715" ht="15" customHeight="1" outlineLevel="1" thickBot="1">
      <c r="A446" s="171"/>
      <c r="B446" s="480" t="str">
        <f t="shared" si="367"/>
        <v>2nd loop of MargaretMGR's Notice Packet review and approval</v>
      </c>
      <c r="C446" s="611" t="s">
        <v>17</v>
      </c>
      <c r="D446" s="380"/>
      <c r="E446" s="342">
        <f t="shared" si="357"/>
        <v>1</v>
      </c>
      <c r="F446" s="457">
        <f t="shared" ca="1" si="341"/>
        <v>13</v>
      </c>
      <c r="G446" s="343">
        <f>AAG446</f>
        <v>41592</v>
      </c>
      <c r="H446" s="343">
        <f t="shared" si="369"/>
        <v>41592</v>
      </c>
      <c r="I446" s="244"/>
      <c r="J446" s="194"/>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49"/>
      <c r="CE446" s="49"/>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c r="DK446" s="49"/>
      <c r="DL446" s="49"/>
      <c r="DM446" s="49"/>
      <c r="DN446" s="49"/>
      <c r="DO446" s="49"/>
      <c r="DP446" s="49"/>
      <c r="AAA446" s="192"/>
      <c r="AAD446" s="90"/>
      <c r="AAE446" s="519">
        <f>IF(AND(S.Notice.ApprovePacketLoop2="Y",S.Notice.Involved="Y"),1,0)</f>
        <v>1</v>
      </c>
      <c r="AAF446" s="90"/>
      <c r="AAG446" s="73">
        <f>IF(AAE446=0,,H445)</f>
        <v>41592</v>
      </c>
      <c r="AAH446" s="73">
        <f>IF(AAE446=0,,G446)</f>
        <v>41592</v>
      </c>
      <c r="AAI446" s="72"/>
      <c r="AAJ446" s="72"/>
      <c r="AAK446" s="254" t="str">
        <f>"2nd loop of "&amp;S.Staff.Mgr&amp;"'s Notice Packet review and approval"</f>
        <v>2nd loop of MargaretMGR's Notice Packet review and approval</v>
      </c>
      <c r="AAL446" s="90"/>
      <c r="AAM446"/>
    </row>
    <row r="447" spans="1:715" ht="15" customHeight="1" outlineLevel="1" thickBot="1">
      <c r="A447" s="171"/>
      <c r="B447" s="653" t="str">
        <f t="shared" si="367"/>
        <v>3rd loop of MargaretMGR's Notice Packet review and approval</v>
      </c>
      <c r="C447" s="611" t="s">
        <v>303</v>
      </c>
      <c r="D447" s="380"/>
      <c r="E447" s="342">
        <f t="shared" si="357"/>
        <v>0</v>
      </c>
      <c r="F447" s="457">
        <f t="shared" ca="1" si="341"/>
        <v>0</v>
      </c>
      <c r="G447" s="343">
        <f>AAG447</f>
        <v>0</v>
      </c>
      <c r="H447" s="343">
        <f t="shared" si="369"/>
        <v>0</v>
      </c>
      <c r="I447" s="244"/>
      <c r="J447" s="194"/>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9"/>
      <c r="CD447" s="49"/>
      <c r="CE447" s="49"/>
      <c r="CF447" s="49"/>
      <c r="CG447" s="49"/>
      <c r="CH447" s="49"/>
      <c r="CI447" s="49"/>
      <c r="CJ447" s="49"/>
      <c r="CK447" s="49"/>
      <c r="CL447" s="49"/>
      <c r="CM447" s="49"/>
      <c r="CN447" s="49"/>
      <c r="CO447" s="49"/>
      <c r="CP447" s="49"/>
      <c r="CQ447" s="49"/>
      <c r="CR447" s="49"/>
      <c r="CS447" s="49"/>
      <c r="CT447" s="49"/>
      <c r="CU447" s="49"/>
      <c r="CV447" s="49"/>
      <c r="CW447" s="49"/>
      <c r="CX447" s="49"/>
      <c r="CY447" s="49"/>
      <c r="CZ447" s="49"/>
      <c r="DA447" s="49"/>
      <c r="DB447" s="49"/>
      <c r="DC447" s="49"/>
      <c r="DD447" s="49"/>
      <c r="DE447" s="49"/>
      <c r="DF447" s="49"/>
      <c r="DG447" s="49"/>
      <c r="DH447" s="49"/>
      <c r="DI447" s="49"/>
      <c r="DJ447" s="49"/>
      <c r="DK447" s="49"/>
      <c r="DL447" s="49"/>
      <c r="DM447" s="49"/>
      <c r="DN447" s="49"/>
      <c r="DO447" s="49"/>
      <c r="DP447" s="49"/>
      <c r="AAA447" s="192"/>
      <c r="AAD447" s="90"/>
      <c r="AAE447" s="519">
        <f>IF(AND(S.Notice.ApprovePacketLoop3="Y",S.Notice.Involved="Y"),1,0)</f>
        <v>0</v>
      </c>
      <c r="AAF447" s="90"/>
      <c r="AAG447" s="73">
        <f>IF(AAE447=0,,H446)</f>
        <v>0</v>
      </c>
      <c r="AAH447" s="73">
        <f>IF(AAE447=0,,G447)</f>
        <v>0</v>
      </c>
      <c r="AAI447" s="72"/>
      <c r="AAJ447" s="72"/>
      <c r="AAK447" s="254" t="str">
        <f>"3rd loop of "&amp;S.Staff.Mgr&amp;"'s Notice Packet review and approval"</f>
        <v>3rd loop of MargaretMGR's Notice Packet review and approval</v>
      </c>
      <c r="AAL447" s="90"/>
      <c r="AAM447"/>
    </row>
    <row r="448" spans="1:715" ht="15" customHeight="1" outlineLevel="1" thickBot="1">
      <c r="A448" s="171"/>
      <c r="B448" s="654" t="str">
        <f t="shared" si="367"/>
        <v>4th loop of MargaretMGR's Notice Packet review and approval</v>
      </c>
      <c r="C448" s="611" t="s">
        <v>303</v>
      </c>
      <c r="D448" s="380"/>
      <c r="E448" s="342">
        <f t="shared" si="357"/>
        <v>0</v>
      </c>
      <c r="F448" s="457">
        <f t="shared" ca="1" si="341"/>
        <v>0</v>
      </c>
      <c r="G448" s="343">
        <f>AAG448</f>
        <v>0</v>
      </c>
      <c r="H448" s="343">
        <f t="shared" si="369"/>
        <v>0</v>
      </c>
      <c r="I448" s="244"/>
      <c r="J448" s="194"/>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9"/>
      <c r="CD448" s="49"/>
      <c r="CE448" s="49"/>
      <c r="CF448" s="49"/>
      <c r="CG448" s="49"/>
      <c r="CH448" s="49"/>
      <c r="CI448" s="49"/>
      <c r="CJ448" s="49"/>
      <c r="CK448" s="49"/>
      <c r="CL448" s="49"/>
      <c r="CM448" s="49"/>
      <c r="CN448" s="49"/>
      <c r="CO448" s="49"/>
      <c r="CP448" s="49"/>
      <c r="CQ448" s="49"/>
      <c r="CR448" s="49"/>
      <c r="CS448" s="49"/>
      <c r="CT448" s="49"/>
      <c r="CU448" s="49"/>
      <c r="CV448" s="49"/>
      <c r="CW448" s="49"/>
      <c r="CX448" s="49"/>
      <c r="CY448" s="49"/>
      <c r="CZ448" s="49"/>
      <c r="DA448" s="49"/>
      <c r="DB448" s="49"/>
      <c r="DC448" s="49"/>
      <c r="DD448" s="49"/>
      <c r="DE448" s="49"/>
      <c r="DF448" s="49"/>
      <c r="DG448" s="49"/>
      <c r="DH448" s="49"/>
      <c r="DI448" s="49"/>
      <c r="DJ448" s="49"/>
      <c r="DK448" s="49"/>
      <c r="DL448" s="49"/>
      <c r="DM448" s="49"/>
      <c r="DN448" s="49"/>
      <c r="DO448" s="49"/>
      <c r="DP448" s="49"/>
      <c r="AAA448" s="192"/>
      <c r="AAD448" s="90"/>
      <c r="AAE448" s="519">
        <f>IF(AND(S.Notice.ApprovePacketLoop4="Y",S.Notice.Involved="Y"),1,0)</f>
        <v>0</v>
      </c>
      <c r="AAF448" s="90"/>
      <c r="AAG448" s="73">
        <f>IF(AAE448=0,,H447)</f>
        <v>0</v>
      </c>
      <c r="AAH448" s="73">
        <f>IF(AAE448=0,,G448)</f>
        <v>0</v>
      </c>
      <c r="AAI448" s="72"/>
      <c r="AAJ448" s="72"/>
      <c r="AAK448" s="254" t="str">
        <f>"4th loop of "&amp;S.Staff.Mgr&amp;"'s Notice Packet review and approval"</f>
        <v>4th loop of MargaretMGR's Notice Packet review and approval</v>
      </c>
      <c r="AAL448" s="90"/>
      <c r="AAM448"/>
    </row>
    <row r="449" spans="1:715" ht="15" customHeight="1" outlineLevel="1" thickBot="1">
      <c r="A449" s="171"/>
      <c r="B449" s="304" t="str">
        <f t="shared" ref="B449" si="370">AAK449</f>
        <v>* coordinates SIP inclusion with AndreaSIP</v>
      </c>
      <c r="C449"/>
      <c r="D449" s="380"/>
      <c r="E449" s="342">
        <f t="shared" ref="E449:E466" si="371">NETWORKDAYS(G449,H449,S.DDL_DEQClosed)</f>
        <v>32</v>
      </c>
      <c r="F449" s="457">
        <f t="shared" ca="1" si="311"/>
        <v>31</v>
      </c>
      <c r="G449" s="343">
        <f t="shared" si="333"/>
        <v>41572</v>
      </c>
      <c r="H449" s="343">
        <f t="shared" si="314"/>
        <v>41619</v>
      </c>
      <c r="I449" s="244"/>
      <c r="J449" s="194"/>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9"/>
      <c r="CD449" s="49"/>
      <c r="CE449" s="49"/>
      <c r="CF449" s="49"/>
      <c r="CG449" s="49"/>
      <c r="CH449" s="49"/>
      <c r="CI449" s="49"/>
      <c r="CJ449" s="49"/>
      <c r="CK449" s="49"/>
      <c r="CL449" s="49"/>
      <c r="CM449" s="49"/>
      <c r="CN449" s="49"/>
      <c r="CO449" s="49"/>
      <c r="CP449" s="49"/>
      <c r="CQ449" s="49"/>
      <c r="CR449" s="49"/>
      <c r="CS449" s="49"/>
      <c r="CT449" s="49"/>
      <c r="CU449" s="49"/>
      <c r="CV449" s="49"/>
      <c r="CW449" s="49"/>
      <c r="CX449" s="49"/>
      <c r="CY449" s="49"/>
      <c r="CZ449" s="49"/>
      <c r="DA449" s="49"/>
      <c r="DB449" s="49"/>
      <c r="DC449" s="49"/>
      <c r="DD449" s="49"/>
      <c r="DE449" s="49"/>
      <c r="DF449" s="49"/>
      <c r="DG449" s="49"/>
      <c r="DH449" s="49"/>
      <c r="DI449" s="49"/>
      <c r="DJ449" s="49"/>
      <c r="DK449" s="49"/>
      <c r="DL449" s="49"/>
      <c r="DM449" s="49"/>
      <c r="DN449" s="49"/>
      <c r="DO449" s="49"/>
      <c r="DP449" s="49"/>
      <c r="AAA449" s="192" t="s">
        <v>0</v>
      </c>
      <c r="AAD449" s="90"/>
      <c r="AAE449" s="519">
        <f>IF(S.SIP.Involved="Y",1,0)</f>
        <v>1</v>
      </c>
      <c r="AAF449" s="90"/>
      <c r="AAG449" s="73">
        <f>IF(AAE449=0,,S.Notice.BANNER.Begin)</f>
        <v>41572</v>
      </c>
      <c r="AAH449" s="73">
        <f>IF(AAE449=0,,WORKDAY(MAX(S.Notice.OpenComment,S.Notice.SubmitToSOS),-2,S.DDL_DEQClosed))</f>
        <v>41619</v>
      </c>
      <c r="AAI449" s="72"/>
      <c r="AAJ449" s="72"/>
      <c r="AAK449" s="80" t="str">
        <f>IF(S.SIP.Involved="Y","* coordinates SIP inclusion with "&amp;S.Staff.SIPCo,"* SIP not involved")</f>
        <v>* coordinates SIP inclusion with AndreaSIP</v>
      </c>
      <c r="AAL449" s="90"/>
      <c r="AAM449"/>
    </row>
    <row r="450" spans="1:715" s="23" customFormat="1" ht="15" customHeight="1" outlineLevel="1" thickBot="1">
      <c r="A450" s="171"/>
      <c r="B450" s="304" t="str">
        <f>AAK450</f>
        <v>* determines if newspaper advertisements are required; resource AndreaDRC</v>
      </c>
      <c r="C450" s="611" t="s">
        <v>17</v>
      </c>
      <c r="D450" s="380"/>
      <c r="E450" s="342">
        <f t="shared" ref="E450" si="372">NETWORKDAYS(G450,H450,S.DDL_DEQClosed)</f>
        <v>32</v>
      </c>
      <c r="F450" s="457">
        <f t="shared" ca="1" si="311"/>
        <v>31</v>
      </c>
      <c r="G450" s="343">
        <f t="shared" si="333"/>
        <v>41572</v>
      </c>
      <c r="H450" s="343">
        <f t="shared" si="314"/>
        <v>41619</v>
      </c>
      <c r="I450" s="244"/>
      <c r="J450" s="194"/>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9"/>
      <c r="CD450" s="49"/>
      <c r="CE450" s="49"/>
      <c r="CF450" s="49"/>
      <c r="CG450" s="49"/>
      <c r="CH450" s="49"/>
      <c r="CI450" s="49"/>
      <c r="CJ450" s="49"/>
      <c r="CK450" s="49"/>
      <c r="CL450" s="49"/>
      <c r="CM450" s="49"/>
      <c r="CN450" s="49"/>
      <c r="CO450" s="49"/>
      <c r="CP450" s="49"/>
      <c r="CQ450" s="49"/>
      <c r="CR450" s="49"/>
      <c r="CS450" s="49"/>
      <c r="CT450" s="49"/>
      <c r="CU450" s="49"/>
      <c r="CV450" s="49"/>
      <c r="CW450" s="49"/>
      <c r="CX450" s="49"/>
      <c r="CY450" s="49"/>
      <c r="CZ450" s="49"/>
      <c r="DA450" s="49"/>
      <c r="DB450" s="49"/>
      <c r="DC450" s="49"/>
      <c r="DD450" s="49"/>
      <c r="DE450" s="49"/>
      <c r="DF450" s="49"/>
      <c r="DG450" s="49"/>
      <c r="DH450" s="49"/>
      <c r="DI450" s="49"/>
      <c r="DJ450" s="49"/>
      <c r="DK450" s="49"/>
      <c r="DL450" s="49"/>
      <c r="DM450" s="49"/>
      <c r="DN450" s="49"/>
      <c r="DO450" s="49"/>
      <c r="DP450" s="49"/>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s="52"/>
      <c r="AAA450" s="192"/>
      <c r="AAD450" s="90"/>
      <c r="AAE450" s="519">
        <f t="shared" ref="AAE450:AAE465" si="373">IF(AND(S.Notice.Involved="Y",S.Notice.AD.Involved="Y"),1,0)</f>
        <v>1</v>
      </c>
      <c r="AAF450" s="90"/>
      <c r="AAG450" s="73">
        <f>IF(AAE450=0,,IF(S.Notice.AD.Involved="N",,S.Notice.BANNER.Begin))</f>
        <v>41572</v>
      </c>
      <c r="AAH450" s="73">
        <f>IF(AAE450=0,,IF(S.Notice.AD.Involved="N",,WORKDAY(MIN(S.Notice.OpenComment,S.Notice.SubmitToSOS),-2,S.DDL_DEQClosed)))</f>
        <v>41619</v>
      </c>
      <c r="AAI450" s="72"/>
      <c r="AAJ450" s="72"/>
      <c r="AAK450" s="80" t="str">
        <f>"* determines if newspaper advertisements are required; resource "&amp;S.Staff.DivisionRulesCoordinator</f>
        <v>* determines if newspaper advertisements are required; resource AndreaDRC</v>
      </c>
      <c r="AAL450" s="90"/>
    </row>
    <row r="451" spans="1:715" ht="15" customHeight="1" outlineLevel="1">
      <c r="A451" s="171"/>
      <c r="B451" s="630" t="s">
        <v>354</v>
      </c>
      <c r="D451" s="380"/>
      <c r="E451" s="342">
        <f t="shared" ref="E451" si="374">NETWORKDAYS(G451,H451,S.DDL_DEQClosed)</f>
        <v>32</v>
      </c>
      <c r="F451" s="457">
        <f t="shared" ref="F451" ca="1" si="375">IF(YEAR(H451)&gt;2000,NETWORKDAYS(TODAY(),H451,S.DDL_DEQClosed),0)</f>
        <v>31</v>
      </c>
      <c r="G451" s="343">
        <f t="shared" ref="G451" si="376">AAG451</f>
        <v>41572</v>
      </c>
      <c r="H451" s="343">
        <f t="shared" ref="H451:H466" si="377">AAH451</f>
        <v>41619</v>
      </c>
      <c r="I451" s="244"/>
      <c r="J451" s="194"/>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9"/>
      <c r="CD451" s="49"/>
      <c r="CE451" s="49"/>
      <c r="CF451" s="49"/>
      <c r="CG451" s="49"/>
      <c r="CH451" s="49"/>
      <c r="CI451" s="49"/>
      <c r="CJ451" s="49"/>
      <c r="CK451" s="49"/>
      <c r="CL451" s="49"/>
      <c r="CM451" s="49"/>
      <c r="CN451" s="49"/>
      <c r="CO451" s="49"/>
      <c r="CP451" s="49"/>
      <c r="CQ451" s="49"/>
      <c r="CR451" s="49"/>
      <c r="CS451" s="49"/>
      <c r="CT451" s="49"/>
      <c r="CU451" s="49"/>
      <c r="CV451" s="49"/>
      <c r="CW451" s="49"/>
      <c r="CX451" s="49"/>
      <c r="CY451" s="49"/>
      <c r="CZ451" s="49"/>
      <c r="DA451" s="49"/>
      <c r="DB451" s="49"/>
      <c r="DC451" s="49"/>
      <c r="DD451" s="49"/>
      <c r="DE451" s="49"/>
      <c r="DF451" s="49"/>
      <c r="DG451" s="49"/>
      <c r="DH451" s="49"/>
      <c r="DI451" s="49"/>
      <c r="DJ451" s="49"/>
      <c r="DK451" s="49"/>
      <c r="DL451" s="49"/>
      <c r="DM451" s="49"/>
      <c r="DN451" s="49"/>
      <c r="DO451" s="49"/>
      <c r="DP451" s="49"/>
      <c r="AAA451" s="192"/>
      <c r="AAD451" s="90"/>
      <c r="AAE451" s="519">
        <f t="shared" si="373"/>
        <v>1</v>
      </c>
      <c r="AAF451" s="90"/>
      <c r="AAG451" s="73">
        <f>IF(AAE451=0,,IF(S.Notice.AD.Involved="N",,S.Notice.BANNER.Begin))</f>
        <v>41572</v>
      </c>
      <c r="AAH451" s="73">
        <f t="shared" ref="AAH451:AAH462" si="378">IF(AAE451=0,,IF(S.Notice.AD.Involved="N",,WORKDAY(S.Notice.OpenComment,-2,S.DDL_DEQClosed)))</f>
        <v>41619</v>
      </c>
      <c r="AAI451" s="72"/>
      <c r="AAJ451" s="72"/>
      <c r="AAK451" s="56"/>
      <c r="AAL451" s="90"/>
      <c r="AAM451"/>
    </row>
    <row r="452" spans="1:715" s="23" customFormat="1" ht="15" customHeight="1" outlineLevel="1">
      <c r="A452" s="171"/>
      <c r="B452" s="674" t="s">
        <v>533</v>
      </c>
      <c r="D452" s="852" t="s">
        <v>352</v>
      </c>
      <c r="E452" s="852"/>
      <c r="F452" s="852"/>
      <c r="G452" s="853"/>
      <c r="H452" s="343">
        <f t="shared" si="377"/>
        <v>41619</v>
      </c>
      <c r="I452" s="244"/>
      <c r="J452" s="194"/>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c r="DK452" s="49"/>
      <c r="DL452" s="49"/>
      <c r="DM452" s="49"/>
      <c r="DN452" s="49"/>
      <c r="DO452" s="49"/>
      <c r="DP452" s="49"/>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s="52"/>
      <c r="AAA452" s="192"/>
      <c r="AAD452" s="90"/>
      <c r="AAE452" s="519">
        <f t="shared" si="373"/>
        <v>1</v>
      </c>
      <c r="AAF452" s="90"/>
      <c r="AAG452" s="72"/>
      <c r="AAH452" s="73">
        <f t="shared" si="378"/>
        <v>41619</v>
      </c>
      <c r="AAI452" s="72" t="s">
        <v>0</v>
      </c>
      <c r="AAJ452" s="72"/>
      <c r="AAK452" s="56"/>
      <c r="AAL452" s="90"/>
    </row>
    <row r="453" spans="1:715" s="23" customFormat="1" ht="15" customHeight="1" outlineLevel="2">
      <c r="A453" s="171"/>
      <c r="B453" s="674" t="s">
        <v>534</v>
      </c>
      <c r="D453" s="852" t="s">
        <v>352</v>
      </c>
      <c r="E453" s="852"/>
      <c r="F453" s="852"/>
      <c r="G453" s="853"/>
      <c r="H453" s="343">
        <f t="shared" si="377"/>
        <v>41619</v>
      </c>
      <c r="I453" s="244"/>
      <c r="J453" s="194"/>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9"/>
      <c r="CD453" s="49"/>
      <c r="CE453" s="49"/>
      <c r="CF453" s="49"/>
      <c r="CG453" s="49"/>
      <c r="CH453" s="49"/>
      <c r="CI453" s="49"/>
      <c r="CJ453" s="49"/>
      <c r="CK453" s="49"/>
      <c r="CL453" s="49"/>
      <c r="CM453" s="49"/>
      <c r="CN453" s="49"/>
      <c r="CO453" s="49"/>
      <c r="CP453" s="49"/>
      <c r="CQ453" s="49"/>
      <c r="CR453" s="49"/>
      <c r="CS453" s="49"/>
      <c r="CT453" s="49"/>
      <c r="CU453" s="49"/>
      <c r="CV453" s="49"/>
      <c r="CW453" s="49"/>
      <c r="CX453" s="49"/>
      <c r="CY453" s="49"/>
      <c r="CZ453" s="49"/>
      <c r="DA453" s="49"/>
      <c r="DB453" s="49"/>
      <c r="DC453" s="49"/>
      <c r="DD453" s="49"/>
      <c r="DE453" s="49"/>
      <c r="DF453" s="49"/>
      <c r="DG453" s="49"/>
      <c r="DH453" s="49"/>
      <c r="DI453" s="49"/>
      <c r="DJ453" s="49"/>
      <c r="DK453" s="49"/>
      <c r="DL453" s="49"/>
      <c r="DM453" s="49"/>
      <c r="DN453" s="49"/>
      <c r="DO453" s="49"/>
      <c r="DP453" s="49"/>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s="52"/>
      <c r="AAA453" s="192"/>
      <c r="AAD453" s="90"/>
      <c r="AAE453" s="519">
        <f t="shared" si="373"/>
        <v>1</v>
      </c>
      <c r="AAF453" s="90"/>
      <c r="AAG453" s="72"/>
      <c r="AAH453" s="73">
        <f t="shared" si="378"/>
        <v>41619</v>
      </c>
      <c r="AAI453" s="72"/>
      <c r="AAJ453" s="72"/>
      <c r="AAK453" s="56"/>
      <c r="AAL453" s="90"/>
    </row>
    <row r="454" spans="1:715" s="23" customFormat="1" ht="15" customHeight="1" outlineLevel="2">
      <c r="A454" s="171"/>
      <c r="B454" s="674" t="s">
        <v>538</v>
      </c>
      <c r="D454" s="852" t="s">
        <v>352</v>
      </c>
      <c r="E454" s="852"/>
      <c r="F454" s="852"/>
      <c r="G454" s="853"/>
      <c r="H454" s="343">
        <f t="shared" si="377"/>
        <v>41619</v>
      </c>
      <c r="I454" s="244"/>
      <c r="J454" s="194"/>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9"/>
      <c r="CD454" s="49"/>
      <c r="CE454" s="49"/>
      <c r="CF454" s="49"/>
      <c r="CG454" s="49"/>
      <c r="CH454" s="49"/>
      <c r="CI454" s="49"/>
      <c r="CJ454" s="49"/>
      <c r="CK454" s="49"/>
      <c r="CL454" s="49"/>
      <c r="CM454" s="49"/>
      <c r="CN454" s="49"/>
      <c r="CO454" s="49"/>
      <c r="CP454" s="49"/>
      <c r="CQ454" s="49"/>
      <c r="CR454" s="49"/>
      <c r="CS454" s="49"/>
      <c r="CT454" s="49"/>
      <c r="CU454" s="49"/>
      <c r="CV454" s="49"/>
      <c r="CW454" s="49"/>
      <c r="CX454" s="49"/>
      <c r="CY454" s="49"/>
      <c r="CZ454" s="49"/>
      <c r="DA454" s="49"/>
      <c r="DB454" s="49"/>
      <c r="DC454" s="49"/>
      <c r="DD454" s="49"/>
      <c r="DE454" s="49"/>
      <c r="DF454" s="49"/>
      <c r="DG454" s="49"/>
      <c r="DH454" s="49"/>
      <c r="DI454" s="49"/>
      <c r="DJ454" s="49"/>
      <c r="DK454" s="49"/>
      <c r="DL454" s="49"/>
      <c r="DM454" s="49"/>
      <c r="DN454" s="49"/>
      <c r="DO454" s="49"/>
      <c r="DP454" s="49"/>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s="52"/>
      <c r="AAA454" s="192"/>
      <c r="AAD454" s="90"/>
      <c r="AAE454" s="519">
        <f t="shared" si="373"/>
        <v>1</v>
      </c>
      <c r="AAF454" s="90"/>
      <c r="AAG454" s="72"/>
      <c r="AAH454" s="73">
        <f t="shared" si="378"/>
        <v>41619</v>
      </c>
      <c r="AAI454" s="72"/>
      <c r="AAJ454" s="72"/>
      <c r="AAK454" s="56"/>
      <c r="AAL454" s="90"/>
    </row>
    <row r="455" spans="1:715" s="23" customFormat="1" ht="15" customHeight="1" outlineLevel="2">
      <c r="A455" s="171"/>
      <c r="B455" s="674" t="s">
        <v>537</v>
      </c>
      <c r="D455" s="852" t="s">
        <v>352</v>
      </c>
      <c r="E455" s="852"/>
      <c r="F455" s="852"/>
      <c r="G455" s="853"/>
      <c r="H455" s="343">
        <f t="shared" si="377"/>
        <v>41619</v>
      </c>
      <c r="I455" s="244"/>
      <c r="J455" s="194"/>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9"/>
      <c r="CD455" s="49"/>
      <c r="CE455" s="49"/>
      <c r="CF455" s="49"/>
      <c r="CG455" s="49"/>
      <c r="CH455" s="49"/>
      <c r="CI455" s="49"/>
      <c r="CJ455" s="49"/>
      <c r="CK455" s="49"/>
      <c r="CL455" s="49"/>
      <c r="CM455" s="49"/>
      <c r="CN455" s="49"/>
      <c r="CO455" s="49"/>
      <c r="CP455" s="49"/>
      <c r="CQ455" s="49"/>
      <c r="CR455" s="49"/>
      <c r="CS455" s="49"/>
      <c r="CT455" s="49"/>
      <c r="CU455" s="49"/>
      <c r="CV455" s="49"/>
      <c r="CW455" s="49"/>
      <c r="CX455" s="49"/>
      <c r="CY455" s="49"/>
      <c r="CZ455" s="49"/>
      <c r="DA455" s="49"/>
      <c r="DB455" s="49"/>
      <c r="DC455" s="49"/>
      <c r="DD455" s="49"/>
      <c r="DE455" s="49"/>
      <c r="DF455" s="49"/>
      <c r="DG455" s="49"/>
      <c r="DH455" s="49"/>
      <c r="DI455" s="49"/>
      <c r="DJ455" s="49"/>
      <c r="DK455" s="49"/>
      <c r="DL455" s="49"/>
      <c r="DM455" s="49"/>
      <c r="DN455" s="49"/>
      <c r="DO455" s="49"/>
      <c r="DP455" s="49"/>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s="52"/>
      <c r="AAA455" s="192"/>
      <c r="AAD455" s="90"/>
      <c r="AAE455" s="519">
        <f t="shared" si="373"/>
        <v>1</v>
      </c>
      <c r="AAF455" s="90"/>
      <c r="AAG455" s="72"/>
      <c r="AAH455" s="73">
        <f t="shared" si="378"/>
        <v>41619</v>
      </c>
      <c r="AAI455" s="72"/>
      <c r="AAJ455" s="72"/>
      <c r="AAK455" s="56"/>
      <c r="AAL455" s="90"/>
    </row>
    <row r="456" spans="1:715" s="23" customFormat="1" ht="15" customHeight="1" outlineLevel="2">
      <c r="A456" s="171"/>
      <c r="B456" s="674" t="s">
        <v>387</v>
      </c>
      <c r="D456" s="852" t="s">
        <v>352</v>
      </c>
      <c r="E456" s="852"/>
      <c r="F456" s="852"/>
      <c r="G456" s="853"/>
      <c r="H456" s="343">
        <f t="shared" si="377"/>
        <v>41619</v>
      </c>
      <c r="I456" s="244"/>
      <c r="J456" s="194"/>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9"/>
      <c r="CD456" s="49"/>
      <c r="CE456" s="49"/>
      <c r="CF456" s="49"/>
      <c r="CG456" s="49"/>
      <c r="CH456" s="49"/>
      <c r="CI456" s="49"/>
      <c r="CJ456" s="49"/>
      <c r="CK456" s="49"/>
      <c r="CL456" s="49"/>
      <c r="CM456" s="49"/>
      <c r="CN456" s="49"/>
      <c r="CO456" s="49"/>
      <c r="CP456" s="49"/>
      <c r="CQ456" s="49"/>
      <c r="CR456" s="49"/>
      <c r="CS456" s="49"/>
      <c r="CT456" s="49"/>
      <c r="CU456" s="49"/>
      <c r="CV456" s="49"/>
      <c r="CW456" s="49"/>
      <c r="CX456" s="49"/>
      <c r="CY456" s="49"/>
      <c r="CZ456" s="49"/>
      <c r="DA456" s="49"/>
      <c r="DB456" s="49"/>
      <c r="DC456" s="49"/>
      <c r="DD456" s="49"/>
      <c r="DE456" s="49"/>
      <c r="DF456" s="49"/>
      <c r="DG456" s="49"/>
      <c r="DH456" s="49"/>
      <c r="DI456" s="49"/>
      <c r="DJ456" s="49"/>
      <c r="DK456" s="49"/>
      <c r="DL456" s="49"/>
      <c r="DM456" s="49"/>
      <c r="DN456" s="49"/>
      <c r="DO456" s="49"/>
      <c r="DP456" s="49"/>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s="52"/>
      <c r="AAA456" s="192"/>
      <c r="AAD456" s="90"/>
      <c r="AAE456" s="519">
        <f t="shared" si="373"/>
        <v>1</v>
      </c>
      <c r="AAF456" s="90"/>
      <c r="AAG456" s="72"/>
      <c r="AAH456" s="73">
        <f t="shared" si="378"/>
        <v>41619</v>
      </c>
      <c r="AAI456" s="72"/>
      <c r="AAJ456" s="72"/>
      <c r="AAK456" s="56"/>
      <c r="AAL456" s="90"/>
    </row>
    <row r="457" spans="1:715" s="23" customFormat="1" ht="15" customHeight="1" outlineLevel="2">
      <c r="A457" s="171"/>
      <c r="B457" s="674" t="s">
        <v>388</v>
      </c>
      <c r="D457" s="852" t="s">
        <v>352</v>
      </c>
      <c r="E457" s="852"/>
      <c r="F457" s="852"/>
      <c r="G457" s="853"/>
      <c r="H457" s="343">
        <f t="shared" si="377"/>
        <v>41619</v>
      </c>
      <c r="I457" s="244"/>
      <c r="J457" s="194"/>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9"/>
      <c r="CD457" s="49"/>
      <c r="CE457" s="49"/>
      <c r="CF457" s="49"/>
      <c r="CG457" s="49"/>
      <c r="CH457" s="49"/>
      <c r="CI457" s="49"/>
      <c r="CJ457" s="49"/>
      <c r="CK457" s="49"/>
      <c r="CL457" s="49"/>
      <c r="CM457" s="49"/>
      <c r="CN457" s="49"/>
      <c r="CO457" s="49"/>
      <c r="CP457" s="49"/>
      <c r="CQ457" s="49"/>
      <c r="CR457" s="49"/>
      <c r="CS457" s="49"/>
      <c r="CT457" s="49"/>
      <c r="CU457" s="49"/>
      <c r="CV457" s="49"/>
      <c r="CW457" s="49"/>
      <c r="CX457" s="49"/>
      <c r="CY457" s="49"/>
      <c r="CZ457" s="49"/>
      <c r="DA457" s="49"/>
      <c r="DB457" s="49"/>
      <c r="DC457" s="49"/>
      <c r="DD457" s="49"/>
      <c r="DE457" s="49"/>
      <c r="DF457" s="49"/>
      <c r="DG457" s="49"/>
      <c r="DH457" s="49"/>
      <c r="DI457" s="49"/>
      <c r="DJ457" s="49"/>
      <c r="DK457" s="49"/>
      <c r="DL457" s="49"/>
      <c r="DM457" s="49"/>
      <c r="DN457" s="49"/>
      <c r="DO457" s="49"/>
      <c r="DP457" s="49"/>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s="52"/>
      <c r="AAA457" s="192"/>
      <c r="AAD457" s="90"/>
      <c r="AAE457" s="519">
        <f t="shared" si="373"/>
        <v>1</v>
      </c>
      <c r="AAF457" s="90"/>
      <c r="AAG457" s="72"/>
      <c r="AAH457" s="73">
        <f t="shared" si="378"/>
        <v>41619</v>
      </c>
      <c r="AAI457" s="72"/>
      <c r="AAJ457" s="72"/>
      <c r="AAK457" s="56"/>
      <c r="AAL457" s="90"/>
    </row>
    <row r="458" spans="1:715" s="23" customFormat="1" ht="15" customHeight="1" outlineLevel="2">
      <c r="A458" s="171"/>
      <c r="B458" s="674" t="s">
        <v>389</v>
      </c>
      <c r="D458" s="852" t="s">
        <v>352</v>
      </c>
      <c r="E458" s="852"/>
      <c r="F458" s="852"/>
      <c r="G458" s="853"/>
      <c r="H458" s="343">
        <f t="shared" si="377"/>
        <v>41619</v>
      </c>
      <c r="I458" s="244"/>
      <c r="J458" s="194"/>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9"/>
      <c r="CD458" s="49"/>
      <c r="CE458" s="49"/>
      <c r="CF458" s="49"/>
      <c r="CG458" s="49"/>
      <c r="CH458" s="49"/>
      <c r="CI458" s="49"/>
      <c r="CJ458" s="49"/>
      <c r="CK458" s="49"/>
      <c r="CL458" s="49"/>
      <c r="CM458" s="49"/>
      <c r="CN458" s="49"/>
      <c r="CO458" s="49"/>
      <c r="CP458" s="49"/>
      <c r="CQ458" s="49"/>
      <c r="CR458" s="49"/>
      <c r="CS458" s="49"/>
      <c r="CT458" s="49"/>
      <c r="CU458" s="49"/>
      <c r="CV458" s="49"/>
      <c r="CW458" s="49"/>
      <c r="CX458" s="49"/>
      <c r="CY458" s="49"/>
      <c r="CZ458" s="49"/>
      <c r="DA458" s="49"/>
      <c r="DB458" s="49"/>
      <c r="DC458" s="49"/>
      <c r="DD458" s="49"/>
      <c r="DE458" s="49"/>
      <c r="DF458" s="49"/>
      <c r="DG458" s="49"/>
      <c r="DH458" s="49"/>
      <c r="DI458" s="49"/>
      <c r="DJ458" s="49"/>
      <c r="DK458" s="49"/>
      <c r="DL458" s="49"/>
      <c r="DM458" s="49"/>
      <c r="DN458" s="49"/>
      <c r="DO458" s="49"/>
      <c r="DP458" s="49"/>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s="52"/>
      <c r="AAA458" s="192"/>
      <c r="AAD458" s="90"/>
      <c r="AAE458" s="519">
        <f t="shared" si="373"/>
        <v>1</v>
      </c>
      <c r="AAF458" s="90"/>
      <c r="AAG458" s="72"/>
      <c r="AAH458" s="73">
        <f t="shared" si="378"/>
        <v>41619</v>
      </c>
      <c r="AAI458" s="72"/>
      <c r="AAJ458" s="72"/>
      <c r="AAK458" s="56"/>
      <c r="AAL458" s="90"/>
    </row>
    <row r="459" spans="1:715" s="23" customFormat="1" ht="15" customHeight="1" outlineLevel="2">
      <c r="A459" s="171"/>
      <c r="B459" s="674" t="s">
        <v>390</v>
      </c>
      <c r="C459"/>
      <c r="D459" s="859" t="s">
        <v>352</v>
      </c>
      <c r="E459" s="859"/>
      <c r="F459" s="859"/>
      <c r="G459" s="860"/>
      <c r="H459" s="343">
        <f t="shared" si="377"/>
        <v>41619</v>
      </c>
      <c r="I459" s="244"/>
      <c r="J459" s="194"/>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9"/>
      <c r="CD459" s="49"/>
      <c r="CE459" s="49"/>
      <c r="CF459" s="49"/>
      <c r="CG459" s="49"/>
      <c r="CH459" s="49"/>
      <c r="CI459" s="49"/>
      <c r="CJ459" s="49"/>
      <c r="CK459" s="49"/>
      <c r="CL459" s="49"/>
      <c r="CM459" s="49"/>
      <c r="CN459" s="49"/>
      <c r="CO459" s="49"/>
      <c r="CP459" s="49"/>
      <c r="CQ459" s="49"/>
      <c r="CR459" s="49"/>
      <c r="CS459" s="49"/>
      <c r="CT459" s="49"/>
      <c r="CU459" s="49"/>
      <c r="CV459" s="49"/>
      <c r="CW459" s="49"/>
      <c r="CX459" s="49"/>
      <c r="CY459" s="49"/>
      <c r="CZ459" s="49"/>
      <c r="DA459" s="49"/>
      <c r="DB459" s="49"/>
      <c r="DC459" s="49"/>
      <c r="DD459" s="49"/>
      <c r="DE459" s="49"/>
      <c r="DF459" s="49"/>
      <c r="DG459" s="49"/>
      <c r="DH459" s="49"/>
      <c r="DI459" s="49"/>
      <c r="DJ459" s="49"/>
      <c r="DK459" s="49"/>
      <c r="DL459" s="49"/>
      <c r="DM459" s="49"/>
      <c r="DN459" s="49"/>
      <c r="DO459" s="49"/>
      <c r="DP459" s="4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c r="WP459"/>
      <c r="WQ459"/>
      <c r="WR459"/>
      <c r="WS459"/>
      <c r="WT459"/>
      <c r="WU459"/>
      <c r="WV459"/>
      <c r="WW459"/>
      <c r="WX459"/>
      <c r="WY459"/>
      <c r="WZ459"/>
      <c r="XA459"/>
      <c r="XB459"/>
      <c r="XC459"/>
      <c r="XD459"/>
      <c r="XE459"/>
      <c r="XF459"/>
      <c r="XG459"/>
      <c r="XH459"/>
      <c r="XI459"/>
      <c r="XJ459"/>
      <c r="XK459"/>
      <c r="XL459"/>
      <c r="XM459"/>
      <c r="XN459"/>
      <c r="XO459"/>
      <c r="XP459"/>
      <c r="XQ459"/>
      <c r="XR459"/>
      <c r="XS459"/>
      <c r="XT459"/>
      <c r="XU459"/>
      <c r="XV459"/>
      <c r="XW459"/>
      <c r="XX459"/>
      <c r="XY459"/>
      <c r="XZ459"/>
      <c r="YA459"/>
      <c r="YB459"/>
      <c r="YC459"/>
      <c r="YD459"/>
      <c r="YE459"/>
      <c r="YF459"/>
      <c r="YG459"/>
      <c r="YH459"/>
      <c r="YI459"/>
      <c r="YJ459"/>
      <c r="YK459"/>
      <c r="YL459"/>
      <c r="YM459"/>
      <c r="YN459"/>
      <c r="YO459"/>
      <c r="YP459"/>
      <c r="YQ459"/>
      <c r="YR459"/>
      <c r="YS459"/>
      <c r="YT459"/>
      <c r="YU459"/>
      <c r="YV459"/>
      <c r="YW459"/>
      <c r="YX459"/>
      <c r="YY459"/>
      <c r="YZ459"/>
      <c r="ZA459"/>
      <c r="ZB459"/>
      <c r="ZC459"/>
      <c r="ZD459"/>
      <c r="ZE459"/>
      <c r="ZF459"/>
      <c r="ZG459"/>
      <c r="ZH459"/>
      <c r="ZI459"/>
      <c r="ZJ459"/>
      <c r="ZK459"/>
      <c r="ZL459"/>
      <c r="ZM459"/>
      <c r="ZN459"/>
      <c r="ZO459"/>
      <c r="ZP459"/>
      <c r="ZQ459"/>
      <c r="ZR459"/>
      <c r="ZS459"/>
      <c r="ZT459"/>
      <c r="ZU459"/>
      <c r="ZV459"/>
      <c r="ZW459"/>
      <c r="ZX459"/>
      <c r="ZY459"/>
      <c r="ZZ459" s="52"/>
      <c r="AAA459" s="192"/>
      <c r="AAD459" s="90"/>
      <c r="AAE459" s="519">
        <f t="shared" si="373"/>
        <v>1</v>
      </c>
      <c r="AAF459" s="90"/>
      <c r="AAG459" s="72"/>
      <c r="AAH459" s="73">
        <f t="shared" si="378"/>
        <v>41619</v>
      </c>
      <c r="AAI459" s="72"/>
      <c r="AAJ459" s="72"/>
      <c r="AAK459" s="56"/>
      <c r="AAL459" s="90"/>
    </row>
    <row r="460" spans="1:715" s="23" customFormat="1" ht="15" customHeight="1" outlineLevel="1" thickBot="1">
      <c r="A460" s="171" t="s">
        <v>0</v>
      </c>
      <c r="B460" s="630" t="s">
        <v>488</v>
      </c>
      <c r="C460" s="789" t="str">
        <f>HYPERLINK("\\deqhq1\Rule_Resources\i\AD.STANDARD.docx","i")</f>
        <v>i</v>
      </c>
      <c r="D460" s="380"/>
      <c r="E460" s="342">
        <f t="shared" ref="E460" si="379">NETWORKDAYS(G460,H460,S.DDL_DEQClosed)</f>
        <v>32</v>
      </c>
      <c r="F460" s="457">
        <f t="shared" ref="F460" ca="1" si="380">IF(YEAR(H460)&gt;2000,NETWORKDAYS(TODAY(),H460,S.DDL_DEQClosed),0)</f>
        <v>31</v>
      </c>
      <c r="G460" s="343">
        <f t="shared" ref="G460" si="381">AAG460</f>
        <v>41572</v>
      </c>
      <c r="H460" s="343">
        <f t="shared" si="377"/>
        <v>41619</v>
      </c>
      <c r="I460" s="244"/>
      <c r="J460" s="194"/>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9"/>
      <c r="CD460" s="49"/>
      <c r="CE460" s="49"/>
      <c r="CF460" s="49"/>
      <c r="CG460" s="49"/>
      <c r="CH460" s="49"/>
      <c r="CI460" s="49"/>
      <c r="CJ460" s="49"/>
      <c r="CK460" s="49"/>
      <c r="CL460" s="49"/>
      <c r="CM460" s="49"/>
      <c r="CN460" s="49"/>
      <c r="CO460" s="49"/>
      <c r="CP460" s="49"/>
      <c r="CQ460" s="49"/>
      <c r="CR460" s="49"/>
      <c r="CS460" s="49"/>
      <c r="CT460" s="49"/>
      <c r="CU460" s="49"/>
      <c r="CV460" s="49"/>
      <c r="CW460" s="49"/>
      <c r="CX460" s="49"/>
      <c r="CY460" s="49"/>
      <c r="CZ460" s="49"/>
      <c r="DA460" s="49"/>
      <c r="DB460" s="49"/>
      <c r="DC460" s="49"/>
      <c r="DD460" s="49"/>
      <c r="DE460" s="49"/>
      <c r="DF460" s="49"/>
      <c r="DG460" s="49"/>
      <c r="DH460" s="49"/>
      <c r="DI460" s="49"/>
      <c r="DJ460" s="49"/>
      <c r="DK460" s="49"/>
      <c r="DL460" s="49"/>
      <c r="DM460" s="49"/>
      <c r="DN460" s="49"/>
      <c r="DO460" s="49"/>
      <c r="DP460" s="49"/>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c r="VA460"/>
      <c r="VB460"/>
      <c r="VC460"/>
      <c r="VD460"/>
      <c r="VE460"/>
      <c r="VF460"/>
      <c r="VG460"/>
      <c r="VH460"/>
      <c r="VI460"/>
      <c r="VJ460"/>
      <c r="VK460"/>
      <c r="VL460"/>
      <c r="VM460"/>
      <c r="VN460"/>
      <c r="VO460"/>
      <c r="VP460"/>
      <c r="VQ460"/>
      <c r="VR460"/>
      <c r="VS460"/>
      <c r="VT460"/>
      <c r="VU460"/>
      <c r="VV460"/>
      <c r="VW460"/>
      <c r="VX460"/>
      <c r="VY460"/>
      <c r="VZ460"/>
      <c r="WA460"/>
      <c r="WB460"/>
      <c r="WC460"/>
      <c r="WD460"/>
      <c r="WE460"/>
      <c r="WF460"/>
      <c r="WG460"/>
      <c r="WH460"/>
      <c r="WI460"/>
      <c r="WJ460"/>
      <c r="WK460"/>
      <c r="WL460"/>
      <c r="WM460"/>
      <c r="WN460"/>
      <c r="WO460"/>
      <c r="WP460"/>
      <c r="WQ460"/>
      <c r="WR460"/>
      <c r="WS460"/>
      <c r="WT460"/>
      <c r="WU460"/>
      <c r="WV460"/>
      <c r="WW460"/>
      <c r="WX460"/>
      <c r="WY460"/>
      <c r="WZ460"/>
      <c r="XA460"/>
      <c r="XB460"/>
      <c r="XC460"/>
      <c r="XD460"/>
      <c r="XE460"/>
      <c r="XF460"/>
      <c r="XG460"/>
      <c r="XH460"/>
      <c r="XI460"/>
      <c r="XJ460"/>
      <c r="XK460"/>
      <c r="XL460"/>
      <c r="XM460"/>
      <c r="XN460"/>
      <c r="XO460"/>
      <c r="XP460"/>
      <c r="XQ460"/>
      <c r="XR460"/>
      <c r="XS460"/>
      <c r="XT460"/>
      <c r="XU460"/>
      <c r="XV460"/>
      <c r="XW460"/>
      <c r="XX460"/>
      <c r="XY460"/>
      <c r="XZ460"/>
      <c r="YA460"/>
      <c r="YB460"/>
      <c r="YC460"/>
      <c r="YD460"/>
      <c r="YE460"/>
      <c r="YF460"/>
      <c r="YG460"/>
      <c r="YH460"/>
      <c r="YI460"/>
      <c r="YJ460"/>
      <c r="YK460"/>
      <c r="YL460"/>
      <c r="YM460"/>
      <c r="YN460"/>
      <c r="YO460"/>
      <c r="YP460"/>
      <c r="YQ460"/>
      <c r="YR460"/>
      <c r="YS460"/>
      <c r="YT460"/>
      <c r="YU460"/>
      <c r="YV460"/>
      <c r="YW460"/>
      <c r="YX460"/>
      <c r="YY460"/>
      <c r="YZ460"/>
      <c r="ZA460"/>
      <c r="ZB460"/>
      <c r="ZC460"/>
      <c r="ZD460"/>
      <c r="ZE460"/>
      <c r="ZF460"/>
      <c r="ZG460"/>
      <c r="ZH460"/>
      <c r="ZI460"/>
      <c r="ZJ460"/>
      <c r="ZK460"/>
      <c r="ZL460"/>
      <c r="ZM460"/>
      <c r="ZN460"/>
      <c r="ZO460"/>
      <c r="ZP460"/>
      <c r="ZQ460"/>
      <c r="ZR460"/>
      <c r="ZS460"/>
      <c r="ZT460"/>
      <c r="ZU460"/>
      <c r="ZV460"/>
      <c r="ZW460"/>
      <c r="ZX460"/>
      <c r="ZY460"/>
      <c r="ZZ460" s="52"/>
      <c r="AAA460" s="192"/>
      <c r="AAD460" s="90"/>
      <c r="AAE460" s="519">
        <f t="shared" si="373"/>
        <v>1</v>
      </c>
      <c r="AAF460" s="90"/>
      <c r="AAG460" s="73">
        <f>IF(AAE460=0,,IF(S.Notice.AD.Involved="N",,S.Notice.BANNER.Begin))</f>
        <v>41572</v>
      </c>
      <c r="AAH460" s="73">
        <f t="shared" si="378"/>
        <v>41619</v>
      </c>
      <c r="AAI460" s="72"/>
      <c r="AAJ460" s="72"/>
      <c r="AAK460" s="56"/>
      <c r="AAL460" s="90"/>
    </row>
    <row r="461" spans="1:715" s="23" customFormat="1" ht="15" customHeight="1" outlineLevel="1" thickBot="1">
      <c r="A461" s="171" t="s">
        <v>0</v>
      </c>
      <c r="B461" s="630" t="s">
        <v>489</v>
      </c>
      <c r="C461" s="790" t="str">
        <f>HYPERLINK("\\deqhq1\Rule_Resources\i\AD.LEGAL.docx","i")</f>
        <v>i</v>
      </c>
      <c r="D461" s="380"/>
      <c r="E461" s="342">
        <f t="shared" ref="E461" si="382">NETWORKDAYS(G461,H461,S.DDL_DEQClosed)</f>
        <v>32</v>
      </c>
      <c r="F461" s="457">
        <f t="shared" ref="F461" ca="1" si="383">IF(YEAR(H461)&gt;2000,NETWORKDAYS(TODAY(),H461,S.DDL_DEQClosed),0)</f>
        <v>31</v>
      </c>
      <c r="G461" s="343">
        <f t="shared" ref="G461" si="384">AAG461</f>
        <v>41572</v>
      </c>
      <c r="H461" s="343">
        <f t="shared" si="377"/>
        <v>41619</v>
      </c>
      <c r="I461" s="244"/>
      <c r="J461" s="194"/>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9"/>
      <c r="CD461" s="49"/>
      <c r="CE461" s="49"/>
      <c r="CF461" s="49"/>
      <c r="CG461" s="49"/>
      <c r="CH461" s="49"/>
      <c r="CI461" s="49"/>
      <c r="CJ461" s="49"/>
      <c r="CK461" s="49"/>
      <c r="CL461" s="49"/>
      <c r="CM461" s="49"/>
      <c r="CN461" s="49"/>
      <c r="CO461" s="49"/>
      <c r="CP461" s="49"/>
      <c r="CQ461" s="49"/>
      <c r="CR461" s="49"/>
      <c r="CS461" s="49"/>
      <c r="CT461" s="49"/>
      <c r="CU461" s="49"/>
      <c r="CV461" s="49"/>
      <c r="CW461" s="49"/>
      <c r="CX461" s="49"/>
      <c r="CY461" s="49"/>
      <c r="CZ461" s="49"/>
      <c r="DA461" s="49"/>
      <c r="DB461" s="49"/>
      <c r="DC461" s="49"/>
      <c r="DD461" s="49"/>
      <c r="DE461" s="49"/>
      <c r="DF461" s="49"/>
      <c r="DG461" s="49"/>
      <c r="DH461" s="49"/>
      <c r="DI461" s="49"/>
      <c r="DJ461" s="49"/>
      <c r="DK461" s="49"/>
      <c r="DL461" s="49"/>
      <c r="DM461" s="49"/>
      <c r="DN461" s="49"/>
      <c r="DO461" s="49"/>
      <c r="DP461" s="49"/>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c r="ST461"/>
      <c r="SU461"/>
      <c r="SV461"/>
      <c r="SW461"/>
      <c r="SX461"/>
      <c r="SY461"/>
      <c r="SZ461"/>
      <c r="TA461"/>
      <c r="TB461"/>
      <c r="TC461"/>
      <c r="TD461"/>
      <c r="TE461"/>
      <c r="TF461"/>
      <c r="TG461"/>
      <c r="TH461"/>
      <c r="TI461"/>
      <c r="TJ461"/>
      <c r="TK461"/>
      <c r="TL461"/>
      <c r="TM461"/>
      <c r="TN461"/>
      <c r="TO461"/>
      <c r="TP461"/>
      <c r="TQ461"/>
      <c r="TR461"/>
      <c r="TS461"/>
      <c r="TT461"/>
      <c r="TU461"/>
      <c r="TV461"/>
      <c r="TW461"/>
      <c r="TX461"/>
      <c r="TY461"/>
      <c r="TZ461"/>
      <c r="UA461"/>
      <c r="UB461"/>
      <c r="UC461"/>
      <c r="UD461"/>
      <c r="UE461"/>
      <c r="UF461"/>
      <c r="UG461"/>
      <c r="UH461"/>
      <c r="UI461"/>
      <c r="UJ461"/>
      <c r="UK461"/>
      <c r="UL461"/>
      <c r="UM461"/>
      <c r="UN461"/>
      <c r="UO461"/>
      <c r="UP461"/>
      <c r="UQ461"/>
      <c r="UR461"/>
      <c r="US461"/>
      <c r="UT461"/>
      <c r="UU461"/>
      <c r="UV461"/>
      <c r="UW461"/>
      <c r="UX461"/>
      <c r="UY461"/>
      <c r="UZ461"/>
      <c r="VA461"/>
      <c r="VB461"/>
      <c r="VC461"/>
      <c r="VD461"/>
      <c r="VE461"/>
      <c r="VF461"/>
      <c r="VG461"/>
      <c r="VH461"/>
      <c r="VI461"/>
      <c r="VJ461"/>
      <c r="VK461"/>
      <c r="VL461"/>
      <c r="VM461"/>
      <c r="VN461"/>
      <c r="VO461"/>
      <c r="VP461"/>
      <c r="VQ461"/>
      <c r="VR461"/>
      <c r="VS461"/>
      <c r="VT461"/>
      <c r="VU461"/>
      <c r="VV461"/>
      <c r="VW461"/>
      <c r="VX461"/>
      <c r="VY461"/>
      <c r="VZ461"/>
      <c r="WA461"/>
      <c r="WB461"/>
      <c r="WC461"/>
      <c r="WD461"/>
      <c r="WE461"/>
      <c r="WF461"/>
      <c r="WG461"/>
      <c r="WH461"/>
      <c r="WI461"/>
      <c r="WJ461"/>
      <c r="WK461"/>
      <c r="WL461"/>
      <c r="WM461"/>
      <c r="WN461"/>
      <c r="WO461"/>
      <c r="WP461"/>
      <c r="WQ461"/>
      <c r="WR461"/>
      <c r="WS461"/>
      <c r="WT461"/>
      <c r="WU461"/>
      <c r="WV461"/>
      <c r="WW461"/>
      <c r="WX461"/>
      <c r="WY461"/>
      <c r="WZ461"/>
      <c r="XA461"/>
      <c r="XB461"/>
      <c r="XC461"/>
      <c r="XD461"/>
      <c r="XE461"/>
      <c r="XF461"/>
      <c r="XG461"/>
      <c r="XH461"/>
      <c r="XI461"/>
      <c r="XJ461"/>
      <c r="XK461"/>
      <c r="XL461"/>
      <c r="XM461"/>
      <c r="XN461"/>
      <c r="XO461"/>
      <c r="XP461"/>
      <c r="XQ461"/>
      <c r="XR461"/>
      <c r="XS461"/>
      <c r="XT461"/>
      <c r="XU461"/>
      <c r="XV461"/>
      <c r="XW461"/>
      <c r="XX461"/>
      <c r="XY461"/>
      <c r="XZ461"/>
      <c r="YA461"/>
      <c r="YB461"/>
      <c r="YC461"/>
      <c r="YD461"/>
      <c r="YE461"/>
      <c r="YF461"/>
      <c r="YG461"/>
      <c r="YH461"/>
      <c r="YI461"/>
      <c r="YJ461"/>
      <c r="YK461"/>
      <c r="YL461"/>
      <c r="YM461"/>
      <c r="YN461"/>
      <c r="YO461"/>
      <c r="YP461"/>
      <c r="YQ461"/>
      <c r="YR461"/>
      <c r="YS461"/>
      <c r="YT461"/>
      <c r="YU461"/>
      <c r="YV461"/>
      <c r="YW461"/>
      <c r="YX461"/>
      <c r="YY461"/>
      <c r="YZ461"/>
      <c r="ZA461"/>
      <c r="ZB461"/>
      <c r="ZC461"/>
      <c r="ZD461"/>
      <c r="ZE461"/>
      <c r="ZF461"/>
      <c r="ZG461"/>
      <c r="ZH461"/>
      <c r="ZI461"/>
      <c r="ZJ461"/>
      <c r="ZK461"/>
      <c r="ZL461"/>
      <c r="ZM461"/>
      <c r="ZN461"/>
      <c r="ZO461"/>
      <c r="ZP461"/>
      <c r="ZQ461"/>
      <c r="ZR461"/>
      <c r="ZS461"/>
      <c r="ZT461"/>
      <c r="ZU461"/>
      <c r="ZV461"/>
      <c r="ZW461"/>
      <c r="ZX461"/>
      <c r="ZY461"/>
      <c r="ZZ461" s="52"/>
      <c r="AAA461" s="192" t="s">
        <v>0</v>
      </c>
      <c r="AAD461" s="90"/>
      <c r="AAE461" s="519">
        <f t="shared" si="373"/>
        <v>1</v>
      </c>
      <c r="AAF461" s="90"/>
      <c r="AAG461" s="73">
        <f>IF(AAE461=0,,IF(S.Notice.AD.Involved="N",,S.Notice.BANNER.Begin))</f>
        <v>41572</v>
      </c>
      <c r="AAH461" s="73">
        <f t="shared" si="378"/>
        <v>41619</v>
      </c>
      <c r="AAI461" s="72"/>
      <c r="AAJ461" s="72"/>
      <c r="AAK461" s="56"/>
      <c r="AAL461" s="90"/>
    </row>
    <row r="462" spans="1:715" s="23" customFormat="1" ht="15" customHeight="1" outlineLevel="1">
      <c r="A462" s="171" t="s">
        <v>0</v>
      </c>
      <c r="B462" s="630" t="s">
        <v>413</v>
      </c>
      <c r="D462" s="380"/>
      <c r="E462" s="342">
        <f t="shared" ref="E462" si="385">NETWORKDAYS(G462,H462,S.DDL_DEQClosed)</f>
        <v>32</v>
      </c>
      <c r="F462" s="457">
        <f t="shared" ref="F462" ca="1" si="386">IF(YEAR(H462)&gt;2000,NETWORKDAYS(TODAY(),H462,S.DDL_DEQClosed),0)</f>
        <v>31</v>
      </c>
      <c r="G462" s="343">
        <f t="shared" ref="G462" si="387">AAG462</f>
        <v>41572</v>
      </c>
      <c r="H462" s="343">
        <f t="shared" si="377"/>
        <v>41619</v>
      </c>
      <c r="I462" s="244"/>
      <c r="J462" s="194"/>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9"/>
      <c r="CD462" s="49"/>
      <c r="CE462" s="49"/>
      <c r="CF462" s="49"/>
      <c r="CG462" s="49"/>
      <c r="CH462" s="49"/>
      <c r="CI462" s="49"/>
      <c r="CJ462" s="49"/>
      <c r="CK462" s="49"/>
      <c r="CL462" s="49"/>
      <c r="CM462" s="49"/>
      <c r="CN462" s="49"/>
      <c r="CO462" s="49"/>
      <c r="CP462" s="49"/>
      <c r="CQ462" s="49"/>
      <c r="CR462" s="49"/>
      <c r="CS462" s="49"/>
      <c r="CT462" s="49"/>
      <c r="CU462" s="49"/>
      <c r="CV462" s="49"/>
      <c r="CW462" s="49"/>
      <c r="CX462" s="49"/>
      <c r="CY462" s="49"/>
      <c r="CZ462" s="49"/>
      <c r="DA462" s="49"/>
      <c r="DB462" s="49"/>
      <c r="DC462" s="49"/>
      <c r="DD462" s="49"/>
      <c r="DE462" s="49"/>
      <c r="DF462" s="49"/>
      <c r="DG462" s="49"/>
      <c r="DH462" s="49"/>
      <c r="DI462" s="49"/>
      <c r="DJ462" s="49"/>
      <c r="DK462" s="49"/>
      <c r="DL462" s="49"/>
      <c r="DM462" s="49"/>
      <c r="DN462" s="49"/>
      <c r="DO462" s="49"/>
      <c r="DP462" s="49"/>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c r="ST462"/>
      <c r="SU462"/>
      <c r="SV462"/>
      <c r="SW462"/>
      <c r="SX462"/>
      <c r="SY462"/>
      <c r="SZ462"/>
      <c r="TA462"/>
      <c r="TB462"/>
      <c r="TC462"/>
      <c r="TD462"/>
      <c r="TE462"/>
      <c r="TF462"/>
      <c r="TG462"/>
      <c r="TH462"/>
      <c r="TI462"/>
      <c r="TJ462"/>
      <c r="TK462"/>
      <c r="TL462"/>
      <c r="TM462"/>
      <c r="TN462"/>
      <c r="TO462"/>
      <c r="TP462"/>
      <c r="TQ462"/>
      <c r="TR462"/>
      <c r="TS462"/>
      <c r="TT462"/>
      <c r="TU462"/>
      <c r="TV462"/>
      <c r="TW462"/>
      <c r="TX462"/>
      <c r="TY462"/>
      <c r="TZ462"/>
      <c r="UA462"/>
      <c r="UB462"/>
      <c r="UC462"/>
      <c r="UD462"/>
      <c r="UE462"/>
      <c r="UF462"/>
      <c r="UG462"/>
      <c r="UH462"/>
      <c r="UI462"/>
      <c r="UJ462"/>
      <c r="UK462"/>
      <c r="UL462"/>
      <c r="UM462"/>
      <c r="UN462"/>
      <c r="UO462"/>
      <c r="UP462"/>
      <c r="UQ462"/>
      <c r="UR462"/>
      <c r="US462"/>
      <c r="UT462"/>
      <c r="UU462"/>
      <c r="UV462"/>
      <c r="UW462"/>
      <c r="UX462"/>
      <c r="UY462"/>
      <c r="UZ462"/>
      <c r="VA462"/>
      <c r="VB462"/>
      <c r="VC462"/>
      <c r="VD462"/>
      <c r="VE462"/>
      <c r="VF462"/>
      <c r="VG462"/>
      <c r="VH462"/>
      <c r="VI462"/>
      <c r="VJ462"/>
      <c r="VK462"/>
      <c r="VL462"/>
      <c r="VM462"/>
      <c r="VN462"/>
      <c r="VO462"/>
      <c r="VP462"/>
      <c r="VQ462"/>
      <c r="VR462"/>
      <c r="VS462"/>
      <c r="VT462"/>
      <c r="VU462"/>
      <c r="VV462"/>
      <c r="VW462"/>
      <c r="VX462"/>
      <c r="VY462"/>
      <c r="VZ462"/>
      <c r="WA462"/>
      <c r="WB462"/>
      <c r="WC462"/>
      <c r="WD462"/>
      <c r="WE462"/>
      <c r="WF462"/>
      <c r="WG462"/>
      <c r="WH462"/>
      <c r="WI462"/>
      <c r="WJ462"/>
      <c r="WK462"/>
      <c r="WL462"/>
      <c r="WM462"/>
      <c r="WN462"/>
      <c r="WO462"/>
      <c r="WP462"/>
      <c r="WQ462"/>
      <c r="WR462"/>
      <c r="WS462"/>
      <c r="WT462"/>
      <c r="WU462"/>
      <c r="WV462"/>
      <c r="WW462"/>
      <c r="WX462"/>
      <c r="WY462"/>
      <c r="WZ462"/>
      <c r="XA462"/>
      <c r="XB462"/>
      <c r="XC462"/>
      <c r="XD462"/>
      <c r="XE462"/>
      <c r="XF462"/>
      <c r="XG462"/>
      <c r="XH462"/>
      <c r="XI462"/>
      <c r="XJ462"/>
      <c r="XK462"/>
      <c r="XL462"/>
      <c r="XM462"/>
      <c r="XN462"/>
      <c r="XO462"/>
      <c r="XP462"/>
      <c r="XQ462"/>
      <c r="XR462"/>
      <c r="XS462"/>
      <c r="XT462"/>
      <c r="XU462"/>
      <c r="XV462"/>
      <c r="XW462"/>
      <c r="XX462"/>
      <c r="XY462"/>
      <c r="XZ462"/>
      <c r="YA462"/>
      <c r="YB462"/>
      <c r="YC462"/>
      <c r="YD462"/>
      <c r="YE462"/>
      <c r="YF462"/>
      <c r="YG462"/>
      <c r="YH462"/>
      <c r="YI462"/>
      <c r="YJ462"/>
      <c r="YK462"/>
      <c r="YL462"/>
      <c r="YM462"/>
      <c r="YN462"/>
      <c r="YO462"/>
      <c r="YP462"/>
      <c r="YQ462"/>
      <c r="YR462"/>
      <c r="YS462"/>
      <c r="YT462"/>
      <c r="YU462"/>
      <c r="YV462"/>
      <c r="YW462"/>
      <c r="YX462"/>
      <c r="YY462"/>
      <c r="YZ462"/>
      <c r="ZA462"/>
      <c r="ZB462"/>
      <c r="ZC462"/>
      <c r="ZD462"/>
      <c r="ZE462"/>
      <c r="ZF462"/>
      <c r="ZG462"/>
      <c r="ZH462"/>
      <c r="ZI462"/>
      <c r="ZJ462"/>
      <c r="ZK462"/>
      <c r="ZL462"/>
      <c r="ZM462"/>
      <c r="ZN462"/>
      <c r="ZO462"/>
      <c r="ZP462"/>
      <c r="ZQ462"/>
      <c r="ZR462"/>
      <c r="ZS462"/>
      <c r="ZT462"/>
      <c r="ZU462"/>
      <c r="ZV462"/>
      <c r="ZW462"/>
      <c r="ZX462"/>
      <c r="ZY462"/>
      <c r="ZZ462" s="52"/>
      <c r="AAA462" s="192"/>
      <c r="AAD462" s="90"/>
      <c r="AAE462" s="519">
        <f t="shared" si="373"/>
        <v>1</v>
      </c>
      <c r="AAF462" s="90"/>
      <c r="AAG462" s="73">
        <f>IF(AAE462=0,,IF(S.Notice.AD.Involved="N",,S.Notice.BANNER.Begin))</f>
        <v>41572</v>
      </c>
      <c r="AAH462" s="73">
        <f t="shared" si="378"/>
        <v>41619</v>
      </c>
      <c r="AAI462" s="72"/>
      <c r="AAJ462" s="72"/>
      <c r="AAK462" s="56"/>
      <c r="AAL462" s="90"/>
    </row>
    <row r="463" spans="1:715" s="23" customFormat="1" ht="15" customHeight="1" outlineLevel="1">
      <c r="A463" s="171"/>
      <c r="B463" s="630" t="s">
        <v>421</v>
      </c>
      <c r="C463" s="364"/>
      <c r="D463" s="857" t="s">
        <v>422</v>
      </c>
      <c r="E463" s="857"/>
      <c r="F463" s="857"/>
      <c r="G463" s="858"/>
      <c r="H463" s="343">
        <f t="shared" si="377"/>
        <v>41619</v>
      </c>
      <c r="I463" s="244"/>
      <c r="J463" s="194"/>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9"/>
      <c r="CD463" s="49"/>
      <c r="CE463" s="49"/>
      <c r="CF463" s="49"/>
      <c r="CG463" s="49"/>
      <c r="CH463" s="49"/>
      <c r="CI463" s="49"/>
      <c r="CJ463" s="49"/>
      <c r="CK463" s="49"/>
      <c r="CL463" s="49"/>
      <c r="CM463" s="49"/>
      <c r="CN463" s="49"/>
      <c r="CO463" s="49"/>
      <c r="CP463" s="49"/>
      <c r="CQ463" s="49"/>
      <c r="CR463" s="49"/>
      <c r="CS463" s="49"/>
      <c r="CT463" s="49"/>
      <c r="CU463" s="49"/>
      <c r="CV463" s="49"/>
      <c r="CW463" s="49"/>
      <c r="CX463" s="49"/>
      <c r="CY463" s="49"/>
      <c r="CZ463" s="49"/>
      <c r="DA463" s="49"/>
      <c r="DB463" s="49"/>
      <c r="DC463" s="49"/>
      <c r="DD463" s="49"/>
      <c r="DE463" s="49"/>
      <c r="DF463" s="49"/>
      <c r="DG463" s="49"/>
      <c r="DH463" s="49"/>
      <c r="DI463" s="49"/>
      <c r="DJ463" s="49"/>
      <c r="DK463" s="49"/>
      <c r="DL463" s="49"/>
      <c r="DM463" s="49"/>
      <c r="DN463" s="49"/>
      <c r="DO463" s="49"/>
      <c r="DP463" s="49"/>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c r="ST463"/>
      <c r="SU463"/>
      <c r="SV463"/>
      <c r="SW463"/>
      <c r="SX463"/>
      <c r="SY463"/>
      <c r="SZ463"/>
      <c r="TA463"/>
      <c r="TB463"/>
      <c r="TC463"/>
      <c r="TD463"/>
      <c r="TE463"/>
      <c r="TF463"/>
      <c r="TG463"/>
      <c r="TH463"/>
      <c r="TI463"/>
      <c r="TJ463"/>
      <c r="TK463"/>
      <c r="TL463"/>
      <c r="TM463"/>
      <c r="TN463"/>
      <c r="TO463"/>
      <c r="TP463"/>
      <c r="TQ463"/>
      <c r="TR463"/>
      <c r="TS463"/>
      <c r="TT463"/>
      <c r="TU463"/>
      <c r="TV463"/>
      <c r="TW463"/>
      <c r="TX463"/>
      <c r="TY463"/>
      <c r="TZ463"/>
      <c r="UA463"/>
      <c r="UB463"/>
      <c r="UC463"/>
      <c r="UD463"/>
      <c r="UE463"/>
      <c r="UF463"/>
      <c r="UG463"/>
      <c r="UH463"/>
      <c r="UI463"/>
      <c r="UJ463"/>
      <c r="UK463"/>
      <c r="UL463"/>
      <c r="UM463"/>
      <c r="UN463"/>
      <c r="UO463"/>
      <c r="UP463"/>
      <c r="UQ463"/>
      <c r="UR463"/>
      <c r="US463"/>
      <c r="UT463"/>
      <c r="UU463"/>
      <c r="UV463"/>
      <c r="UW463"/>
      <c r="UX463"/>
      <c r="UY463"/>
      <c r="UZ463"/>
      <c r="VA463"/>
      <c r="VB463"/>
      <c r="VC463"/>
      <c r="VD463"/>
      <c r="VE463"/>
      <c r="VF463"/>
      <c r="VG463"/>
      <c r="VH463"/>
      <c r="VI463"/>
      <c r="VJ463"/>
      <c r="VK463"/>
      <c r="VL463"/>
      <c r="VM463"/>
      <c r="VN463"/>
      <c r="VO463"/>
      <c r="VP463"/>
      <c r="VQ463"/>
      <c r="VR463"/>
      <c r="VS463"/>
      <c r="VT463"/>
      <c r="VU463"/>
      <c r="VV463"/>
      <c r="VW463"/>
      <c r="VX463"/>
      <c r="VY463"/>
      <c r="VZ463"/>
      <c r="WA463"/>
      <c r="WB463"/>
      <c r="WC463"/>
      <c r="WD463"/>
      <c r="WE463"/>
      <c r="WF463"/>
      <c r="WG463"/>
      <c r="WH463"/>
      <c r="WI463"/>
      <c r="WJ463"/>
      <c r="WK463"/>
      <c r="WL463"/>
      <c r="WM463"/>
      <c r="WN463"/>
      <c r="WO463"/>
      <c r="WP463"/>
      <c r="WQ463"/>
      <c r="WR463"/>
      <c r="WS463"/>
      <c r="WT463"/>
      <c r="WU463"/>
      <c r="WV463"/>
      <c r="WW463"/>
      <c r="WX463"/>
      <c r="WY463"/>
      <c r="WZ463"/>
      <c r="XA463"/>
      <c r="XB463"/>
      <c r="XC463"/>
      <c r="XD463"/>
      <c r="XE463"/>
      <c r="XF463"/>
      <c r="XG463"/>
      <c r="XH463"/>
      <c r="XI463"/>
      <c r="XJ463"/>
      <c r="XK463"/>
      <c r="XL463"/>
      <c r="XM463"/>
      <c r="XN463"/>
      <c r="XO463"/>
      <c r="XP463"/>
      <c r="XQ463"/>
      <c r="XR463"/>
      <c r="XS463"/>
      <c r="XT463"/>
      <c r="XU463"/>
      <c r="XV463"/>
      <c r="XW463"/>
      <c r="XX463"/>
      <c r="XY463"/>
      <c r="XZ463"/>
      <c r="YA463"/>
      <c r="YB463"/>
      <c r="YC463"/>
      <c r="YD463"/>
      <c r="YE463"/>
      <c r="YF463"/>
      <c r="YG463"/>
      <c r="YH463"/>
      <c r="YI463"/>
      <c r="YJ463"/>
      <c r="YK463"/>
      <c r="YL463"/>
      <c r="YM463"/>
      <c r="YN463"/>
      <c r="YO463"/>
      <c r="YP463"/>
      <c r="YQ463"/>
      <c r="YR463"/>
      <c r="YS463"/>
      <c r="YT463"/>
      <c r="YU463"/>
      <c r="YV463"/>
      <c r="YW463"/>
      <c r="YX463"/>
      <c r="YY463"/>
      <c r="YZ463"/>
      <c r="ZA463"/>
      <c r="ZB463"/>
      <c r="ZC463"/>
      <c r="ZD463"/>
      <c r="ZE463"/>
      <c r="ZF463"/>
      <c r="ZG463"/>
      <c r="ZH463"/>
      <c r="ZI463"/>
      <c r="ZJ463"/>
      <c r="ZK463"/>
      <c r="ZL463"/>
      <c r="ZM463"/>
      <c r="ZN463"/>
      <c r="ZO463"/>
      <c r="ZP463"/>
      <c r="ZQ463"/>
      <c r="ZR463"/>
      <c r="ZS463"/>
      <c r="ZT463"/>
      <c r="ZU463"/>
      <c r="ZV463"/>
      <c r="ZW463"/>
      <c r="ZX463"/>
      <c r="ZY463"/>
      <c r="ZZ463" s="52"/>
      <c r="AAA463" s="192"/>
      <c r="AAD463" s="90"/>
      <c r="AAE463" s="519">
        <f t="shared" si="373"/>
        <v>1</v>
      </c>
      <c r="AAF463" s="90"/>
      <c r="AAG463" s="61"/>
      <c r="AAH463" s="73">
        <f>IF(AAE463=0,,H462)</f>
        <v>41619</v>
      </c>
      <c r="AAI463" s="72"/>
      <c r="AAJ463" s="72"/>
      <c r="AAK463" s="87"/>
      <c r="AAL463" s="90"/>
    </row>
    <row r="464" spans="1:715" s="23" customFormat="1" ht="15" customHeight="1" outlineLevel="1">
      <c r="A464" s="171" t="s">
        <v>0</v>
      </c>
      <c r="B464" s="630" t="str">
        <f>AAK464</f>
        <v>- shares contents of HearingAndAdDates tab with MargaretMGR</v>
      </c>
      <c r="C464" s="793" t="s">
        <v>53</v>
      </c>
      <c r="D464" s="511"/>
      <c r="E464" s="342">
        <f t="shared" ref="E464" si="388">NETWORKDAYS(G464,H464,S.DDL_DEQClosed)</f>
        <v>32</v>
      </c>
      <c r="F464" s="457">
        <f t="shared" ref="F464" ca="1" si="389">IF(YEAR(H464)&gt;2000,NETWORKDAYS(TODAY(),H464,S.DDL_DEQClosed),0)</f>
        <v>31</v>
      </c>
      <c r="G464" s="343">
        <f t="shared" ref="G464" si="390">AAG464</f>
        <v>41572</v>
      </c>
      <c r="H464" s="343">
        <f t="shared" si="377"/>
        <v>41619</v>
      </c>
      <c r="I464" s="244"/>
      <c r="J464" s="194"/>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9"/>
      <c r="CD464" s="49"/>
      <c r="CE464" s="49"/>
      <c r="CF464" s="49"/>
      <c r="CG464" s="49"/>
      <c r="CH464" s="49"/>
      <c r="CI464" s="49"/>
      <c r="CJ464" s="49"/>
      <c r="CK464" s="49"/>
      <c r="CL464" s="49"/>
      <c r="CM464" s="49"/>
      <c r="CN464" s="49"/>
      <c r="CO464" s="49"/>
      <c r="CP464" s="49"/>
      <c r="CQ464" s="49"/>
      <c r="CR464" s="49"/>
      <c r="CS464" s="49"/>
      <c r="CT464" s="49"/>
      <c r="CU464" s="49"/>
      <c r="CV464" s="49"/>
      <c r="CW464" s="49"/>
      <c r="CX464" s="49"/>
      <c r="CY464" s="49"/>
      <c r="CZ464" s="49"/>
      <c r="DA464" s="49"/>
      <c r="DB464" s="49"/>
      <c r="DC464" s="49"/>
      <c r="DD464" s="49"/>
      <c r="DE464" s="49"/>
      <c r="DF464" s="49"/>
      <c r="DG464" s="49"/>
      <c r="DH464" s="49"/>
      <c r="DI464" s="49"/>
      <c r="DJ464" s="49"/>
      <c r="DK464" s="49"/>
      <c r="DL464" s="49"/>
      <c r="DM464" s="49"/>
      <c r="DN464" s="49"/>
      <c r="DO464" s="49"/>
      <c r="DP464" s="49"/>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c r="ST464"/>
      <c r="SU464"/>
      <c r="SV464"/>
      <c r="SW464"/>
      <c r="SX464"/>
      <c r="SY464"/>
      <c r="SZ464"/>
      <c r="TA464"/>
      <c r="TB464"/>
      <c r="TC464"/>
      <c r="TD464"/>
      <c r="TE464"/>
      <c r="TF464"/>
      <c r="TG464"/>
      <c r="TH464"/>
      <c r="TI464"/>
      <c r="TJ464"/>
      <c r="TK464"/>
      <c r="TL464"/>
      <c r="TM464"/>
      <c r="TN464"/>
      <c r="TO464"/>
      <c r="TP464"/>
      <c r="TQ464"/>
      <c r="TR464"/>
      <c r="TS464"/>
      <c r="TT464"/>
      <c r="TU464"/>
      <c r="TV464"/>
      <c r="TW464"/>
      <c r="TX464"/>
      <c r="TY464"/>
      <c r="TZ464"/>
      <c r="UA464"/>
      <c r="UB464"/>
      <c r="UC464"/>
      <c r="UD464"/>
      <c r="UE464"/>
      <c r="UF464"/>
      <c r="UG464"/>
      <c r="UH464"/>
      <c r="UI464"/>
      <c r="UJ464"/>
      <c r="UK464"/>
      <c r="UL464"/>
      <c r="UM464"/>
      <c r="UN464"/>
      <c r="UO464"/>
      <c r="UP464"/>
      <c r="UQ464"/>
      <c r="UR464"/>
      <c r="US464"/>
      <c r="UT464"/>
      <c r="UU464"/>
      <c r="UV464"/>
      <c r="UW464"/>
      <c r="UX464"/>
      <c r="UY464"/>
      <c r="UZ464"/>
      <c r="VA464"/>
      <c r="VB464"/>
      <c r="VC464"/>
      <c r="VD464"/>
      <c r="VE464"/>
      <c r="VF464"/>
      <c r="VG464"/>
      <c r="VH464"/>
      <c r="VI464"/>
      <c r="VJ464"/>
      <c r="VK464"/>
      <c r="VL464"/>
      <c r="VM464"/>
      <c r="VN464"/>
      <c r="VO464"/>
      <c r="VP464"/>
      <c r="VQ464"/>
      <c r="VR464"/>
      <c r="VS464"/>
      <c r="VT464"/>
      <c r="VU464"/>
      <c r="VV464"/>
      <c r="VW464"/>
      <c r="VX464"/>
      <c r="VY464"/>
      <c r="VZ464"/>
      <c r="WA464"/>
      <c r="WB464"/>
      <c r="WC464"/>
      <c r="WD464"/>
      <c r="WE464"/>
      <c r="WF464"/>
      <c r="WG464"/>
      <c r="WH464"/>
      <c r="WI464"/>
      <c r="WJ464"/>
      <c r="WK464"/>
      <c r="WL464"/>
      <c r="WM464"/>
      <c r="WN464"/>
      <c r="WO464"/>
      <c r="WP464"/>
      <c r="WQ464"/>
      <c r="WR464"/>
      <c r="WS464"/>
      <c r="WT464"/>
      <c r="WU464"/>
      <c r="WV464"/>
      <c r="WW464"/>
      <c r="WX464"/>
      <c r="WY464"/>
      <c r="WZ464"/>
      <c r="XA464"/>
      <c r="XB464"/>
      <c r="XC464"/>
      <c r="XD464"/>
      <c r="XE464"/>
      <c r="XF464"/>
      <c r="XG464"/>
      <c r="XH464"/>
      <c r="XI464"/>
      <c r="XJ464"/>
      <c r="XK464"/>
      <c r="XL464"/>
      <c r="XM464"/>
      <c r="XN464"/>
      <c r="XO464"/>
      <c r="XP464"/>
      <c r="XQ464"/>
      <c r="XR464"/>
      <c r="XS464"/>
      <c r="XT464"/>
      <c r="XU464"/>
      <c r="XV464"/>
      <c r="XW464"/>
      <c r="XX464"/>
      <c r="XY464"/>
      <c r="XZ464"/>
      <c r="YA464"/>
      <c r="YB464"/>
      <c r="YC464"/>
      <c r="YD464"/>
      <c r="YE464"/>
      <c r="YF464"/>
      <c r="YG464"/>
      <c r="YH464"/>
      <c r="YI464"/>
      <c r="YJ464"/>
      <c r="YK464"/>
      <c r="YL464"/>
      <c r="YM464"/>
      <c r="YN464"/>
      <c r="YO464"/>
      <c r="YP464"/>
      <c r="YQ464"/>
      <c r="YR464"/>
      <c r="YS464"/>
      <c r="YT464"/>
      <c r="YU464"/>
      <c r="YV464"/>
      <c r="YW464"/>
      <c r="YX464"/>
      <c r="YY464"/>
      <c r="YZ464"/>
      <c r="ZA464"/>
      <c r="ZB464"/>
      <c r="ZC464"/>
      <c r="ZD464"/>
      <c r="ZE464"/>
      <c r="ZF464"/>
      <c r="ZG464"/>
      <c r="ZH464"/>
      <c r="ZI464"/>
      <c r="ZJ464"/>
      <c r="ZK464"/>
      <c r="ZL464"/>
      <c r="ZM464"/>
      <c r="ZN464"/>
      <c r="ZO464"/>
      <c r="ZP464"/>
      <c r="ZQ464"/>
      <c r="ZR464"/>
      <c r="ZS464"/>
      <c r="ZT464"/>
      <c r="ZU464"/>
      <c r="ZV464"/>
      <c r="ZW464"/>
      <c r="ZX464"/>
      <c r="ZY464"/>
      <c r="ZZ464" s="52"/>
      <c r="AAA464" s="192"/>
      <c r="AAD464" s="90"/>
      <c r="AAE464" s="519">
        <f t="shared" si="373"/>
        <v>1</v>
      </c>
      <c r="AAF464" s="90"/>
      <c r="AAG464" s="73">
        <f>IF(AAE464=0,,IF(S.Notice.AD.Involved="N",,S.Notice.BANNER.Begin))</f>
        <v>41572</v>
      </c>
      <c r="AAH464" s="73">
        <f>IF(AAE464=0,,IF(S.Notice.AD.Involved="N",,WORKDAY(MIN(S.Notice.OpenComment,S.Notice.SubmitToSOS),-2,S.DDL_DEQClosed)))</f>
        <v>41619</v>
      </c>
      <c r="AAI464" s="72"/>
      <c r="AAJ464" s="72"/>
      <c r="AAK464" s="254" t="str">
        <f>"- shares contents of HearingAndAdDates tab with "&amp;S.Staff.Mgr&amp;""</f>
        <v>- shares contents of HearingAndAdDates tab with MargaretMGR</v>
      </c>
      <c r="AAL464" s="90"/>
    </row>
    <row r="465" spans="1:715" s="23" customFormat="1" ht="15" customHeight="1" outlineLevel="1">
      <c r="A465" s="171" t="s">
        <v>0</v>
      </c>
      <c r="B465" s="630" t="str">
        <f>AAK465</f>
        <v>- obtains MargaretMGR's email approval</v>
      </c>
      <c r="C465" s="364"/>
      <c r="D465" s="380"/>
      <c r="E465" s="342">
        <f t="shared" ref="E465" si="391">NETWORKDAYS(G465,H465,S.DDL_DEQClosed)</f>
        <v>32</v>
      </c>
      <c r="F465" s="457">
        <f t="shared" ref="F465" ca="1" si="392">IF(YEAR(H465)&gt;2000,NETWORKDAYS(TODAY(),H465,S.DDL_DEQClosed),0)</f>
        <v>31</v>
      </c>
      <c r="G465" s="343">
        <f t="shared" ref="G465" si="393">AAG465</f>
        <v>41572</v>
      </c>
      <c r="H465" s="343">
        <f t="shared" si="377"/>
        <v>41619</v>
      </c>
      <c r="I465" s="244"/>
      <c r="J465" s="194"/>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9"/>
      <c r="CD465" s="49"/>
      <c r="CE465" s="49"/>
      <c r="CF465" s="49"/>
      <c r="CG465" s="49"/>
      <c r="CH465" s="49"/>
      <c r="CI465" s="49"/>
      <c r="CJ465" s="49"/>
      <c r="CK465" s="49"/>
      <c r="CL465" s="49"/>
      <c r="CM465" s="49"/>
      <c r="CN465" s="49"/>
      <c r="CO465" s="49"/>
      <c r="CP465" s="49"/>
      <c r="CQ465" s="49"/>
      <c r="CR465" s="49"/>
      <c r="CS465" s="49"/>
      <c r="CT465" s="49"/>
      <c r="CU465" s="49"/>
      <c r="CV465" s="49"/>
      <c r="CW465" s="49"/>
      <c r="CX465" s="49"/>
      <c r="CY465" s="49"/>
      <c r="CZ465" s="49"/>
      <c r="DA465" s="49"/>
      <c r="DB465" s="49"/>
      <c r="DC465" s="49"/>
      <c r="DD465" s="49"/>
      <c r="DE465" s="49"/>
      <c r="DF465" s="49"/>
      <c r="DG465" s="49"/>
      <c r="DH465" s="49"/>
      <c r="DI465" s="49"/>
      <c r="DJ465" s="49"/>
      <c r="DK465" s="49"/>
      <c r="DL465" s="49"/>
      <c r="DM465" s="49"/>
      <c r="DN465" s="49"/>
      <c r="DO465" s="49"/>
      <c r="DP465" s="49"/>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c r="ST465"/>
      <c r="SU465"/>
      <c r="SV465"/>
      <c r="SW465"/>
      <c r="SX465"/>
      <c r="SY465"/>
      <c r="SZ465"/>
      <c r="TA465"/>
      <c r="TB465"/>
      <c r="TC465"/>
      <c r="TD465"/>
      <c r="TE465"/>
      <c r="TF465"/>
      <c r="TG465"/>
      <c r="TH465"/>
      <c r="TI465"/>
      <c r="TJ465"/>
      <c r="TK465"/>
      <c r="TL465"/>
      <c r="TM465"/>
      <c r="TN465"/>
      <c r="TO465"/>
      <c r="TP465"/>
      <c r="TQ465"/>
      <c r="TR465"/>
      <c r="TS465"/>
      <c r="TT465"/>
      <c r="TU465"/>
      <c r="TV465"/>
      <c r="TW465"/>
      <c r="TX465"/>
      <c r="TY465"/>
      <c r="TZ465"/>
      <c r="UA465"/>
      <c r="UB465"/>
      <c r="UC465"/>
      <c r="UD465"/>
      <c r="UE465"/>
      <c r="UF465"/>
      <c r="UG465"/>
      <c r="UH465"/>
      <c r="UI465"/>
      <c r="UJ465"/>
      <c r="UK465"/>
      <c r="UL465"/>
      <c r="UM465"/>
      <c r="UN465"/>
      <c r="UO465"/>
      <c r="UP465"/>
      <c r="UQ465"/>
      <c r="UR465"/>
      <c r="US465"/>
      <c r="UT465"/>
      <c r="UU465"/>
      <c r="UV465"/>
      <c r="UW465"/>
      <c r="UX465"/>
      <c r="UY465"/>
      <c r="UZ465"/>
      <c r="VA465"/>
      <c r="VB465"/>
      <c r="VC465"/>
      <c r="VD465"/>
      <c r="VE465"/>
      <c r="VF465"/>
      <c r="VG465"/>
      <c r="VH465"/>
      <c r="VI465"/>
      <c r="VJ465"/>
      <c r="VK465"/>
      <c r="VL465"/>
      <c r="VM465"/>
      <c r="VN465"/>
      <c r="VO465"/>
      <c r="VP465"/>
      <c r="VQ465"/>
      <c r="VR465"/>
      <c r="VS465"/>
      <c r="VT465"/>
      <c r="VU465"/>
      <c r="VV465"/>
      <c r="VW465"/>
      <c r="VX465"/>
      <c r="VY465"/>
      <c r="VZ465"/>
      <c r="WA465"/>
      <c r="WB465"/>
      <c r="WC465"/>
      <c r="WD465"/>
      <c r="WE465"/>
      <c r="WF465"/>
      <c r="WG465"/>
      <c r="WH465"/>
      <c r="WI465"/>
      <c r="WJ465"/>
      <c r="WK465"/>
      <c r="WL465"/>
      <c r="WM465"/>
      <c r="WN465"/>
      <c r="WO465"/>
      <c r="WP465"/>
      <c r="WQ465"/>
      <c r="WR465"/>
      <c r="WS465"/>
      <c r="WT465"/>
      <c r="WU465"/>
      <c r="WV465"/>
      <c r="WW465"/>
      <c r="WX465"/>
      <c r="WY465"/>
      <c r="WZ465"/>
      <c r="XA465"/>
      <c r="XB465"/>
      <c r="XC465"/>
      <c r="XD465"/>
      <c r="XE465"/>
      <c r="XF465"/>
      <c r="XG465"/>
      <c r="XH465"/>
      <c r="XI465"/>
      <c r="XJ465"/>
      <c r="XK465"/>
      <c r="XL465"/>
      <c r="XM465"/>
      <c r="XN465"/>
      <c r="XO465"/>
      <c r="XP465"/>
      <c r="XQ465"/>
      <c r="XR465"/>
      <c r="XS465"/>
      <c r="XT465"/>
      <c r="XU465"/>
      <c r="XV465"/>
      <c r="XW465"/>
      <c r="XX465"/>
      <c r="XY465"/>
      <c r="XZ465"/>
      <c r="YA465"/>
      <c r="YB465"/>
      <c r="YC465"/>
      <c r="YD465"/>
      <c r="YE465"/>
      <c r="YF465"/>
      <c r="YG465"/>
      <c r="YH465"/>
      <c r="YI465"/>
      <c r="YJ465"/>
      <c r="YK465"/>
      <c r="YL465"/>
      <c r="YM465"/>
      <c r="YN465"/>
      <c r="YO465"/>
      <c r="YP465"/>
      <c r="YQ465"/>
      <c r="YR465"/>
      <c r="YS465"/>
      <c r="YT465"/>
      <c r="YU465"/>
      <c r="YV465"/>
      <c r="YW465"/>
      <c r="YX465"/>
      <c r="YY465"/>
      <c r="YZ465"/>
      <c r="ZA465"/>
      <c r="ZB465"/>
      <c r="ZC465"/>
      <c r="ZD465"/>
      <c r="ZE465"/>
      <c r="ZF465"/>
      <c r="ZG465"/>
      <c r="ZH465"/>
      <c r="ZI465"/>
      <c r="ZJ465"/>
      <c r="ZK465"/>
      <c r="ZL465"/>
      <c r="ZM465"/>
      <c r="ZN465"/>
      <c r="ZO465"/>
      <c r="ZP465"/>
      <c r="ZQ465"/>
      <c r="ZR465"/>
      <c r="ZS465"/>
      <c r="ZT465"/>
      <c r="ZU465"/>
      <c r="ZV465"/>
      <c r="ZW465"/>
      <c r="ZX465"/>
      <c r="ZY465"/>
      <c r="ZZ465" s="52"/>
      <c r="AAA465" s="192"/>
      <c r="AAD465" s="90"/>
      <c r="AAE465" s="519">
        <f t="shared" si="373"/>
        <v>1</v>
      </c>
      <c r="AAF465" s="90"/>
      <c r="AAG465" s="73">
        <f>IF(AAE465=0,,IF(S.Notice.AD.Involved="N",,S.Notice.BANNER.Begin))</f>
        <v>41572</v>
      </c>
      <c r="AAH465" s="73">
        <f>IF(AAE465=0,,IF(S.Notice.AD.Involved="N",,WORKDAY(MIN(S.Notice.OpenComment,S.Notice.SubmitToSOS),-2,S.DDL_DEQClosed)))</f>
        <v>41619</v>
      </c>
      <c r="AAI465" s="72"/>
      <c r="AAJ465" s="72"/>
      <c r="AAK465" s="254" t="str">
        <f>"- obtains "&amp;S.Staff.Mgr&amp;"'s email approval"</f>
        <v>- obtains MargaretMGR's email approval</v>
      </c>
      <c r="AAL465" s="90"/>
    </row>
    <row r="466" spans="1:715" ht="15" customHeight="1" outlineLevel="1">
      <c r="A466" s="171"/>
      <c r="B466" s="304" t="s">
        <v>290</v>
      </c>
      <c r="C466" s="364"/>
      <c r="D466" s="380"/>
      <c r="E466" s="342">
        <f t="shared" si="371"/>
        <v>32</v>
      </c>
      <c r="F466" s="457">
        <f t="shared" ref="F466" ca="1" si="394">IF(YEAR(H466)&gt;2000,NETWORKDAYS(TODAY(),H466,S.DDL_DEQClosed),0)</f>
        <v>31</v>
      </c>
      <c r="G466" s="343">
        <f t="shared" si="333"/>
        <v>41572</v>
      </c>
      <c r="H466" s="343">
        <f t="shared" si="377"/>
        <v>41619</v>
      </c>
      <c r="I466" s="244"/>
      <c r="J466" s="194"/>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9"/>
      <c r="CD466" s="49"/>
      <c r="CE466" s="49"/>
      <c r="CF466" s="49"/>
      <c r="CG466" s="49"/>
      <c r="CH466" s="49"/>
      <c r="CI466" s="49"/>
      <c r="CJ466" s="49"/>
      <c r="CK466" s="49"/>
      <c r="CL466" s="49"/>
      <c r="CM466" s="49"/>
      <c r="CN466" s="49"/>
      <c r="CO466" s="49"/>
      <c r="CP466" s="49"/>
      <c r="CQ466" s="49"/>
      <c r="CR466" s="49"/>
      <c r="CS466" s="49"/>
      <c r="CT466" s="49"/>
      <c r="CU466" s="49"/>
      <c r="CV466" s="49"/>
      <c r="CW466" s="49"/>
      <c r="CX466" s="49"/>
      <c r="CY466" s="49"/>
      <c r="CZ466" s="49"/>
      <c r="DA466" s="49"/>
      <c r="DB466" s="49"/>
      <c r="DC466" s="49"/>
      <c r="DD466" s="49"/>
      <c r="DE466" s="49"/>
      <c r="DF466" s="49"/>
      <c r="DG466" s="49"/>
      <c r="DH466" s="49"/>
      <c r="DI466" s="49"/>
      <c r="DJ466" s="49"/>
      <c r="DK466" s="49"/>
      <c r="DL466" s="49"/>
      <c r="DM466" s="49"/>
      <c r="DN466" s="49"/>
      <c r="DO466" s="49"/>
      <c r="DP466" s="49"/>
      <c r="AAA466" s="192"/>
      <c r="AAD466" s="90"/>
      <c r="AAE466" s="519">
        <f>IF(S.Hearing.1stInvolve="Y",1,0)</f>
        <v>1</v>
      </c>
      <c r="AAF466" s="90"/>
      <c r="AAG466" s="73">
        <f>IF(AAE466=0,,S.Notice.BANNER.Begin)</f>
        <v>41572</v>
      </c>
      <c r="AAH466" s="73">
        <f>IF(AAE466=0,,WORKDAY(MAX(S.Notice.OpenComment,S.Notice.SubmitToSOS),-2,S.DDL_DEQClosed))</f>
        <v>41619</v>
      </c>
      <c r="AAI466" s="72"/>
      <c r="AAJ466" s="72"/>
      <c r="AAK466" s="56"/>
      <c r="AAL466" s="90"/>
      <c r="AAM466"/>
    </row>
    <row r="467" spans="1:715" s="23" customFormat="1" ht="15" customHeight="1" outlineLevel="1">
      <c r="A467" s="171"/>
      <c r="B467" s="304" t="s">
        <v>366</v>
      </c>
      <c r="C467" s="789" t="str">
        <f>HYPERLINK("\\deqhq1\Rule_Resources\i\EMAIL.Preview.docx","i")</f>
        <v>i</v>
      </c>
      <c r="D467" s="380"/>
      <c r="E467" s="342">
        <f t="shared" ref="E467" si="395">NETWORKDAYS(G467,H467,S.DDL_DEQClosed)</f>
        <v>15</v>
      </c>
      <c r="F467" s="457">
        <f t="shared" ref="F467" ca="1" si="396">IF(YEAR(H467)&gt;2000,NETWORKDAYS(TODAY(),H467,S.DDL_DEQClosed),0)</f>
        <v>14</v>
      </c>
      <c r="G467" s="343">
        <f t="shared" ref="G467" si="397">AAG467</f>
        <v>41572</v>
      </c>
      <c r="H467" s="343">
        <f t="shared" ref="H467" si="398">AAH467</f>
        <v>41593</v>
      </c>
      <c r="I467" s="244"/>
      <c r="J467" s="194"/>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49"/>
      <c r="CN467" s="49"/>
      <c r="CO467" s="49"/>
      <c r="CP467" s="49"/>
      <c r="CQ467" s="49"/>
      <c r="CR467" s="49"/>
      <c r="CS467" s="49"/>
      <c r="CT467" s="49"/>
      <c r="CU467" s="49"/>
      <c r="CV467" s="49"/>
      <c r="CW467" s="49"/>
      <c r="CX467" s="49"/>
      <c r="CY467" s="49"/>
      <c r="CZ467" s="49"/>
      <c r="DA467" s="49"/>
      <c r="DB467" s="49"/>
      <c r="DC467" s="49"/>
      <c r="DD467" s="49"/>
      <c r="DE467" s="49"/>
      <c r="DF467" s="49"/>
      <c r="DG467" s="49"/>
      <c r="DH467" s="49"/>
      <c r="DI467" s="49"/>
      <c r="DJ467" s="49"/>
      <c r="DK467" s="49"/>
      <c r="DL467" s="49"/>
      <c r="DM467" s="49"/>
      <c r="DN467" s="49"/>
      <c r="DO467" s="49"/>
      <c r="DP467" s="49"/>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c r="ST467"/>
      <c r="SU467"/>
      <c r="SV467"/>
      <c r="SW467"/>
      <c r="SX467"/>
      <c r="SY467"/>
      <c r="SZ467"/>
      <c r="TA467"/>
      <c r="TB467"/>
      <c r="TC467"/>
      <c r="TD467"/>
      <c r="TE467"/>
      <c r="TF467"/>
      <c r="TG467"/>
      <c r="TH467"/>
      <c r="TI467"/>
      <c r="TJ467"/>
      <c r="TK467"/>
      <c r="TL467"/>
      <c r="TM467"/>
      <c r="TN467"/>
      <c r="TO467"/>
      <c r="TP467"/>
      <c r="TQ467"/>
      <c r="TR467"/>
      <c r="TS467"/>
      <c r="TT467"/>
      <c r="TU467"/>
      <c r="TV467"/>
      <c r="TW467"/>
      <c r="TX467"/>
      <c r="TY467"/>
      <c r="TZ467"/>
      <c r="UA467"/>
      <c r="UB467"/>
      <c r="UC467"/>
      <c r="UD467"/>
      <c r="UE467"/>
      <c r="UF467"/>
      <c r="UG467"/>
      <c r="UH467"/>
      <c r="UI467"/>
      <c r="UJ467"/>
      <c r="UK467"/>
      <c r="UL467"/>
      <c r="UM467"/>
      <c r="UN467"/>
      <c r="UO467"/>
      <c r="UP467"/>
      <c r="UQ467"/>
      <c r="UR467"/>
      <c r="US467"/>
      <c r="UT467"/>
      <c r="UU467"/>
      <c r="UV467"/>
      <c r="UW467"/>
      <c r="UX467"/>
      <c r="UY467"/>
      <c r="UZ467"/>
      <c r="VA467"/>
      <c r="VB467"/>
      <c r="VC467"/>
      <c r="VD467"/>
      <c r="VE467"/>
      <c r="VF467"/>
      <c r="VG467"/>
      <c r="VH467"/>
      <c r="VI467"/>
      <c r="VJ467"/>
      <c r="VK467"/>
      <c r="VL467"/>
      <c r="VM467"/>
      <c r="VN467"/>
      <c r="VO467"/>
      <c r="VP467"/>
      <c r="VQ467"/>
      <c r="VR467"/>
      <c r="VS467"/>
      <c r="VT467"/>
      <c r="VU467"/>
      <c r="VV467"/>
      <c r="VW467"/>
      <c r="VX467"/>
      <c r="VY467"/>
      <c r="VZ467"/>
      <c r="WA467"/>
      <c r="WB467"/>
      <c r="WC467"/>
      <c r="WD467"/>
      <c r="WE467"/>
      <c r="WF467"/>
      <c r="WG467"/>
      <c r="WH467"/>
      <c r="WI467"/>
      <c r="WJ467"/>
      <c r="WK467"/>
      <c r="WL467"/>
      <c r="WM467"/>
      <c r="WN467"/>
      <c r="WO467"/>
      <c r="WP467"/>
      <c r="WQ467"/>
      <c r="WR467"/>
      <c r="WS467"/>
      <c r="WT467"/>
      <c r="WU467"/>
      <c r="WV467"/>
      <c r="WW467"/>
      <c r="WX467"/>
      <c r="WY467"/>
      <c r="WZ467"/>
      <c r="XA467"/>
      <c r="XB467"/>
      <c r="XC467"/>
      <c r="XD467"/>
      <c r="XE467"/>
      <c r="XF467"/>
      <c r="XG467"/>
      <c r="XH467"/>
      <c r="XI467"/>
      <c r="XJ467"/>
      <c r="XK467"/>
      <c r="XL467"/>
      <c r="XM467"/>
      <c r="XN467"/>
      <c r="XO467"/>
      <c r="XP467"/>
      <c r="XQ467"/>
      <c r="XR467"/>
      <c r="XS467"/>
      <c r="XT467"/>
      <c r="XU467"/>
      <c r="XV467"/>
      <c r="XW467"/>
      <c r="XX467"/>
      <c r="XY467"/>
      <c r="XZ467"/>
      <c r="YA467"/>
      <c r="YB467"/>
      <c r="YC467"/>
      <c r="YD467"/>
      <c r="YE467"/>
      <c r="YF467"/>
      <c r="YG467"/>
      <c r="YH467"/>
      <c r="YI467"/>
      <c r="YJ467"/>
      <c r="YK467"/>
      <c r="YL467"/>
      <c r="YM467"/>
      <c r="YN467"/>
      <c r="YO467"/>
      <c r="YP467"/>
      <c r="YQ467"/>
      <c r="YR467"/>
      <c r="YS467"/>
      <c r="YT467"/>
      <c r="YU467"/>
      <c r="YV467"/>
      <c r="YW467"/>
      <c r="YX467"/>
      <c r="YY467"/>
      <c r="YZ467"/>
      <c r="ZA467"/>
      <c r="ZB467"/>
      <c r="ZC467"/>
      <c r="ZD467"/>
      <c r="ZE467"/>
      <c r="ZF467"/>
      <c r="ZG467"/>
      <c r="ZH467"/>
      <c r="ZI467"/>
      <c r="ZJ467"/>
      <c r="ZK467"/>
      <c r="ZL467"/>
      <c r="ZM467"/>
      <c r="ZN467"/>
      <c r="ZO467"/>
      <c r="ZP467"/>
      <c r="ZQ467"/>
      <c r="ZR467"/>
      <c r="ZS467"/>
      <c r="ZT467"/>
      <c r="ZU467"/>
      <c r="ZV467"/>
      <c r="ZW467"/>
      <c r="ZX467"/>
      <c r="ZY467"/>
      <c r="ZZ467" s="52"/>
      <c r="AAA467" s="192"/>
      <c r="AAD467" s="90"/>
      <c r="AAE467" s="519">
        <f t="shared" ref="AAE467:AAE490" si="399">IF(S.Notice.Involved="Y",1,0)</f>
        <v>1</v>
      </c>
      <c r="AAF467" s="90"/>
      <c r="AAG467" s="73">
        <f>IF(AAE467=0,,S.Notice.BANNER.Begin)</f>
        <v>41572</v>
      </c>
      <c r="AAH467" s="73">
        <f>IF(AAE467=0,,WORKDAY(S.Notice.PreviewBegin-1,-1,S.DDL_DEQClosed))</f>
        <v>41593</v>
      </c>
      <c r="AAI467" s="72"/>
      <c r="AAJ467" s="72"/>
      <c r="AAK467" s="56"/>
      <c r="AAL467" s="90"/>
    </row>
    <row r="468" spans="1:715" s="23" customFormat="1" ht="15" customHeight="1" outlineLevel="1">
      <c r="A468" s="171"/>
      <c r="B468" s="640" t="s">
        <v>359</v>
      </c>
      <c r="C468" s="376" t="s">
        <v>0</v>
      </c>
      <c r="D468"/>
      <c r="E468"/>
      <c r="F468"/>
      <c r="G468"/>
      <c r="H468"/>
      <c r="I468" s="244"/>
      <c r="J468" s="194"/>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9"/>
      <c r="CD468" s="49"/>
      <c r="CE468" s="49"/>
      <c r="CF468" s="49"/>
      <c r="CG468" s="49"/>
      <c r="CH468" s="49"/>
      <c r="CI468" s="49"/>
      <c r="CJ468" s="49"/>
      <c r="CK468" s="49"/>
      <c r="CL468" s="49"/>
      <c r="CM468" s="49"/>
      <c r="CN468" s="49"/>
      <c r="CO468" s="49"/>
      <c r="CP468" s="49"/>
      <c r="CQ468" s="49"/>
      <c r="CR468" s="49"/>
      <c r="CS468" s="49"/>
      <c r="CT468" s="49"/>
      <c r="CU468" s="49"/>
      <c r="CV468" s="49"/>
      <c r="CW468" s="49"/>
      <c r="CX468" s="49"/>
      <c r="CY468" s="49"/>
      <c r="CZ468" s="49"/>
      <c r="DA468" s="49"/>
      <c r="DB468" s="49"/>
      <c r="DC468" s="49"/>
      <c r="DD468" s="49"/>
      <c r="DE468" s="49"/>
      <c r="DF468" s="49"/>
      <c r="DG468" s="49"/>
      <c r="DH468" s="49"/>
      <c r="DI468" s="49"/>
      <c r="DJ468" s="49"/>
      <c r="DK468" s="49"/>
      <c r="DL468" s="49"/>
      <c r="DM468" s="49"/>
      <c r="DN468" s="49"/>
      <c r="DO468" s="49"/>
      <c r="DP468" s="49"/>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c r="ST468"/>
      <c r="SU468"/>
      <c r="SV468"/>
      <c r="SW468"/>
      <c r="SX468"/>
      <c r="SY468"/>
      <c r="SZ468"/>
      <c r="TA468"/>
      <c r="TB468"/>
      <c r="TC468"/>
      <c r="TD468"/>
      <c r="TE468"/>
      <c r="TF468"/>
      <c r="TG468"/>
      <c r="TH468"/>
      <c r="TI468"/>
      <c r="TJ468"/>
      <c r="TK468"/>
      <c r="TL468"/>
      <c r="TM468"/>
      <c r="TN468"/>
      <c r="TO468"/>
      <c r="TP468"/>
      <c r="TQ468"/>
      <c r="TR468"/>
      <c r="TS468"/>
      <c r="TT468"/>
      <c r="TU468"/>
      <c r="TV468"/>
      <c r="TW468"/>
      <c r="TX468"/>
      <c r="TY468"/>
      <c r="TZ468"/>
      <c r="UA468"/>
      <c r="UB468"/>
      <c r="UC468"/>
      <c r="UD468"/>
      <c r="UE468"/>
      <c r="UF468"/>
      <c r="UG468"/>
      <c r="UH468"/>
      <c r="UI468"/>
      <c r="UJ468"/>
      <c r="UK468"/>
      <c r="UL468"/>
      <c r="UM468"/>
      <c r="UN468"/>
      <c r="UO468"/>
      <c r="UP468"/>
      <c r="UQ468"/>
      <c r="UR468"/>
      <c r="US468"/>
      <c r="UT468"/>
      <c r="UU468"/>
      <c r="UV468"/>
      <c r="UW468"/>
      <c r="UX468"/>
      <c r="UY468"/>
      <c r="UZ468"/>
      <c r="VA468"/>
      <c r="VB468"/>
      <c r="VC468"/>
      <c r="VD468"/>
      <c r="VE468"/>
      <c r="VF468"/>
      <c r="VG468"/>
      <c r="VH468"/>
      <c r="VI468"/>
      <c r="VJ468"/>
      <c r="VK468"/>
      <c r="VL468"/>
      <c r="VM468"/>
      <c r="VN468"/>
      <c r="VO468"/>
      <c r="VP468"/>
      <c r="VQ468"/>
      <c r="VR468"/>
      <c r="VS468"/>
      <c r="VT468"/>
      <c r="VU468"/>
      <c r="VV468"/>
      <c r="VW468"/>
      <c r="VX468"/>
      <c r="VY468"/>
      <c r="VZ468"/>
      <c r="WA468"/>
      <c r="WB468"/>
      <c r="WC468"/>
      <c r="WD468"/>
      <c r="WE468"/>
      <c r="WF468"/>
      <c r="WG468"/>
      <c r="WH468"/>
      <c r="WI468"/>
      <c r="WJ468"/>
      <c r="WK468"/>
      <c r="WL468"/>
      <c r="WM468"/>
      <c r="WN468"/>
      <c r="WO468"/>
      <c r="WP468"/>
      <c r="WQ468"/>
      <c r="WR468"/>
      <c r="WS468"/>
      <c r="WT468"/>
      <c r="WU468"/>
      <c r="WV468"/>
      <c r="WW468"/>
      <c r="WX468"/>
      <c r="WY468"/>
      <c r="WZ468"/>
      <c r="XA468"/>
      <c r="XB468"/>
      <c r="XC468"/>
      <c r="XD468"/>
      <c r="XE468"/>
      <c r="XF468"/>
      <c r="XG468"/>
      <c r="XH468"/>
      <c r="XI468"/>
      <c r="XJ468"/>
      <c r="XK468"/>
      <c r="XL468"/>
      <c r="XM468"/>
      <c r="XN468"/>
      <c r="XO468"/>
      <c r="XP468"/>
      <c r="XQ468"/>
      <c r="XR468"/>
      <c r="XS468"/>
      <c r="XT468"/>
      <c r="XU468"/>
      <c r="XV468"/>
      <c r="XW468"/>
      <c r="XX468"/>
      <c r="XY468"/>
      <c r="XZ468"/>
      <c r="YA468"/>
      <c r="YB468"/>
      <c r="YC468"/>
      <c r="YD468"/>
      <c r="YE468"/>
      <c r="YF468"/>
      <c r="YG468"/>
      <c r="YH468"/>
      <c r="YI468"/>
      <c r="YJ468"/>
      <c r="YK468"/>
      <c r="YL468"/>
      <c r="YM468"/>
      <c r="YN468"/>
      <c r="YO468"/>
      <c r="YP468"/>
      <c r="YQ468"/>
      <c r="YR468"/>
      <c r="YS468"/>
      <c r="YT468"/>
      <c r="YU468"/>
      <c r="YV468"/>
      <c r="YW468"/>
      <c r="YX468"/>
      <c r="YY468"/>
      <c r="YZ468"/>
      <c r="ZA468"/>
      <c r="ZB468"/>
      <c r="ZC468"/>
      <c r="ZD468"/>
      <c r="ZE468"/>
      <c r="ZF468"/>
      <c r="ZG468"/>
      <c r="ZH468"/>
      <c r="ZI468"/>
      <c r="ZJ468"/>
      <c r="ZK468"/>
      <c r="ZL468"/>
      <c r="ZM468"/>
      <c r="ZN468"/>
      <c r="ZO468"/>
      <c r="ZP468"/>
      <c r="ZQ468"/>
      <c r="ZR468"/>
      <c r="ZS468"/>
      <c r="ZT468"/>
      <c r="ZU468"/>
      <c r="ZV468"/>
      <c r="ZW468"/>
      <c r="ZX468"/>
      <c r="ZY468"/>
      <c r="ZZ468" s="52"/>
      <c r="AAA468" s="192"/>
      <c r="AAD468" s="90"/>
      <c r="AAE468" s="519">
        <f t="shared" si="399"/>
        <v>1</v>
      </c>
      <c r="AAF468" s="190" t="s">
        <v>52</v>
      </c>
      <c r="AAG468" s="72"/>
      <c r="AAH468" s="72"/>
      <c r="AAI468" s="72"/>
      <c r="AAJ468" s="72"/>
      <c r="AAK468" s="87"/>
      <c r="AAL468" s="90"/>
    </row>
    <row r="469" spans="1:715" s="23" customFormat="1" ht="15" customHeight="1" outlineLevel="1" thickBot="1">
      <c r="A469" s="171"/>
      <c r="B469" s="472" t="s">
        <v>299</v>
      </c>
      <c r="D469" s="390"/>
      <c r="E469" s="350"/>
      <c r="F469" s="350"/>
      <c r="G469" s="391"/>
      <c r="H469" s="392"/>
      <c r="I469" s="244"/>
      <c r="J469" s="194"/>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9"/>
      <c r="CD469" s="49"/>
      <c r="CE469" s="49"/>
      <c r="CF469" s="49"/>
      <c r="CG469" s="49"/>
      <c r="CH469" s="49"/>
      <c r="CI469" s="49"/>
      <c r="CJ469" s="49"/>
      <c r="CK469" s="49"/>
      <c r="CL469" s="49"/>
      <c r="CM469" s="49"/>
      <c r="CN469" s="49"/>
      <c r="CO469" s="49"/>
      <c r="CP469" s="49"/>
      <c r="CQ469" s="49"/>
      <c r="CR469" s="49"/>
      <c r="CS469" s="49"/>
      <c r="CT469" s="49"/>
      <c r="CU469" s="49"/>
      <c r="CV469" s="49"/>
      <c r="CW469" s="49"/>
      <c r="CX469" s="49"/>
      <c r="CY469" s="49"/>
      <c r="CZ469" s="49"/>
      <c r="DA469" s="49"/>
      <c r="DB469" s="49"/>
      <c r="DC469" s="49"/>
      <c r="DD469" s="49"/>
      <c r="DE469" s="49"/>
      <c r="DF469" s="49"/>
      <c r="DG469" s="49"/>
      <c r="DH469" s="49"/>
      <c r="DI469" s="49"/>
      <c r="DJ469" s="49"/>
      <c r="DK469" s="49"/>
      <c r="DL469" s="49"/>
      <c r="DM469" s="49"/>
      <c r="DN469" s="49"/>
      <c r="DO469" s="49"/>
      <c r="DP469" s="4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c r="ST469"/>
      <c r="SU469"/>
      <c r="SV469"/>
      <c r="SW469"/>
      <c r="SX469"/>
      <c r="SY469"/>
      <c r="SZ469"/>
      <c r="TA469"/>
      <c r="TB469"/>
      <c r="TC469"/>
      <c r="TD469"/>
      <c r="TE469"/>
      <c r="TF469"/>
      <c r="TG469"/>
      <c r="TH469"/>
      <c r="TI469"/>
      <c r="TJ469"/>
      <c r="TK469"/>
      <c r="TL469"/>
      <c r="TM469"/>
      <c r="TN469"/>
      <c r="TO469"/>
      <c r="TP469"/>
      <c r="TQ469"/>
      <c r="TR469"/>
      <c r="TS469"/>
      <c r="TT469"/>
      <c r="TU469"/>
      <c r="TV469"/>
      <c r="TW469"/>
      <c r="TX469"/>
      <c r="TY469"/>
      <c r="TZ469"/>
      <c r="UA469"/>
      <c r="UB469"/>
      <c r="UC469"/>
      <c r="UD469"/>
      <c r="UE469"/>
      <c r="UF469"/>
      <c r="UG469"/>
      <c r="UH469"/>
      <c r="UI469"/>
      <c r="UJ469"/>
      <c r="UK469"/>
      <c r="UL469"/>
      <c r="UM469"/>
      <c r="UN469"/>
      <c r="UO469"/>
      <c r="UP469"/>
      <c r="UQ469"/>
      <c r="UR469"/>
      <c r="US469"/>
      <c r="UT469"/>
      <c r="UU469"/>
      <c r="UV469"/>
      <c r="UW469"/>
      <c r="UX469"/>
      <c r="UY469"/>
      <c r="UZ469"/>
      <c r="VA469"/>
      <c r="VB469"/>
      <c r="VC469"/>
      <c r="VD469"/>
      <c r="VE469"/>
      <c r="VF469"/>
      <c r="VG469"/>
      <c r="VH469"/>
      <c r="VI469"/>
      <c r="VJ469"/>
      <c r="VK469"/>
      <c r="VL469"/>
      <c r="VM469"/>
      <c r="VN469"/>
      <c r="VO469"/>
      <c r="VP469"/>
      <c r="VQ469"/>
      <c r="VR469"/>
      <c r="VS469"/>
      <c r="VT469"/>
      <c r="VU469"/>
      <c r="VV469"/>
      <c r="VW469"/>
      <c r="VX469"/>
      <c r="VY469"/>
      <c r="VZ469"/>
      <c r="WA469"/>
      <c r="WB469"/>
      <c r="WC469"/>
      <c r="WD469"/>
      <c r="WE469"/>
      <c r="WF469"/>
      <c r="WG469"/>
      <c r="WH469"/>
      <c r="WI469"/>
      <c r="WJ469"/>
      <c r="WK469"/>
      <c r="WL469"/>
      <c r="WM469"/>
      <c r="WN469"/>
      <c r="WO469"/>
      <c r="WP469"/>
      <c r="WQ469"/>
      <c r="WR469"/>
      <c r="WS469"/>
      <c r="WT469"/>
      <c r="WU469"/>
      <c r="WV469"/>
      <c r="WW469"/>
      <c r="WX469"/>
      <c r="WY469"/>
      <c r="WZ469"/>
      <c r="XA469"/>
      <c r="XB469"/>
      <c r="XC469"/>
      <c r="XD469"/>
      <c r="XE469"/>
      <c r="XF469"/>
      <c r="XG469"/>
      <c r="XH469"/>
      <c r="XI469"/>
      <c r="XJ469"/>
      <c r="XK469"/>
      <c r="XL469"/>
      <c r="XM469"/>
      <c r="XN469"/>
      <c r="XO469"/>
      <c r="XP469"/>
      <c r="XQ469"/>
      <c r="XR469"/>
      <c r="XS469"/>
      <c r="XT469"/>
      <c r="XU469"/>
      <c r="XV469"/>
      <c r="XW469"/>
      <c r="XX469"/>
      <c r="XY469"/>
      <c r="XZ469"/>
      <c r="YA469"/>
      <c r="YB469"/>
      <c r="YC469"/>
      <c r="YD469"/>
      <c r="YE469"/>
      <c r="YF469"/>
      <c r="YG469"/>
      <c r="YH469"/>
      <c r="YI469"/>
      <c r="YJ469"/>
      <c r="YK469"/>
      <c r="YL469"/>
      <c r="YM469"/>
      <c r="YN469"/>
      <c r="YO469"/>
      <c r="YP469"/>
      <c r="YQ469"/>
      <c r="YR469"/>
      <c r="YS469"/>
      <c r="YT469"/>
      <c r="YU469"/>
      <c r="YV469"/>
      <c r="YW469"/>
      <c r="YX469"/>
      <c r="YY469"/>
      <c r="YZ469"/>
      <c r="ZA469"/>
      <c r="ZB469"/>
      <c r="ZC469"/>
      <c r="ZD469"/>
      <c r="ZE469"/>
      <c r="ZF469"/>
      <c r="ZG469"/>
      <c r="ZH469"/>
      <c r="ZI469"/>
      <c r="ZJ469"/>
      <c r="ZK469"/>
      <c r="ZL469"/>
      <c r="ZM469"/>
      <c r="ZN469"/>
      <c r="ZO469"/>
      <c r="ZP469"/>
      <c r="ZQ469"/>
      <c r="ZR469"/>
      <c r="ZS469"/>
      <c r="ZT469"/>
      <c r="ZU469"/>
      <c r="ZV469"/>
      <c r="ZW469"/>
      <c r="ZX469"/>
      <c r="ZY469"/>
      <c r="ZZ469" s="52"/>
      <c r="AAA469" s="192"/>
      <c r="AAD469" s="90"/>
      <c r="AAE469" s="519">
        <f t="shared" si="399"/>
        <v>1</v>
      </c>
      <c r="AAF469" s="190" t="s">
        <v>52</v>
      </c>
      <c r="AAG469" s="60" t="s">
        <v>0</v>
      </c>
      <c r="AAH469" s="60" t="s">
        <v>0</v>
      </c>
      <c r="AAI469" s="60"/>
      <c r="AAJ469" s="56"/>
      <c r="AAK469" s="87" t="s">
        <v>0</v>
      </c>
      <c r="AAL469" s="90"/>
    </row>
    <row r="470" spans="1:715" s="23" customFormat="1" ht="15" customHeight="1" outlineLevel="1" thickBot="1">
      <c r="A470" s="171"/>
      <c r="B470" s="631" t="s">
        <v>298</v>
      </c>
      <c r="C470" s="790" t="str">
        <f>HYPERLINK("http://www.oregonlaws.org/ors/183.335","i")</f>
        <v>i</v>
      </c>
      <c r="D470" s="380"/>
      <c r="E470" s="342">
        <f t="shared" ref="E470" si="400">NETWORKDAYS(G470,H470,S.DDL_DEQClosed)</f>
        <v>32</v>
      </c>
      <c r="F470" s="457">
        <f t="shared" ref="F470" ca="1" si="401">IF(YEAR(H470)&gt;2000,NETWORKDAYS(TODAY(),H470,S.DDL_DEQClosed),0)</f>
        <v>31</v>
      </c>
      <c r="G470" s="343">
        <f t="shared" ref="G470" si="402">AAG470</f>
        <v>41572</v>
      </c>
      <c r="H470" s="343">
        <f t="shared" ref="H470:H473" si="403">AAH470</f>
        <v>41619</v>
      </c>
      <c r="I470" s="244"/>
      <c r="J470" s="194"/>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9"/>
      <c r="CD470" s="49"/>
      <c r="CE470" s="49"/>
      <c r="CF470" s="49"/>
      <c r="CG470" s="49"/>
      <c r="CH470" s="49"/>
      <c r="CI470" s="49"/>
      <c r="CJ470" s="49"/>
      <c r="CK470" s="49"/>
      <c r="CL470" s="49"/>
      <c r="CM470" s="49"/>
      <c r="CN470" s="49"/>
      <c r="CO470" s="49"/>
      <c r="CP470" s="49"/>
      <c r="CQ470" s="49"/>
      <c r="CR470" s="49"/>
      <c r="CS470" s="49"/>
      <c r="CT470" s="49"/>
      <c r="CU470" s="49"/>
      <c r="CV470" s="49"/>
      <c r="CW470" s="49"/>
      <c r="CX470" s="49"/>
      <c r="CY470" s="49"/>
      <c r="CZ470" s="49"/>
      <c r="DA470" s="49"/>
      <c r="DB470" s="49"/>
      <c r="DC470" s="49"/>
      <c r="DD470" s="49"/>
      <c r="DE470" s="49"/>
      <c r="DF470" s="49"/>
      <c r="DG470" s="49"/>
      <c r="DH470" s="49"/>
      <c r="DI470" s="49"/>
      <c r="DJ470" s="49"/>
      <c r="DK470" s="49"/>
      <c r="DL470" s="49"/>
      <c r="DM470" s="49"/>
      <c r="DN470" s="49"/>
      <c r="DO470" s="49"/>
      <c r="DP470" s="49"/>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c r="ST470"/>
      <c r="SU470"/>
      <c r="SV470"/>
      <c r="SW470"/>
      <c r="SX470"/>
      <c r="SY470"/>
      <c r="SZ470"/>
      <c r="TA470"/>
      <c r="TB470"/>
      <c r="TC470"/>
      <c r="TD470"/>
      <c r="TE470"/>
      <c r="TF470"/>
      <c r="TG470"/>
      <c r="TH470"/>
      <c r="TI470"/>
      <c r="TJ470"/>
      <c r="TK470"/>
      <c r="TL470"/>
      <c r="TM470"/>
      <c r="TN470"/>
      <c r="TO470"/>
      <c r="TP470"/>
      <c r="TQ470"/>
      <c r="TR470"/>
      <c r="TS470"/>
      <c r="TT470"/>
      <c r="TU470"/>
      <c r="TV470"/>
      <c r="TW470"/>
      <c r="TX470"/>
      <c r="TY470"/>
      <c r="TZ470"/>
      <c r="UA470"/>
      <c r="UB470"/>
      <c r="UC470"/>
      <c r="UD470"/>
      <c r="UE470"/>
      <c r="UF470"/>
      <c r="UG470"/>
      <c r="UH470"/>
      <c r="UI470"/>
      <c r="UJ470"/>
      <c r="UK470"/>
      <c r="UL470"/>
      <c r="UM470"/>
      <c r="UN470"/>
      <c r="UO470"/>
      <c r="UP470"/>
      <c r="UQ470"/>
      <c r="UR470"/>
      <c r="US470"/>
      <c r="UT470"/>
      <c r="UU470"/>
      <c r="UV470"/>
      <c r="UW470"/>
      <c r="UX470"/>
      <c r="UY470"/>
      <c r="UZ470"/>
      <c r="VA470"/>
      <c r="VB470"/>
      <c r="VC470"/>
      <c r="VD470"/>
      <c r="VE470"/>
      <c r="VF470"/>
      <c r="VG470"/>
      <c r="VH470"/>
      <c r="VI470"/>
      <c r="VJ470"/>
      <c r="VK470"/>
      <c r="VL470"/>
      <c r="VM470"/>
      <c r="VN470"/>
      <c r="VO470"/>
      <c r="VP470"/>
      <c r="VQ470"/>
      <c r="VR470"/>
      <c r="VS470"/>
      <c r="VT470"/>
      <c r="VU470"/>
      <c r="VV470"/>
      <c r="VW470"/>
      <c r="VX470"/>
      <c r="VY470"/>
      <c r="VZ470"/>
      <c r="WA470"/>
      <c r="WB470"/>
      <c r="WC470"/>
      <c r="WD470"/>
      <c r="WE470"/>
      <c r="WF470"/>
      <c r="WG470"/>
      <c r="WH470"/>
      <c r="WI470"/>
      <c r="WJ470"/>
      <c r="WK470"/>
      <c r="WL470"/>
      <c r="WM470"/>
      <c r="WN470"/>
      <c r="WO470"/>
      <c r="WP470"/>
      <c r="WQ470"/>
      <c r="WR470"/>
      <c r="WS470"/>
      <c r="WT470"/>
      <c r="WU470"/>
      <c r="WV470"/>
      <c r="WW470"/>
      <c r="WX470"/>
      <c r="WY470"/>
      <c r="WZ470"/>
      <c r="XA470"/>
      <c r="XB470"/>
      <c r="XC470"/>
      <c r="XD470"/>
      <c r="XE470"/>
      <c r="XF470"/>
      <c r="XG470"/>
      <c r="XH470"/>
      <c r="XI470"/>
      <c r="XJ470"/>
      <c r="XK470"/>
      <c r="XL470"/>
      <c r="XM470"/>
      <c r="XN470"/>
      <c r="XO470"/>
      <c r="XP470"/>
      <c r="XQ470"/>
      <c r="XR470"/>
      <c r="XS470"/>
      <c r="XT470"/>
      <c r="XU470"/>
      <c r="XV470"/>
      <c r="XW470"/>
      <c r="XX470"/>
      <c r="XY470"/>
      <c r="XZ470"/>
      <c r="YA470"/>
      <c r="YB470"/>
      <c r="YC470"/>
      <c r="YD470"/>
      <c r="YE470"/>
      <c r="YF470"/>
      <c r="YG470"/>
      <c r="YH470"/>
      <c r="YI470"/>
      <c r="YJ470"/>
      <c r="YK470"/>
      <c r="YL470"/>
      <c r="YM470"/>
      <c r="YN470"/>
      <c r="YO470"/>
      <c r="YP470"/>
      <c r="YQ470"/>
      <c r="YR470"/>
      <c r="YS470"/>
      <c r="YT470"/>
      <c r="YU470"/>
      <c r="YV470"/>
      <c r="YW470"/>
      <c r="YX470"/>
      <c r="YY470"/>
      <c r="YZ470"/>
      <c r="ZA470"/>
      <c r="ZB470"/>
      <c r="ZC470"/>
      <c r="ZD470"/>
      <c r="ZE470"/>
      <c r="ZF470"/>
      <c r="ZG470"/>
      <c r="ZH470"/>
      <c r="ZI470"/>
      <c r="ZJ470"/>
      <c r="ZK470"/>
      <c r="ZL470"/>
      <c r="ZM470"/>
      <c r="ZN470"/>
      <c r="ZO470"/>
      <c r="ZP470"/>
      <c r="ZQ470"/>
      <c r="ZR470"/>
      <c r="ZS470"/>
      <c r="ZT470"/>
      <c r="ZU470"/>
      <c r="ZV470"/>
      <c r="ZW470"/>
      <c r="ZX470"/>
      <c r="ZY470"/>
      <c r="ZZ470" s="52"/>
      <c r="AAA470" s="192"/>
      <c r="AAD470" s="90"/>
      <c r="AAE470" s="519">
        <f t="shared" si="399"/>
        <v>1</v>
      </c>
      <c r="AAF470" s="90"/>
      <c r="AAG470" s="73">
        <f>IF(AAE470=0,,S.Notice.BANNER.Begin)</f>
        <v>41572</v>
      </c>
      <c r="AAH470" s="73">
        <f>IF(AAE470=0,,WORKDAY(S.Notice.OpenComment,-2,S.DDL_DEQClosed))</f>
        <v>41619</v>
      </c>
      <c r="AAI470" s="72"/>
      <c r="AAJ470" s="72"/>
      <c r="AAK470" s="87" t="s">
        <v>0</v>
      </c>
      <c r="AAL470" s="90"/>
    </row>
    <row r="471" spans="1:715" s="23" customFormat="1" ht="15" customHeight="1" outlineLevel="1">
      <c r="A471" s="171"/>
      <c r="B471" s="289" t="str">
        <f>AAK471</f>
        <v>- validates recipients with MargaretMGR &amp; MargaretLEG</v>
      </c>
      <c r="D471" s="380"/>
      <c r="E471" s="397">
        <f t="shared" ref="E471:E473" si="404">NETWORKDAYS(G471,H471,S.DDL_DEQClosed)</f>
        <v>32</v>
      </c>
      <c r="F471" s="457">
        <f t="shared" ref="F471:F478" ca="1" si="405">IF(YEAR(H471)&gt;2000,NETWORKDAYS(TODAY(),H471,S.DDL_DEQClosed),0)</f>
        <v>31</v>
      </c>
      <c r="G471" s="343">
        <f t="shared" ref="G471:G473" si="406">AAG471</f>
        <v>41572</v>
      </c>
      <c r="H471" s="343">
        <f t="shared" si="403"/>
        <v>41619</v>
      </c>
      <c r="I471" s="244"/>
      <c r="J471" s="194"/>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9"/>
      <c r="CD471" s="49"/>
      <c r="CE471" s="49"/>
      <c r="CF471" s="49"/>
      <c r="CG471" s="49"/>
      <c r="CH471" s="49"/>
      <c r="CI471" s="49"/>
      <c r="CJ471" s="49"/>
      <c r="CK471" s="49"/>
      <c r="CL471" s="49"/>
      <c r="CM471" s="49"/>
      <c r="CN471" s="49"/>
      <c r="CO471" s="49"/>
      <c r="CP471" s="49"/>
      <c r="CQ471" s="49"/>
      <c r="CR471" s="49"/>
      <c r="CS471" s="49"/>
      <c r="CT471" s="49"/>
      <c r="CU471" s="49"/>
      <c r="CV471" s="49"/>
      <c r="CW471" s="49"/>
      <c r="CX471" s="49"/>
      <c r="CY471" s="49"/>
      <c r="CZ471" s="49"/>
      <c r="DA471" s="49"/>
      <c r="DB471" s="49"/>
      <c r="DC471" s="49"/>
      <c r="DD471" s="49"/>
      <c r="DE471" s="49"/>
      <c r="DF471" s="49"/>
      <c r="DG471" s="49"/>
      <c r="DH471" s="49"/>
      <c r="DI471" s="49"/>
      <c r="DJ471" s="49"/>
      <c r="DK471" s="49"/>
      <c r="DL471" s="49"/>
      <c r="DM471" s="49"/>
      <c r="DN471" s="49"/>
      <c r="DO471" s="49"/>
      <c r="DP471" s="49"/>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c r="ST471"/>
      <c r="SU471"/>
      <c r="SV471"/>
      <c r="SW471"/>
      <c r="SX471"/>
      <c r="SY471"/>
      <c r="SZ471"/>
      <c r="TA471"/>
      <c r="TB471"/>
      <c r="TC471"/>
      <c r="TD471"/>
      <c r="TE471"/>
      <c r="TF471"/>
      <c r="TG471"/>
      <c r="TH471"/>
      <c r="TI471"/>
      <c r="TJ471"/>
      <c r="TK471"/>
      <c r="TL471"/>
      <c r="TM471"/>
      <c r="TN471"/>
      <c r="TO471"/>
      <c r="TP471"/>
      <c r="TQ471"/>
      <c r="TR471"/>
      <c r="TS471"/>
      <c r="TT471"/>
      <c r="TU471"/>
      <c r="TV471"/>
      <c r="TW471"/>
      <c r="TX471"/>
      <c r="TY471"/>
      <c r="TZ471"/>
      <c r="UA471"/>
      <c r="UB471"/>
      <c r="UC471"/>
      <c r="UD471"/>
      <c r="UE471"/>
      <c r="UF471"/>
      <c r="UG471"/>
      <c r="UH471"/>
      <c r="UI471"/>
      <c r="UJ471"/>
      <c r="UK471"/>
      <c r="UL471"/>
      <c r="UM471"/>
      <c r="UN471"/>
      <c r="UO471"/>
      <c r="UP471"/>
      <c r="UQ471"/>
      <c r="UR471"/>
      <c r="US471"/>
      <c r="UT471"/>
      <c r="UU471"/>
      <c r="UV471"/>
      <c r="UW471"/>
      <c r="UX471"/>
      <c r="UY471"/>
      <c r="UZ471"/>
      <c r="VA471"/>
      <c r="VB471"/>
      <c r="VC471"/>
      <c r="VD471"/>
      <c r="VE471"/>
      <c r="VF471"/>
      <c r="VG471"/>
      <c r="VH471"/>
      <c r="VI471"/>
      <c r="VJ471"/>
      <c r="VK471"/>
      <c r="VL471"/>
      <c r="VM471"/>
      <c r="VN471"/>
      <c r="VO471"/>
      <c r="VP471"/>
      <c r="VQ471"/>
      <c r="VR471"/>
      <c r="VS471"/>
      <c r="VT471"/>
      <c r="VU471"/>
      <c r="VV471"/>
      <c r="VW471"/>
      <c r="VX471"/>
      <c r="VY471"/>
      <c r="VZ471"/>
      <c r="WA471"/>
      <c r="WB471"/>
      <c r="WC471"/>
      <c r="WD471"/>
      <c r="WE471"/>
      <c r="WF471"/>
      <c r="WG471"/>
      <c r="WH471"/>
      <c r="WI471"/>
      <c r="WJ471"/>
      <c r="WK471"/>
      <c r="WL471"/>
      <c r="WM471"/>
      <c r="WN471"/>
      <c r="WO471"/>
      <c r="WP471"/>
      <c r="WQ471"/>
      <c r="WR471"/>
      <c r="WS471"/>
      <c r="WT471"/>
      <c r="WU471"/>
      <c r="WV471"/>
      <c r="WW471"/>
      <c r="WX471"/>
      <c r="WY471"/>
      <c r="WZ471"/>
      <c r="XA471"/>
      <c r="XB471"/>
      <c r="XC471"/>
      <c r="XD471"/>
      <c r="XE471"/>
      <c r="XF471"/>
      <c r="XG471"/>
      <c r="XH471"/>
      <c r="XI471"/>
      <c r="XJ471"/>
      <c r="XK471"/>
      <c r="XL471"/>
      <c r="XM471"/>
      <c r="XN471"/>
      <c r="XO471"/>
      <c r="XP471"/>
      <c r="XQ471"/>
      <c r="XR471"/>
      <c r="XS471"/>
      <c r="XT471"/>
      <c r="XU471"/>
      <c r="XV471"/>
      <c r="XW471"/>
      <c r="XX471"/>
      <c r="XY471"/>
      <c r="XZ471"/>
      <c r="YA471"/>
      <c r="YB471"/>
      <c r="YC471"/>
      <c r="YD471"/>
      <c r="YE471"/>
      <c r="YF471"/>
      <c r="YG471"/>
      <c r="YH471"/>
      <c r="YI471"/>
      <c r="YJ471"/>
      <c r="YK471"/>
      <c r="YL471"/>
      <c r="YM471"/>
      <c r="YN471"/>
      <c r="YO471"/>
      <c r="YP471"/>
      <c r="YQ471"/>
      <c r="YR471"/>
      <c r="YS471"/>
      <c r="YT471"/>
      <c r="YU471"/>
      <c r="YV471"/>
      <c r="YW471"/>
      <c r="YX471"/>
      <c r="YY471"/>
      <c r="YZ471"/>
      <c r="ZA471"/>
      <c r="ZB471"/>
      <c r="ZC471"/>
      <c r="ZD471"/>
      <c r="ZE471"/>
      <c r="ZF471"/>
      <c r="ZG471"/>
      <c r="ZH471"/>
      <c r="ZI471"/>
      <c r="ZJ471"/>
      <c r="ZK471"/>
      <c r="ZL471"/>
      <c r="ZM471"/>
      <c r="ZN471"/>
      <c r="ZO471"/>
      <c r="ZP471"/>
      <c r="ZQ471"/>
      <c r="ZR471"/>
      <c r="ZS471"/>
      <c r="ZT471"/>
      <c r="ZU471"/>
      <c r="ZV471"/>
      <c r="ZW471"/>
      <c r="ZX471"/>
      <c r="ZY471"/>
      <c r="ZZ471" s="52"/>
      <c r="AAA471" s="192" t="s">
        <v>0</v>
      </c>
      <c r="AAD471" s="90"/>
      <c r="AAE471" s="519">
        <f t="shared" si="399"/>
        <v>1</v>
      </c>
      <c r="AAF471" s="90"/>
      <c r="AAG471" s="73">
        <f>IF(AAE471=0,,S.Notice.BANNER.Begin)</f>
        <v>41572</v>
      </c>
      <c r="AAH471" s="73">
        <f>IF(AAE471=0,,WORKDAY(S.Notice.OpenComment,-2,S.DDL_DEQClosed))</f>
        <v>41619</v>
      </c>
      <c r="AAI471" s="72"/>
      <c r="AAJ471" s="72"/>
      <c r="AAK471" s="254" t="str">
        <f>"- validates recipients with "&amp;S.Staff.Mgr&amp;" &amp; "&amp;S.Staff.LegislativeLiason</f>
        <v>- validates recipients with MargaretMGR &amp; MargaretLEG</v>
      </c>
      <c r="AAL471" s="90"/>
    </row>
    <row r="472" spans="1:715" s="23" customFormat="1" ht="15" customHeight="1" outlineLevel="1">
      <c r="A472" s="171"/>
      <c r="B472" s="289" t="str">
        <f>AAK472</f>
        <v>- obtains approval of legislator's emails from MargaretLEG by email</v>
      </c>
      <c r="D472" s="380"/>
      <c r="E472" s="397">
        <f t="shared" ref="E472" si="407">NETWORKDAYS(G472,H472,S.DDL_DEQClosed)</f>
        <v>32</v>
      </c>
      <c r="F472" s="457">
        <f t="shared" ca="1" si="405"/>
        <v>31</v>
      </c>
      <c r="G472" s="343">
        <f t="shared" ref="G472" si="408">AAG472</f>
        <v>41572</v>
      </c>
      <c r="H472" s="343">
        <f t="shared" ref="H472" si="409">AAH472</f>
        <v>41619</v>
      </c>
      <c r="I472" s="244"/>
      <c r="J472" s="194"/>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c r="DK472" s="49"/>
      <c r="DL472" s="49"/>
      <c r="DM472" s="49"/>
      <c r="DN472" s="49"/>
      <c r="DO472" s="49"/>
      <c r="DP472" s="49"/>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c r="ST472"/>
      <c r="SU472"/>
      <c r="SV472"/>
      <c r="SW472"/>
      <c r="SX472"/>
      <c r="SY472"/>
      <c r="SZ472"/>
      <c r="TA472"/>
      <c r="TB472"/>
      <c r="TC472"/>
      <c r="TD472"/>
      <c r="TE472"/>
      <c r="TF472"/>
      <c r="TG472"/>
      <c r="TH472"/>
      <c r="TI472"/>
      <c r="TJ472"/>
      <c r="TK472"/>
      <c r="TL472"/>
      <c r="TM472"/>
      <c r="TN472"/>
      <c r="TO472"/>
      <c r="TP472"/>
      <c r="TQ472"/>
      <c r="TR472"/>
      <c r="TS472"/>
      <c r="TT472"/>
      <c r="TU472"/>
      <c r="TV472"/>
      <c r="TW472"/>
      <c r="TX472"/>
      <c r="TY472"/>
      <c r="TZ472"/>
      <c r="UA472"/>
      <c r="UB472"/>
      <c r="UC472"/>
      <c r="UD472"/>
      <c r="UE472"/>
      <c r="UF472"/>
      <c r="UG472"/>
      <c r="UH472"/>
      <c r="UI472"/>
      <c r="UJ472"/>
      <c r="UK472"/>
      <c r="UL472"/>
      <c r="UM472"/>
      <c r="UN472"/>
      <c r="UO472"/>
      <c r="UP472"/>
      <c r="UQ472"/>
      <c r="UR472"/>
      <c r="US472"/>
      <c r="UT472"/>
      <c r="UU472"/>
      <c r="UV472"/>
      <c r="UW472"/>
      <c r="UX472"/>
      <c r="UY472"/>
      <c r="UZ472"/>
      <c r="VA472"/>
      <c r="VB472"/>
      <c r="VC472"/>
      <c r="VD472"/>
      <c r="VE472"/>
      <c r="VF472"/>
      <c r="VG472"/>
      <c r="VH472"/>
      <c r="VI472"/>
      <c r="VJ472"/>
      <c r="VK472"/>
      <c r="VL472"/>
      <c r="VM472"/>
      <c r="VN472"/>
      <c r="VO472"/>
      <c r="VP472"/>
      <c r="VQ472"/>
      <c r="VR472"/>
      <c r="VS472"/>
      <c r="VT472"/>
      <c r="VU472"/>
      <c r="VV472"/>
      <c r="VW472"/>
      <c r="VX472"/>
      <c r="VY472"/>
      <c r="VZ472"/>
      <c r="WA472"/>
      <c r="WB472"/>
      <c r="WC472"/>
      <c r="WD472"/>
      <c r="WE472"/>
      <c r="WF472"/>
      <c r="WG472"/>
      <c r="WH472"/>
      <c r="WI472"/>
      <c r="WJ472"/>
      <c r="WK472"/>
      <c r="WL472"/>
      <c r="WM472"/>
      <c r="WN472"/>
      <c r="WO472"/>
      <c r="WP472"/>
      <c r="WQ472"/>
      <c r="WR472"/>
      <c r="WS472"/>
      <c r="WT472"/>
      <c r="WU472"/>
      <c r="WV472"/>
      <c r="WW472"/>
      <c r="WX472"/>
      <c r="WY472"/>
      <c r="WZ472"/>
      <c r="XA472"/>
      <c r="XB472"/>
      <c r="XC472"/>
      <c r="XD472"/>
      <c r="XE472"/>
      <c r="XF472"/>
      <c r="XG472"/>
      <c r="XH472"/>
      <c r="XI472"/>
      <c r="XJ472"/>
      <c r="XK472"/>
      <c r="XL472"/>
      <c r="XM472"/>
      <c r="XN472"/>
      <c r="XO472"/>
      <c r="XP472"/>
      <c r="XQ472"/>
      <c r="XR472"/>
      <c r="XS472"/>
      <c r="XT472"/>
      <c r="XU472"/>
      <c r="XV472"/>
      <c r="XW472"/>
      <c r="XX472"/>
      <c r="XY472"/>
      <c r="XZ472"/>
      <c r="YA472"/>
      <c r="YB472"/>
      <c r="YC472"/>
      <c r="YD472"/>
      <c r="YE472"/>
      <c r="YF472"/>
      <c r="YG472"/>
      <c r="YH472"/>
      <c r="YI472"/>
      <c r="YJ472"/>
      <c r="YK472"/>
      <c r="YL472"/>
      <c r="YM472"/>
      <c r="YN472"/>
      <c r="YO472"/>
      <c r="YP472"/>
      <c r="YQ472"/>
      <c r="YR472"/>
      <c r="YS472"/>
      <c r="YT472"/>
      <c r="YU472"/>
      <c r="YV472"/>
      <c r="YW472"/>
      <c r="YX472"/>
      <c r="YY472"/>
      <c r="YZ472"/>
      <c r="ZA472"/>
      <c r="ZB472"/>
      <c r="ZC472"/>
      <c r="ZD472"/>
      <c r="ZE472"/>
      <c r="ZF472"/>
      <c r="ZG472"/>
      <c r="ZH472"/>
      <c r="ZI472"/>
      <c r="ZJ472"/>
      <c r="ZK472"/>
      <c r="ZL472"/>
      <c r="ZM472"/>
      <c r="ZN472"/>
      <c r="ZO472"/>
      <c r="ZP472"/>
      <c r="ZQ472"/>
      <c r="ZR472"/>
      <c r="ZS472"/>
      <c r="ZT472"/>
      <c r="ZU472"/>
      <c r="ZV472"/>
      <c r="ZW472"/>
      <c r="ZX472"/>
      <c r="ZY472"/>
      <c r="ZZ472" s="52"/>
      <c r="AAA472" s="192" t="s">
        <v>0</v>
      </c>
      <c r="AAD472" s="90"/>
      <c r="AAE472" s="519">
        <f t="shared" si="399"/>
        <v>1</v>
      </c>
      <c r="AAF472" s="90"/>
      <c r="AAG472" s="73">
        <f>IF(AAE472=0,,S.Notice.BANNER.Begin)</f>
        <v>41572</v>
      </c>
      <c r="AAH472" s="73">
        <f>IF(AAE472=0,,WORKDAY(S.Notice.OpenComment,-2,S.DDL_DEQClosed))</f>
        <v>41619</v>
      </c>
      <c r="AAI472" s="72"/>
      <c r="AAJ472" s="72"/>
      <c r="AAK472" s="254" t="str">
        <f>"- obtains approval of legislator's emails from "&amp;S.Staff.LegislativeLiason&amp;" by email"</f>
        <v>- obtains approval of legislator's emails from MargaretLEG by email</v>
      </c>
      <c r="AAL472" s="90"/>
    </row>
    <row r="473" spans="1:715" s="23" customFormat="1" ht="15" customHeight="1" outlineLevel="1">
      <c r="A473" s="171"/>
      <c r="B473" s="631" t="s">
        <v>367</v>
      </c>
      <c r="C473" s="791" t="str">
        <f>HYPERLINK("\\deqhq1\Rule_Resources\i\EMAIL.KeyLegislators.docx","i")</f>
        <v>i</v>
      </c>
      <c r="D473" s="380"/>
      <c r="E473" s="397">
        <f t="shared" si="404"/>
        <v>32</v>
      </c>
      <c r="F473" s="457">
        <f t="shared" ca="1" si="405"/>
        <v>31</v>
      </c>
      <c r="G473" s="343">
        <f t="shared" si="406"/>
        <v>41572</v>
      </c>
      <c r="H473" s="343">
        <f t="shared" si="403"/>
        <v>41619</v>
      </c>
      <c r="I473" s="244"/>
      <c r="J473" s="194"/>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c r="DK473" s="49"/>
      <c r="DL473" s="49"/>
      <c r="DM473" s="49"/>
      <c r="DN473" s="49"/>
      <c r="DO473" s="49"/>
      <c r="DP473" s="49"/>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c r="ST473"/>
      <c r="SU473"/>
      <c r="SV473"/>
      <c r="SW473"/>
      <c r="SX473"/>
      <c r="SY473"/>
      <c r="SZ473"/>
      <c r="TA473"/>
      <c r="TB473"/>
      <c r="TC473"/>
      <c r="TD473"/>
      <c r="TE473"/>
      <c r="TF473"/>
      <c r="TG473"/>
      <c r="TH473"/>
      <c r="TI473"/>
      <c r="TJ473"/>
      <c r="TK473"/>
      <c r="TL473"/>
      <c r="TM473"/>
      <c r="TN473"/>
      <c r="TO473"/>
      <c r="TP473"/>
      <c r="TQ473"/>
      <c r="TR473"/>
      <c r="TS473"/>
      <c r="TT473"/>
      <c r="TU473"/>
      <c r="TV473"/>
      <c r="TW473"/>
      <c r="TX473"/>
      <c r="TY473"/>
      <c r="TZ473"/>
      <c r="UA473"/>
      <c r="UB473"/>
      <c r="UC473"/>
      <c r="UD473"/>
      <c r="UE473"/>
      <c r="UF473"/>
      <c r="UG473"/>
      <c r="UH473"/>
      <c r="UI473"/>
      <c r="UJ473"/>
      <c r="UK473"/>
      <c r="UL473"/>
      <c r="UM473"/>
      <c r="UN473"/>
      <c r="UO473"/>
      <c r="UP473"/>
      <c r="UQ473"/>
      <c r="UR473"/>
      <c r="US473"/>
      <c r="UT473"/>
      <c r="UU473"/>
      <c r="UV473"/>
      <c r="UW473"/>
      <c r="UX473"/>
      <c r="UY473"/>
      <c r="UZ473"/>
      <c r="VA473"/>
      <c r="VB473"/>
      <c r="VC473"/>
      <c r="VD473"/>
      <c r="VE473"/>
      <c r="VF473"/>
      <c r="VG473"/>
      <c r="VH473"/>
      <c r="VI473"/>
      <c r="VJ473"/>
      <c r="VK473"/>
      <c r="VL473"/>
      <c r="VM473"/>
      <c r="VN473"/>
      <c r="VO473"/>
      <c r="VP473"/>
      <c r="VQ473"/>
      <c r="VR473"/>
      <c r="VS473"/>
      <c r="VT473"/>
      <c r="VU473"/>
      <c r="VV473"/>
      <c r="VW473"/>
      <c r="VX473"/>
      <c r="VY473"/>
      <c r="VZ473"/>
      <c r="WA473"/>
      <c r="WB473"/>
      <c r="WC473"/>
      <c r="WD473"/>
      <c r="WE473"/>
      <c r="WF473"/>
      <c r="WG473"/>
      <c r="WH473"/>
      <c r="WI473"/>
      <c r="WJ473"/>
      <c r="WK473"/>
      <c r="WL473"/>
      <c r="WM473"/>
      <c r="WN473"/>
      <c r="WO473"/>
      <c r="WP473"/>
      <c r="WQ473"/>
      <c r="WR473"/>
      <c r="WS473"/>
      <c r="WT473"/>
      <c r="WU473"/>
      <c r="WV473"/>
      <c r="WW473"/>
      <c r="WX473"/>
      <c r="WY473"/>
      <c r="WZ473"/>
      <c r="XA473"/>
      <c r="XB473"/>
      <c r="XC473"/>
      <c r="XD473"/>
      <c r="XE473"/>
      <c r="XF473"/>
      <c r="XG473"/>
      <c r="XH473"/>
      <c r="XI473"/>
      <c r="XJ473"/>
      <c r="XK473"/>
      <c r="XL473"/>
      <c r="XM473"/>
      <c r="XN473"/>
      <c r="XO473"/>
      <c r="XP473"/>
      <c r="XQ473"/>
      <c r="XR473"/>
      <c r="XS473"/>
      <c r="XT473"/>
      <c r="XU473"/>
      <c r="XV473"/>
      <c r="XW473"/>
      <c r="XX473"/>
      <c r="XY473"/>
      <c r="XZ473"/>
      <c r="YA473"/>
      <c r="YB473"/>
      <c r="YC473"/>
      <c r="YD473"/>
      <c r="YE473"/>
      <c r="YF473"/>
      <c r="YG473"/>
      <c r="YH473"/>
      <c r="YI473"/>
      <c r="YJ473"/>
      <c r="YK473"/>
      <c r="YL473"/>
      <c r="YM473"/>
      <c r="YN473"/>
      <c r="YO473"/>
      <c r="YP473"/>
      <c r="YQ473"/>
      <c r="YR473"/>
      <c r="YS473"/>
      <c r="YT473"/>
      <c r="YU473"/>
      <c r="YV473"/>
      <c r="YW473"/>
      <c r="YX473"/>
      <c r="YY473"/>
      <c r="YZ473"/>
      <c r="ZA473"/>
      <c r="ZB473"/>
      <c r="ZC473"/>
      <c r="ZD473"/>
      <c r="ZE473"/>
      <c r="ZF473"/>
      <c r="ZG473"/>
      <c r="ZH473"/>
      <c r="ZI473"/>
      <c r="ZJ473"/>
      <c r="ZK473"/>
      <c r="ZL473"/>
      <c r="ZM473"/>
      <c r="ZN473"/>
      <c r="ZO473"/>
      <c r="ZP473"/>
      <c r="ZQ473"/>
      <c r="ZR473"/>
      <c r="ZS473"/>
      <c r="ZT473"/>
      <c r="ZU473"/>
      <c r="ZV473"/>
      <c r="ZW473"/>
      <c r="ZX473"/>
      <c r="ZY473"/>
      <c r="ZZ473" s="52"/>
      <c r="AAA473" s="192" t="s">
        <v>0</v>
      </c>
      <c r="AAD473" s="90"/>
      <c r="AAE473" s="519">
        <f t="shared" si="399"/>
        <v>1</v>
      </c>
      <c r="AAF473" s="90"/>
      <c r="AAG473" s="73">
        <f>IF(AAE473=0,,S.Notice.BANNER.Begin)</f>
        <v>41572</v>
      </c>
      <c r="AAH473" s="73">
        <f>IF(AAE473=0,,WORKDAY(S.Notice.OpenComment,-2,S.DDL_DEQClosed))</f>
        <v>41619</v>
      </c>
      <c r="AAI473" s="72"/>
      <c r="AAJ473" s="72"/>
      <c r="AAK473" s="185" t="s">
        <v>0</v>
      </c>
      <c r="AAL473" s="90"/>
    </row>
    <row r="474" spans="1:715" ht="15" customHeight="1" outlineLevel="1">
      <c r="A474" s="171"/>
      <c r="B474" s="384" t="str">
        <f>AAK474</f>
        <v>AndreaRW and MargaretMGR:</v>
      </c>
      <c r="C474" s="360" t="s">
        <v>0</v>
      </c>
      <c r="D474"/>
      <c r="E474"/>
      <c r="F474"/>
      <c r="G474"/>
      <c r="H474"/>
      <c r="I474" s="244"/>
      <c r="J474" s="194"/>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c r="DK474" s="49"/>
      <c r="DL474" s="49"/>
      <c r="DM474" s="49"/>
      <c r="DN474" s="49"/>
      <c r="DO474" s="49"/>
      <c r="DP474" s="49"/>
      <c r="AAA474" s="192"/>
      <c r="AAD474" s="90"/>
      <c r="AAE474" s="519">
        <f t="shared" si="399"/>
        <v>1</v>
      </c>
      <c r="AAF474" s="90"/>
      <c r="AAG474" s="72"/>
      <c r="AAH474" s="72"/>
      <c r="AAI474" s="72"/>
      <c r="AAJ474" s="72"/>
      <c r="AAK474" s="80" t="str">
        <f>S.Staff.Lead&amp;" and "&amp;S.Staff.Mgr&amp;":"</f>
        <v>AndreaRW and MargaretMGR:</v>
      </c>
      <c r="AAL474" s="90"/>
      <c r="AAM474"/>
    </row>
    <row r="475" spans="1:715" s="23" customFormat="1" ht="15" customHeight="1" outlineLevel="1">
      <c r="A475" s="171"/>
      <c r="B475" s="441" t="str">
        <f>AAK475</f>
        <v>* brief Andy</v>
      </c>
      <c r="C475" s="721" t="s">
        <v>0</v>
      </c>
      <c r="D475" s="380"/>
      <c r="E475" s="865" t="s">
        <v>418</v>
      </c>
      <c r="F475" s="865"/>
      <c r="G475" s="866"/>
      <c r="H475" s="343">
        <f>AAH475</f>
        <v>41593</v>
      </c>
      <c r="I475" s="244"/>
      <c r="J475" s="194"/>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c r="DK475" s="49"/>
      <c r="DL475" s="49"/>
      <c r="DM475" s="49"/>
      <c r="DN475" s="49"/>
      <c r="DO475" s="49"/>
      <c r="DP475" s="49"/>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c r="ST475"/>
      <c r="SU475"/>
      <c r="SV475"/>
      <c r="SW475"/>
      <c r="SX475"/>
      <c r="SY475"/>
      <c r="SZ475"/>
      <c r="TA475"/>
      <c r="TB475"/>
      <c r="TC475"/>
      <c r="TD475"/>
      <c r="TE475"/>
      <c r="TF475"/>
      <c r="TG475"/>
      <c r="TH475"/>
      <c r="TI475"/>
      <c r="TJ475"/>
      <c r="TK475"/>
      <c r="TL475"/>
      <c r="TM475"/>
      <c r="TN475"/>
      <c r="TO475"/>
      <c r="TP475"/>
      <c r="TQ475"/>
      <c r="TR475"/>
      <c r="TS475"/>
      <c r="TT475"/>
      <c r="TU475"/>
      <c r="TV475"/>
      <c r="TW475"/>
      <c r="TX475"/>
      <c r="TY475"/>
      <c r="TZ475"/>
      <c r="UA475"/>
      <c r="UB475"/>
      <c r="UC475"/>
      <c r="UD475"/>
      <c r="UE475"/>
      <c r="UF475"/>
      <c r="UG475"/>
      <c r="UH475"/>
      <c r="UI475"/>
      <c r="UJ475"/>
      <c r="UK475"/>
      <c r="UL475"/>
      <c r="UM475"/>
      <c r="UN475"/>
      <c r="UO475"/>
      <c r="UP475"/>
      <c r="UQ475"/>
      <c r="UR475"/>
      <c r="US475"/>
      <c r="UT475"/>
      <c r="UU475"/>
      <c r="UV475"/>
      <c r="UW475"/>
      <c r="UX475"/>
      <c r="UY475"/>
      <c r="UZ475"/>
      <c r="VA475"/>
      <c r="VB475"/>
      <c r="VC475"/>
      <c r="VD475"/>
      <c r="VE475"/>
      <c r="VF475"/>
      <c r="VG475"/>
      <c r="VH475"/>
      <c r="VI475"/>
      <c r="VJ475"/>
      <c r="VK475"/>
      <c r="VL475"/>
      <c r="VM475"/>
      <c r="VN475"/>
      <c r="VO475"/>
      <c r="VP475"/>
      <c r="VQ475"/>
      <c r="VR475"/>
      <c r="VS475"/>
      <c r="VT475"/>
      <c r="VU475"/>
      <c r="VV475"/>
      <c r="VW475"/>
      <c r="VX475"/>
      <c r="VY475"/>
      <c r="VZ475"/>
      <c r="WA475"/>
      <c r="WB475"/>
      <c r="WC475"/>
      <c r="WD475"/>
      <c r="WE475"/>
      <c r="WF475"/>
      <c r="WG475"/>
      <c r="WH475"/>
      <c r="WI475"/>
      <c r="WJ475"/>
      <c r="WK475"/>
      <c r="WL475"/>
      <c r="WM475"/>
      <c r="WN475"/>
      <c r="WO475"/>
      <c r="WP475"/>
      <c r="WQ475"/>
      <c r="WR475"/>
      <c r="WS475"/>
      <c r="WT475"/>
      <c r="WU475"/>
      <c r="WV475"/>
      <c r="WW475"/>
      <c r="WX475"/>
      <c r="WY475"/>
      <c r="WZ475"/>
      <c r="XA475"/>
      <c r="XB475"/>
      <c r="XC475"/>
      <c r="XD475"/>
      <c r="XE475"/>
      <c r="XF475"/>
      <c r="XG475"/>
      <c r="XH475"/>
      <c r="XI475"/>
      <c r="XJ475"/>
      <c r="XK475"/>
      <c r="XL475"/>
      <c r="XM475"/>
      <c r="XN475"/>
      <c r="XO475"/>
      <c r="XP475"/>
      <c r="XQ475"/>
      <c r="XR475"/>
      <c r="XS475"/>
      <c r="XT475"/>
      <c r="XU475"/>
      <c r="XV475"/>
      <c r="XW475"/>
      <c r="XX475"/>
      <c r="XY475"/>
      <c r="XZ475"/>
      <c r="YA475"/>
      <c r="YB475"/>
      <c r="YC475"/>
      <c r="YD475"/>
      <c r="YE475"/>
      <c r="YF475"/>
      <c r="YG475"/>
      <c r="YH475"/>
      <c r="YI475"/>
      <c r="YJ475"/>
      <c r="YK475"/>
      <c r="YL475"/>
      <c r="YM475"/>
      <c r="YN475"/>
      <c r="YO475"/>
      <c r="YP475"/>
      <c r="YQ475"/>
      <c r="YR475"/>
      <c r="YS475"/>
      <c r="YT475"/>
      <c r="YU475"/>
      <c r="YV475"/>
      <c r="YW475"/>
      <c r="YX475"/>
      <c r="YY475"/>
      <c r="YZ475"/>
      <c r="ZA475"/>
      <c r="ZB475"/>
      <c r="ZC475"/>
      <c r="ZD475"/>
      <c r="ZE475"/>
      <c r="ZF475"/>
      <c r="ZG475"/>
      <c r="ZH475"/>
      <c r="ZI475"/>
      <c r="ZJ475"/>
      <c r="ZK475"/>
      <c r="ZL475"/>
      <c r="ZM475"/>
      <c r="ZN475"/>
      <c r="ZO475"/>
      <c r="ZP475"/>
      <c r="ZQ475"/>
      <c r="ZR475"/>
      <c r="ZS475"/>
      <c r="ZT475"/>
      <c r="ZU475"/>
      <c r="ZV475"/>
      <c r="ZW475"/>
      <c r="ZX475"/>
      <c r="ZY475"/>
      <c r="ZZ475" s="52"/>
      <c r="AAA475" s="192"/>
      <c r="AAD475" s="90"/>
      <c r="AAE475" s="519">
        <f t="shared" si="399"/>
        <v>1</v>
      </c>
      <c r="AAF475" s="90"/>
      <c r="AAG475" s="72"/>
      <c r="AAH475" s="73">
        <f>IF(AAE475=0,,WORKDAY(S.Notice.EMAIL.RulePublication-20,-1,S.DDL_DEQClosed))</f>
        <v>41593</v>
      </c>
      <c r="AAI475" s="72" t="s">
        <v>0</v>
      </c>
      <c r="AAJ475" s="72"/>
      <c r="AAK475" s="80" t="str">
        <f>"* brief "&amp;S.Staff.DA</f>
        <v>* brief Andy</v>
      </c>
      <c r="AAL475" s="90"/>
    </row>
    <row r="476" spans="1:715" s="23" customFormat="1" ht="15" customHeight="1" outlineLevel="1">
      <c r="A476" s="171"/>
      <c r="B476" s="441" t="str">
        <f>AAK476</f>
        <v>* reminds Andy &amp; JoanieS that this IS the lead DA review period</v>
      </c>
      <c r="C476" s="360" t="s">
        <v>0</v>
      </c>
      <c r="D476"/>
      <c r="E476"/>
      <c r="F476"/>
      <c r="G476"/>
      <c r="H476"/>
      <c r="I476" s="244"/>
      <c r="J476" s="194"/>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c r="DK476" s="49"/>
      <c r="DL476" s="49"/>
      <c r="DM476" s="49"/>
      <c r="DN476" s="49"/>
      <c r="DO476" s="49"/>
      <c r="DP476" s="49"/>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c r="ST476"/>
      <c r="SU476"/>
      <c r="SV476"/>
      <c r="SW476"/>
      <c r="SX476"/>
      <c r="SY476"/>
      <c r="SZ476"/>
      <c r="TA476"/>
      <c r="TB476"/>
      <c r="TC476"/>
      <c r="TD476"/>
      <c r="TE476"/>
      <c r="TF476"/>
      <c r="TG476"/>
      <c r="TH476"/>
      <c r="TI476"/>
      <c r="TJ476"/>
      <c r="TK476"/>
      <c r="TL476"/>
      <c r="TM476"/>
      <c r="TN476"/>
      <c r="TO476"/>
      <c r="TP476"/>
      <c r="TQ476"/>
      <c r="TR476"/>
      <c r="TS476"/>
      <c r="TT476"/>
      <c r="TU476"/>
      <c r="TV476"/>
      <c r="TW476"/>
      <c r="TX476"/>
      <c r="TY476"/>
      <c r="TZ476"/>
      <c r="UA476"/>
      <c r="UB476"/>
      <c r="UC476"/>
      <c r="UD476"/>
      <c r="UE476"/>
      <c r="UF476"/>
      <c r="UG476"/>
      <c r="UH476"/>
      <c r="UI476"/>
      <c r="UJ476"/>
      <c r="UK476"/>
      <c r="UL476"/>
      <c r="UM476"/>
      <c r="UN476"/>
      <c r="UO476"/>
      <c r="UP476"/>
      <c r="UQ476"/>
      <c r="UR476"/>
      <c r="US476"/>
      <c r="UT476"/>
      <c r="UU476"/>
      <c r="UV476"/>
      <c r="UW476"/>
      <c r="UX476"/>
      <c r="UY476"/>
      <c r="UZ476"/>
      <c r="VA476"/>
      <c r="VB476"/>
      <c r="VC476"/>
      <c r="VD476"/>
      <c r="VE476"/>
      <c r="VF476"/>
      <c r="VG476"/>
      <c r="VH476"/>
      <c r="VI476"/>
      <c r="VJ476"/>
      <c r="VK476"/>
      <c r="VL476"/>
      <c r="VM476"/>
      <c r="VN476"/>
      <c r="VO476"/>
      <c r="VP476"/>
      <c r="VQ476"/>
      <c r="VR476"/>
      <c r="VS476"/>
      <c r="VT476"/>
      <c r="VU476"/>
      <c r="VV476"/>
      <c r="VW476"/>
      <c r="VX476"/>
      <c r="VY476"/>
      <c r="VZ476"/>
      <c r="WA476"/>
      <c r="WB476"/>
      <c r="WC476"/>
      <c r="WD476"/>
      <c r="WE476"/>
      <c r="WF476"/>
      <c r="WG476"/>
      <c r="WH476"/>
      <c r="WI476"/>
      <c r="WJ476"/>
      <c r="WK476"/>
      <c r="WL476"/>
      <c r="WM476"/>
      <c r="WN476"/>
      <c r="WO476"/>
      <c r="WP476"/>
      <c r="WQ476"/>
      <c r="WR476"/>
      <c r="WS476"/>
      <c r="WT476"/>
      <c r="WU476"/>
      <c r="WV476"/>
      <c r="WW476"/>
      <c r="WX476"/>
      <c r="WY476"/>
      <c r="WZ476"/>
      <c r="XA476"/>
      <c r="XB476"/>
      <c r="XC476"/>
      <c r="XD476"/>
      <c r="XE476"/>
      <c r="XF476"/>
      <c r="XG476"/>
      <c r="XH476"/>
      <c r="XI476"/>
      <c r="XJ476"/>
      <c r="XK476"/>
      <c r="XL476"/>
      <c r="XM476"/>
      <c r="XN476"/>
      <c r="XO476"/>
      <c r="XP476"/>
      <c r="XQ476"/>
      <c r="XR476"/>
      <c r="XS476"/>
      <c r="XT476"/>
      <c r="XU476"/>
      <c r="XV476"/>
      <c r="XW476"/>
      <c r="XX476"/>
      <c r="XY476"/>
      <c r="XZ476"/>
      <c r="YA476"/>
      <c r="YB476"/>
      <c r="YC476"/>
      <c r="YD476"/>
      <c r="YE476"/>
      <c r="YF476"/>
      <c r="YG476"/>
      <c r="YH476"/>
      <c r="YI476"/>
      <c r="YJ476"/>
      <c r="YK476"/>
      <c r="YL476"/>
      <c r="YM476"/>
      <c r="YN476"/>
      <c r="YO476"/>
      <c r="YP476"/>
      <c r="YQ476"/>
      <c r="YR476"/>
      <c r="YS476"/>
      <c r="YT476"/>
      <c r="YU476"/>
      <c r="YV476"/>
      <c r="YW476"/>
      <c r="YX476"/>
      <c r="YY476"/>
      <c r="YZ476"/>
      <c r="ZA476"/>
      <c r="ZB476"/>
      <c r="ZC476"/>
      <c r="ZD476"/>
      <c r="ZE476"/>
      <c r="ZF476"/>
      <c r="ZG476"/>
      <c r="ZH476"/>
      <c r="ZI476"/>
      <c r="ZJ476"/>
      <c r="ZK476"/>
      <c r="ZL476"/>
      <c r="ZM476"/>
      <c r="ZN476"/>
      <c r="ZO476"/>
      <c r="ZP476"/>
      <c r="ZQ476"/>
      <c r="ZR476"/>
      <c r="ZS476"/>
      <c r="ZT476"/>
      <c r="ZU476"/>
      <c r="ZV476"/>
      <c r="ZW476"/>
      <c r="ZX476"/>
      <c r="ZY476"/>
      <c r="ZZ476" s="52"/>
      <c r="AAA476" s="192"/>
      <c r="AAD476" s="90"/>
      <c r="AAE476" s="519">
        <f t="shared" si="399"/>
        <v>1</v>
      </c>
      <c r="AAF476" s="90"/>
      <c r="AAG476" s="72"/>
      <c r="AAH476" s="72"/>
      <c r="AAI476" s="72"/>
      <c r="AAJ476" s="72"/>
      <c r="AAK476" s="80" t="str">
        <f>"* reminds "&amp;S.Staff.DA&amp;" &amp; "&amp;S.Staff.CheifPublicAffairsOfficer&amp;" that this IS the lead DA review period"</f>
        <v>* reminds Andy &amp; JoanieS that this IS the lead DA review period</v>
      </c>
      <c r="AAL476" s="90"/>
    </row>
    <row r="477" spans="1:715" s="23" customFormat="1" ht="15" customHeight="1" outlineLevel="1">
      <c r="A477" s="171"/>
      <c r="B477" s="384" t="str">
        <f>AAK477</f>
        <v>Andy personalizes EMAIL.PREVIEW and</v>
      </c>
      <c r="C477" s="360" t="s">
        <v>0</v>
      </c>
      <c r="D477"/>
      <c r="E477"/>
      <c r="F477"/>
      <c r="G477"/>
      <c r="H477"/>
      <c r="I477" s="244"/>
      <c r="J477" s="194"/>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c r="DK477" s="49"/>
      <c r="DL477" s="49"/>
      <c r="DM477" s="49"/>
      <c r="DN477" s="49"/>
      <c r="DO477" s="49"/>
      <c r="DP477" s="49"/>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c r="ST477"/>
      <c r="SU477"/>
      <c r="SV477"/>
      <c r="SW477"/>
      <c r="SX477"/>
      <c r="SY477"/>
      <c r="SZ477"/>
      <c r="TA477"/>
      <c r="TB477"/>
      <c r="TC477"/>
      <c r="TD477"/>
      <c r="TE477"/>
      <c r="TF477"/>
      <c r="TG477"/>
      <c r="TH477"/>
      <c r="TI477"/>
      <c r="TJ477"/>
      <c r="TK477"/>
      <c r="TL477"/>
      <c r="TM477"/>
      <c r="TN477"/>
      <c r="TO477"/>
      <c r="TP477"/>
      <c r="TQ477"/>
      <c r="TR477"/>
      <c r="TS477"/>
      <c r="TT477"/>
      <c r="TU477"/>
      <c r="TV477"/>
      <c r="TW477"/>
      <c r="TX477"/>
      <c r="TY477"/>
      <c r="TZ477"/>
      <c r="UA477"/>
      <c r="UB477"/>
      <c r="UC477"/>
      <c r="UD477"/>
      <c r="UE477"/>
      <c r="UF477"/>
      <c r="UG477"/>
      <c r="UH477"/>
      <c r="UI477"/>
      <c r="UJ477"/>
      <c r="UK477"/>
      <c r="UL477"/>
      <c r="UM477"/>
      <c r="UN477"/>
      <c r="UO477"/>
      <c r="UP477"/>
      <c r="UQ477"/>
      <c r="UR477"/>
      <c r="US477"/>
      <c r="UT477"/>
      <c r="UU477"/>
      <c r="UV477"/>
      <c r="UW477"/>
      <c r="UX477"/>
      <c r="UY477"/>
      <c r="UZ477"/>
      <c r="VA477"/>
      <c r="VB477"/>
      <c r="VC477"/>
      <c r="VD477"/>
      <c r="VE477"/>
      <c r="VF477"/>
      <c r="VG477"/>
      <c r="VH477"/>
      <c r="VI477"/>
      <c r="VJ477"/>
      <c r="VK477"/>
      <c r="VL477"/>
      <c r="VM477"/>
      <c r="VN477"/>
      <c r="VO477"/>
      <c r="VP477"/>
      <c r="VQ477"/>
      <c r="VR477"/>
      <c r="VS477"/>
      <c r="VT477"/>
      <c r="VU477"/>
      <c r="VV477"/>
      <c r="VW477"/>
      <c r="VX477"/>
      <c r="VY477"/>
      <c r="VZ477"/>
      <c r="WA477"/>
      <c r="WB477"/>
      <c r="WC477"/>
      <c r="WD477"/>
      <c r="WE477"/>
      <c r="WF477"/>
      <c r="WG477"/>
      <c r="WH477"/>
      <c r="WI477"/>
      <c r="WJ477"/>
      <c r="WK477"/>
      <c r="WL477"/>
      <c r="WM477"/>
      <c r="WN477"/>
      <c r="WO477"/>
      <c r="WP477"/>
      <c r="WQ477"/>
      <c r="WR477"/>
      <c r="WS477"/>
      <c r="WT477"/>
      <c r="WU477"/>
      <c r="WV477"/>
      <c r="WW477"/>
      <c r="WX477"/>
      <c r="WY477"/>
      <c r="WZ477"/>
      <c r="XA477"/>
      <c r="XB477"/>
      <c r="XC477"/>
      <c r="XD477"/>
      <c r="XE477"/>
      <c r="XF477"/>
      <c r="XG477"/>
      <c r="XH477"/>
      <c r="XI477"/>
      <c r="XJ477"/>
      <c r="XK477"/>
      <c r="XL477"/>
      <c r="XM477"/>
      <c r="XN477"/>
      <c r="XO477"/>
      <c r="XP477"/>
      <c r="XQ477"/>
      <c r="XR477"/>
      <c r="XS477"/>
      <c r="XT477"/>
      <c r="XU477"/>
      <c r="XV477"/>
      <c r="XW477"/>
      <c r="XX477"/>
      <c r="XY477"/>
      <c r="XZ477"/>
      <c r="YA477"/>
      <c r="YB477"/>
      <c r="YC477"/>
      <c r="YD477"/>
      <c r="YE477"/>
      <c r="YF477"/>
      <c r="YG477"/>
      <c r="YH477"/>
      <c r="YI477"/>
      <c r="YJ477"/>
      <c r="YK477"/>
      <c r="YL477"/>
      <c r="YM477"/>
      <c r="YN477"/>
      <c r="YO477"/>
      <c r="YP477"/>
      <c r="YQ477"/>
      <c r="YR477"/>
      <c r="YS477"/>
      <c r="YT477"/>
      <c r="YU477"/>
      <c r="YV477"/>
      <c r="YW477"/>
      <c r="YX477"/>
      <c r="YY477"/>
      <c r="YZ477"/>
      <c r="ZA477"/>
      <c r="ZB477"/>
      <c r="ZC477"/>
      <c r="ZD477"/>
      <c r="ZE477"/>
      <c r="ZF477"/>
      <c r="ZG477"/>
      <c r="ZH477"/>
      <c r="ZI477"/>
      <c r="ZJ477"/>
      <c r="ZK477"/>
      <c r="ZL477"/>
      <c r="ZM477"/>
      <c r="ZN477"/>
      <c r="ZO477"/>
      <c r="ZP477"/>
      <c r="ZQ477"/>
      <c r="ZR477"/>
      <c r="ZS477"/>
      <c r="ZT477"/>
      <c r="ZU477"/>
      <c r="ZV477"/>
      <c r="ZW477"/>
      <c r="ZX477"/>
      <c r="ZY477"/>
      <c r="ZZ477" s="52"/>
      <c r="AAA477" s="192" t="s">
        <v>0</v>
      </c>
      <c r="AAD477" s="90"/>
      <c r="AAE477" s="519">
        <f t="shared" si="399"/>
        <v>1</v>
      </c>
      <c r="AAF477" s="90"/>
      <c r="AAG477" s="72"/>
      <c r="AAH477" s="72"/>
      <c r="AAI477" s="72"/>
      <c r="AAJ477" s="72"/>
      <c r="AAK477" s="80" t="str">
        <f>S.Staff.DA&amp;" personalizes EMAIL.PREVIEW and"</f>
        <v>Andy personalizes EMAIL.PREVIEW and</v>
      </c>
      <c r="AAL477" s="90"/>
    </row>
    <row r="478" spans="1:715" s="23" customFormat="1" ht="15" customHeight="1" outlineLevel="1">
      <c r="A478" s="171"/>
      <c r="B478" s="621" t="s">
        <v>213</v>
      </c>
      <c r="C478" s="376" t="s">
        <v>0</v>
      </c>
      <c r="D478" s="380"/>
      <c r="E478"/>
      <c r="F478" s="457">
        <f t="shared" ca="1" si="405"/>
        <v>15</v>
      </c>
      <c r="G478"/>
      <c r="H478" s="351">
        <f>AAH478</f>
        <v>41596</v>
      </c>
      <c r="I478" s="244"/>
      <c r="J478" s="194"/>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c r="DK478" s="49"/>
      <c r="DL478" s="49"/>
      <c r="DM478" s="49"/>
      <c r="DN478" s="49"/>
      <c r="DO478" s="49"/>
      <c r="DP478" s="49"/>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c r="ST478"/>
      <c r="SU478"/>
      <c r="SV478"/>
      <c r="SW478"/>
      <c r="SX478"/>
      <c r="SY478"/>
      <c r="SZ478"/>
      <c r="TA478"/>
      <c r="TB478"/>
      <c r="TC478"/>
      <c r="TD478"/>
      <c r="TE478"/>
      <c r="TF478"/>
      <c r="TG478"/>
      <c r="TH478"/>
      <c r="TI478"/>
      <c r="TJ478"/>
      <c r="TK478"/>
      <c r="TL478"/>
      <c r="TM478"/>
      <c r="TN478"/>
      <c r="TO478"/>
      <c r="TP478"/>
      <c r="TQ478"/>
      <c r="TR478"/>
      <c r="TS478"/>
      <c r="TT478"/>
      <c r="TU478"/>
      <c r="TV478"/>
      <c r="TW478"/>
      <c r="TX478"/>
      <c r="TY478"/>
      <c r="TZ478"/>
      <c r="UA478"/>
      <c r="UB478"/>
      <c r="UC478"/>
      <c r="UD478"/>
      <c r="UE478"/>
      <c r="UF478"/>
      <c r="UG478"/>
      <c r="UH478"/>
      <c r="UI478"/>
      <c r="UJ478"/>
      <c r="UK478"/>
      <c r="UL478"/>
      <c r="UM478"/>
      <c r="UN478"/>
      <c r="UO478"/>
      <c r="UP478"/>
      <c r="UQ478"/>
      <c r="UR478"/>
      <c r="US478"/>
      <c r="UT478"/>
      <c r="UU478"/>
      <c r="UV478"/>
      <c r="UW478"/>
      <c r="UX478"/>
      <c r="UY478"/>
      <c r="UZ478"/>
      <c r="VA478"/>
      <c r="VB478"/>
      <c r="VC478"/>
      <c r="VD478"/>
      <c r="VE478"/>
      <c r="VF478"/>
      <c r="VG478"/>
      <c r="VH478"/>
      <c r="VI478"/>
      <c r="VJ478"/>
      <c r="VK478"/>
      <c r="VL478"/>
      <c r="VM478"/>
      <c r="VN478"/>
      <c r="VO478"/>
      <c r="VP478"/>
      <c r="VQ478"/>
      <c r="VR478"/>
      <c r="VS478"/>
      <c r="VT478"/>
      <c r="VU478"/>
      <c r="VV478"/>
      <c r="VW478"/>
      <c r="VX478"/>
      <c r="VY478"/>
      <c r="VZ478"/>
      <c r="WA478"/>
      <c r="WB478"/>
      <c r="WC478"/>
      <c r="WD478"/>
      <c r="WE478"/>
      <c r="WF478"/>
      <c r="WG478"/>
      <c r="WH478"/>
      <c r="WI478"/>
      <c r="WJ478"/>
      <c r="WK478"/>
      <c r="WL478"/>
      <c r="WM478"/>
      <c r="WN478"/>
      <c r="WO478"/>
      <c r="WP478"/>
      <c r="WQ478"/>
      <c r="WR478"/>
      <c r="WS478"/>
      <c r="WT478"/>
      <c r="WU478"/>
      <c r="WV478"/>
      <c r="WW478"/>
      <c r="WX478"/>
      <c r="WY478"/>
      <c r="WZ478"/>
      <c r="XA478"/>
      <c r="XB478"/>
      <c r="XC478"/>
      <c r="XD478"/>
      <c r="XE478"/>
      <c r="XF478"/>
      <c r="XG478"/>
      <c r="XH478"/>
      <c r="XI478"/>
      <c r="XJ478"/>
      <c r="XK478"/>
      <c r="XL478"/>
      <c r="XM478"/>
      <c r="XN478"/>
      <c r="XO478"/>
      <c r="XP478"/>
      <c r="XQ478"/>
      <c r="XR478"/>
      <c r="XS478"/>
      <c r="XT478"/>
      <c r="XU478"/>
      <c r="XV478"/>
      <c r="XW478"/>
      <c r="XX478"/>
      <c r="XY478"/>
      <c r="XZ478"/>
      <c r="YA478"/>
      <c r="YB478"/>
      <c r="YC478"/>
      <c r="YD478"/>
      <c r="YE478"/>
      <c r="YF478"/>
      <c r="YG478"/>
      <c r="YH478"/>
      <c r="YI478"/>
      <c r="YJ478"/>
      <c r="YK478"/>
      <c r="YL478"/>
      <c r="YM478"/>
      <c r="YN478"/>
      <c r="YO478"/>
      <c r="YP478"/>
      <c r="YQ478"/>
      <c r="YR478"/>
      <c r="YS478"/>
      <c r="YT478"/>
      <c r="YU478"/>
      <c r="YV478"/>
      <c r="YW478"/>
      <c r="YX478"/>
      <c r="YY478"/>
      <c r="YZ478"/>
      <c r="ZA478"/>
      <c r="ZB478"/>
      <c r="ZC478"/>
      <c r="ZD478"/>
      <c r="ZE478"/>
      <c r="ZF478"/>
      <c r="ZG478"/>
      <c r="ZH478"/>
      <c r="ZI478"/>
      <c r="ZJ478"/>
      <c r="ZK478"/>
      <c r="ZL478"/>
      <c r="ZM478"/>
      <c r="ZN478"/>
      <c r="ZO478"/>
      <c r="ZP478"/>
      <c r="ZQ478"/>
      <c r="ZR478"/>
      <c r="ZS478"/>
      <c r="ZT478"/>
      <c r="ZU478"/>
      <c r="ZV478"/>
      <c r="ZW478"/>
      <c r="ZX478"/>
      <c r="ZY478"/>
      <c r="ZZ478" s="52"/>
      <c r="AAA478" s="192"/>
      <c r="AAB478"/>
      <c r="AAC478"/>
      <c r="AAD478" s="90"/>
      <c r="AAE478" s="519">
        <f t="shared" si="399"/>
        <v>1</v>
      </c>
      <c r="AAF478" s="90"/>
      <c r="AAG478" s="72"/>
      <c r="AAH478" s="73">
        <f>IF(AAE478=0,,WORKDAY(S.Notice.DABriefing,1,S.DDL_DEQClosed))</f>
        <v>41596</v>
      </c>
      <c r="AAI478" s="72"/>
      <c r="AAJ478" s="72"/>
      <c r="AAK478" s="56"/>
      <c r="AAL478" s="90"/>
    </row>
    <row r="479" spans="1:715" ht="15" customHeight="1" outlineLevel="1">
      <c r="A479" s="171"/>
      <c r="B479" s="622" t="s">
        <v>284</v>
      </c>
      <c r="C479" s="386"/>
      <c r="D479" s="385"/>
      <c r="E479"/>
      <c r="F479" s="387"/>
      <c r="G479" s="388"/>
      <c r="H479" s="388"/>
      <c r="I479" s="244"/>
      <c r="J479" s="194"/>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c r="DK479" s="49"/>
      <c r="DL479" s="49"/>
      <c r="DM479" s="49"/>
      <c r="DN479" s="49"/>
      <c r="DO479" s="49"/>
      <c r="DP479" s="49"/>
      <c r="AAA479" s="192"/>
      <c r="AAD479" s="90"/>
      <c r="AAE479" s="519">
        <f t="shared" si="399"/>
        <v>1</v>
      </c>
      <c r="AAF479" s="190" t="s">
        <v>52</v>
      </c>
      <c r="AAG479" s="71"/>
      <c r="AAH479" s="71"/>
      <c r="AAI479" s="72"/>
      <c r="AAJ479" s="72"/>
      <c r="AAK479" s="56"/>
      <c r="AAL479" s="90"/>
      <c r="AAM479"/>
    </row>
    <row r="480" spans="1:715" ht="15" customHeight="1" outlineLevel="1">
      <c r="A480" s="171"/>
      <c r="B480" s="622" t="s">
        <v>121</v>
      </c>
      <c r="C480" s="386"/>
      <c r="D480" s="385"/>
      <c r="E480"/>
      <c r="F480" s="387"/>
      <c r="G480" s="388"/>
      <c r="H480" s="388"/>
      <c r="I480" s="244"/>
      <c r="J480" s="194"/>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c r="DK480" s="49"/>
      <c r="DL480" s="49"/>
      <c r="DM480" s="49"/>
      <c r="DN480" s="49"/>
      <c r="DO480" s="49"/>
      <c r="DP480" s="49"/>
      <c r="AAA480" s="192"/>
      <c r="AAD480" s="90"/>
      <c r="AAE480" s="519">
        <f t="shared" si="399"/>
        <v>1</v>
      </c>
      <c r="AAF480" s="190" t="s">
        <v>52</v>
      </c>
      <c r="AAG480" s="71"/>
      <c r="AAH480" s="71"/>
      <c r="AAI480" s="72" t="s">
        <v>0</v>
      </c>
      <c r="AAJ480" s="72"/>
      <c r="AAK480" s="56"/>
      <c r="AAL480" s="90"/>
      <c r="AAM480"/>
    </row>
    <row r="481" spans="1:715" ht="15" customHeight="1" outlineLevel="1">
      <c r="A481" s="171"/>
      <c r="B481" s="623" t="s">
        <v>214</v>
      </c>
      <c r="C481" s="379" t="s">
        <v>0</v>
      </c>
      <c r="D481" s="380"/>
      <c r="E481"/>
      <c r="F481" s="457">
        <f ca="1">IF(YEAR(H481)&gt;2000,NETWORKDAYS(TODAY(),H481,S.DDL_DEQClosed),0)</f>
        <v>22</v>
      </c>
      <c r="G481"/>
      <c r="H481" s="355">
        <f t="shared" ref="H481" si="410">AAH481</f>
        <v>41605</v>
      </c>
      <c r="I481" s="244"/>
      <c r="J481" s="194"/>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c r="DK481" s="49"/>
      <c r="DL481" s="49"/>
      <c r="DM481" s="49"/>
      <c r="DN481" s="49"/>
      <c r="DO481" s="49"/>
      <c r="DP481" s="49"/>
      <c r="AAA481" s="192"/>
      <c r="AAD481" s="90"/>
      <c r="AAE481" s="519">
        <f t="shared" si="399"/>
        <v>1</v>
      </c>
      <c r="AAF481" s="90"/>
      <c r="AAG481" s="71"/>
      <c r="AAH481" s="73">
        <f>IF(AAE481=0,,WORKDAY(S.Notice.PreviewBegin,7,S.DDL_DEQClosed))</f>
        <v>41605</v>
      </c>
      <c r="AAI481" s="722" t="s">
        <v>0</v>
      </c>
      <c r="AAJ481" s="72"/>
      <c r="AAK481" s="56"/>
      <c r="AAL481" s="90"/>
      <c r="AAM481"/>
    </row>
    <row r="482" spans="1:715" s="23" customFormat="1" ht="15" customHeight="1" outlineLevel="1">
      <c r="A482" s="171"/>
      <c r="B482" s="361" t="str">
        <f>AAK482</f>
        <v>AndreaRW:</v>
      </c>
      <c r="C482" s="362"/>
      <c r="D482" s="362"/>
      <c r="E482" s="350"/>
      <c r="F482" s="350"/>
      <c r="G482" s="346"/>
      <c r="H482" s="346"/>
      <c r="I482" s="244"/>
      <c r="J482" s="194"/>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c r="DK482" s="49"/>
      <c r="DL482" s="49"/>
      <c r="DM482" s="49"/>
      <c r="DN482" s="49"/>
      <c r="DO482" s="49"/>
      <c r="DP482" s="49"/>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c r="ST482"/>
      <c r="SU482"/>
      <c r="SV482"/>
      <c r="SW482"/>
      <c r="SX482"/>
      <c r="SY482"/>
      <c r="SZ482"/>
      <c r="TA482"/>
      <c r="TB482"/>
      <c r="TC482"/>
      <c r="TD482"/>
      <c r="TE482"/>
      <c r="TF482"/>
      <c r="TG482"/>
      <c r="TH482"/>
      <c r="TI482"/>
      <c r="TJ482"/>
      <c r="TK482"/>
      <c r="TL482"/>
      <c r="TM482"/>
      <c r="TN482"/>
      <c r="TO482"/>
      <c r="TP482"/>
      <c r="TQ482"/>
      <c r="TR482"/>
      <c r="TS482"/>
      <c r="TT482"/>
      <c r="TU482"/>
      <c r="TV482"/>
      <c r="TW482"/>
      <c r="TX482"/>
      <c r="TY482"/>
      <c r="TZ482"/>
      <c r="UA482"/>
      <c r="UB482"/>
      <c r="UC482"/>
      <c r="UD482"/>
      <c r="UE482"/>
      <c r="UF482"/>
      <c r="UG482"/>
      <c r="UH482"/>
      <c r="UI482"/>
      <c r="UJ482"/>
      <c r="UK482"/>
      <c r="UL482"/>
      <c r="UM482"/>
      <c r="UN482"/>
      <c r="UO482"/>
      <c r="UP482"/>
      <c r="UQ482"/>
      <c r="UR482"/>
      <c r="US482"/>
      <c r="UT482"/>
      <c r="UU482"/>
      <c r="UV482"/>
      <c r="UW482"/>
      <c r="UX482"/>
      <c r="UY482"/>
      <c r="UZ482"/>
      <c r="VA482"/>
      <c r="VB482"/>
      <c r="VC482"/>
      <c r="VD482"/>
      <c r="VE482"/>
      <c r="VF482"/>
      <c r="VG482"/>
      <c r="VH482"/>
      <c r="VI482"/>
      <c r="VJ482"/>
      <c r="VK482"/>
      <c r="VL482"/>
      <c r="VM482"/>
      <c r="VN482"/>
      <c r="VO482"/>
      <c r="VP482"/>
      <c r="VQ482"/>
      <c r="VR482"/>
      <c r="VS482"/>
      <c r="VT482"/>
      <c r="VU482"/>
      <c r="VV482"/>
      <c r="VW482"/>
      <c r="VX482"/>
      <c r="VY482"/>
      <c r="VZ482"/>
      <c r="WA482"/>
      <c r="WB482"/>
      <c r="WC482"/>
      <c r="WD482"/>
      <c r="WE482"/>
      <c r="WF482"/>
      <c r="WG482"/>
      <c r="WH482"/>
      <c r="WI482"/>
      <c r="WJ482"/>
      <c r="WK482"/>
      <c r="WL482"/>
      <c r="WM482"/>
      <c r="WN482"/>
      <c r="WO482"/>
      <c r="WP482"/>
      <c r="WQ482"/>
      <c r="WR482"/>
      <c r="WS482"/>
      <c r="WT482"/>
      <c r="WU482"/>
      <c r="WV482"/>
      <c r="WW482"/>
      <c r="WX482"/>
      <c r="WY482"/>
      <c r="WZ482"/>
      <c r="XA482"/>
      <c r="XB482"/>
      <c r="XC482"/>
      <c r="XD482"/>
      <c r="XE482"/>
      <c r="XF482"/>
      <c r="XG482"/>
      <c r="XH482"/>
      <c r="XI482"/>
      <c r="XJ482"/>
      <c r="XK482"/>
      <c r="XL482"/>
      <c r="XM482"/>
      <c r="XN482"/>
      <c r="XO482"/>
      <c r="XP482"/>
      <c r="XQ482"/>
      <c r="XR482"/>
      <c r="XS482"/>
      <c r="XT482"/>
      <c r="XU482"/>
      <c r="XV482"/>
      <c r="XW482"/>
      <c r="XX482"/>
      <c r="XY482"/>
      <c r="XZ482"/>
      <c r="YA482"/>
      <c r="YB482"/>
      <c r="YC482"/>
      <c r="YD482"/>
      <c r="YE482"/>
      <c r="YF482"/>
      <c r="YG482"/>
      <c r="YH482"/>
      <c r="YI482"/>
      <c r="YJ482"/>
      <c r="YK482"/>
      <c r="YL482"/>
      <c r="YM482"/>
      <c r="YN482"/>
      <c r="YO482"/>
      <c r="YP482"/>
      <c r="YQ482"/>
      <c r="YR482"/>
      <c r="YS482"/>
      <c r="YT482"/>
      <c r="YU482"/>
      <c r="YV482"/>
      <c r="YW482"/>
      <c r="YX482"/>
      <c r="YY482"/>
      <c r="YZ482"/>
      <c r="ZA482"/>
      <c r="ZB482"/>
      <c r="ZC482"/>
      <c r="ZD482"/>
      <c r="ZE482"/>
      <c r="ZF482"/>
      <c r="ZG482"/>
      <c r="ZH482"/>
      <c r="ZI482"/>
      <c r="ZJ482"/>
      <c r="ZK482"/>
      <c r="ZL482"/>
      <c r="ZM482"/>
      <c r="ZN482"/>
      <c r="ZO482"/>
      <c r="ZP482"/>
      <c r="ZQ482"/>
      <c r="ZR482"/>
      <c r="ZS482"/>
      <c r="ZT482"/>
      <c r="ZU482"/>
      <c r="ZV482"/>
      <c r="ZW482"/>
      <c r="ZX482"/>
      <c r="ZY482"/>
      <c r="ZZ482" s="52"/>
      <c r="AAA482" s="192"/>
      <c r="AAD482" s="90"/>
      <c r="AAE482" s="519">
        <f t="shared" si="399"/>
        <v>1</v>
      </c>
      <c r="AAF482" s="190" t="s">
        <v>52</v>
      </c>
      <c r="AAG482" s="71"/>
      <c r="AAH482" s="71"/>
      <c r="AAI482" s="71"/>
      <c r="AAJ482" s="56"/>
      <c r="AAK482" s="254" t="str">
        <f>S.Staff.Lead&amp;":"</f>
        <v>AndreaRW:</v>
      </c>
      <c r="AAL482" s="90"/>
    </row>
    <row r="483" spans="1:715" s="23" customFormat="1" ht="15" customHeight="1" outlineLevel="1">
      <c r="A483" s="171"/>
      <c r="B483" s="396" t="s">
        <v>361</v>
      </c>
      <c r="C483" s="789" t="str">
        <f>HYPERLINK("\\deqhq1\Rule_Development\Currrent Plan","i")</f>
        <v>i</v>
      </c>
      <c r="D483" s="380"/>
      <c r="E483"/>
      <c r="F483" s="457">
        <f ca="1">IF(YEAR(H483)&gt;2000,NETWORKDAYS(TODAY(),H483,S.DDL_DEQClosed),0)</f>
        <v>15</v>
      </c>
      <c r="G483"/>
      <c r="H483" s="700">
        <f>AAH483</f>
        <v>41596</v>
      </c>
      <c r="I483" s="244"/>
      <c r="J483" s="194"/>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9"/>
      <c r="CD483" s="49"/>
      <c r="CE483" s="49"/>
      <c r="CF483" s="49"/>
      <c r="CG483" s="49"/>
      <c r="CH483" s="49"/>
      <c r="CI483" s="49"/>
      <c r="CJ483" s="49"/>
      <c r="CK483" s="49"/>
      <c r="CL483" s="49"/>
      <c r="CM483" s="49"/>
      <c r="CN483" s="49"/>
      <c r="CO483" s="49"/>
      <c r="CP483" s="49"/>
      <c r="CQ483" s="49"/>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c r="DP483" s="49"/>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c r="ST483"/>
      <c r="SU483"/>
      <c r="SV483"/>
      <c r="SW483"/>
      <c r="SX483"/>
      <c r="SY483"/>
      <c r="SZ483"/>
      <c r="TA483"/>
      <c r="TB483"/>
      <c r="TC483"/>
      <c r="TD483"/>
      <c r="TE483"/>
      <c r="TF483"/>
      <c r="TG483"/>
      <c r="TH483"/>
      <c r="TI483"/>
      <c r="TJ483"/>
      <c r="TK483"/>
      <c r="TL483"/>
      <c r="TM483"/>
      <c r="TN483"/>
      <c r="TO483"/>
      <c r="TP483"/>
      <c r="TQ483"/>
      <c r="TR483"/>
      <c r="TS483"/>
      <c r="TT483"/>
      <c r="TU483"/>
      <c r="TV483"/>
      <c r="TW483"/>
      <c r="TX483"/>
      <c r="TY483"/>
      <c r="TZ483"/>
      <c r="UA483"/>
      <c r="UB483"/>
      <c r="UC483"/>
      <c r="UD483"/>
      <c r="UE483"/>
      <c r="UF483"/>
      <c r="UG483"/>
      <c r="UH483"/>
      <c r="UI483"/>
      <c r="UJ483"/>
      <c r="UK483"/>
      <c r="UL483"/>
      <c r="UM483"/>
      <c r="UN483"/>
      <c r="UO483"/>
      <c r="UP483"/>
      <c r="UQ483"/>
      <c r="UR483"/>
      <c r="US483"/>
      <c r="UT483"/>
      <c r="UU483"/>
      <c r="UV483"/>
      <c r="UW483"/>
      <c r="UX483"/>
      <c r="UY483"/>
      <c r="UZ483"/>
      <c r="VA483"/>
      <c r="VB483"/>
      <c r="VC483"/>
      <c r="VD483"/>
      <c r="VE483"/>
      <c r="VF483"/>
      <c r="VG483"/>
      <c r="VH483"/>
      <c r="VI483"/>
      <c r="VJ483"/>
      <c r="VK483"/>
      <c r="VL483"/>
      <c r="VM483"/>
      <c r="VN483"/>
      <c r="VO483"/>
      <c r="VP483"/>
      <c r="VQ483"/>
      <c r="VR483"/>
      <c r="VS483"/>
      <c r="VT483"/>
      <c r="VU483"/>
      <c r="VV483"/>
      <c r="VW483"/>
      <c r="VX483"/>
      <c r="VY483"/>
      <c r="VZ483"/>
      <c r="WA483"/>
      <c r="WB483"/>
      <c r="WC483"/>
      <c r="WD483"/>
      <c r="WE483"/>
      <c r="WF483"/>
      <c r="WG483"/>
      <c r="WH483"/>
      <c r="WI483"/>
      <c r="WJ483"/>
      <c r="WK483"/>
      <c r="WL483"/>
      <c r="WM483"/>
      <c r="WN483"/>
      <c r="WO483"/>
      <c r="WP483"/>
      <c r="WQ483"/>
      <c r="WR483"/>
      <c r="WS483"/>
      <c r="WT483"/>
      <c r="WU483"/>
      <c r="WV483"/>
      <c r="WW483"/>
      <c r="WX483"/>
      <c r="WY483"/>
      <c r="WZ483"/>
      <c r="XA483"/>
      <c r="XB483"/>
      <c r="XC483"/>
      <c r="XD483"/>
      <c r="XE483"/>
      <c r="XF483"/>
      <c r="XG483"/>
      <c r="XH483"/>
      <c r="XI483"/>
      <c r="XJ483"/>
      <c r="XK483"/>
      <c r="XL483"/>
      <c r="XM483"/>
      <c r="XN483"/>
      <c r="XO483"/>
      <c r="XP483"/>
      <c r="XQ483"/>
      <c r="XR483"/>
      <c r="XS483"/>
      <c r="XT483"/>
      <c r="XU483"/>
      <c r="XV483"/>
      <c r="XW483"/>
      <c r="XX483"/>
      <c r="XY483"/>
      <c r="XZ483"/>
      <c r="YA483"/>
      <c r="YB483"/>
      <c r="YC483"/>
      <c r="YD483"/>
      <c r="YE483"/>
      <c r="YF483"/>
      <c r="YG483"/>
      <c r="YH483"/>
      <c r="YI483"/>
      <c r="YJ483"/>
      <c r="YK483"/>
      <c r="YL483"/>
      <c r="YM483"/>
      <c r="YN483"/>
      <c r="YO483"/>
      <c r="YP483"/>
      <c r="YQ483"/>
      <c r="YR483"/>
      <c r="YS483"/>
      <c r="YT483"/>
      <c r="YU483"/>
      <c r="YV483"/>
      <c r="YW483"/>
      <c r="YX483"/>
      <c r="YY483"/>
      <c r="YZ483"/>
      <c r="ZA483"/>
      <c r="ZB483"/>
      <c r="ZC483"/>
      <c r="ZD483"/>
      <c r="ZE483"/>
      <c r="ZF483"/>
      <c r="ZG483"/>
      <c r="ZH483"/>
      <c r="ZI483"/>
      <c r="ZJ483"/>
      <c r="ZK483"/>
      <c r="ZL483"/>
      <c r="ZM483"/>
      <c r="ZN483"/>
      <c r="ZO483"/>
      <c r="ZP483"/>
      <c r="ZQ483"/>
      <c r="ZR483"/>
      <c r="ZS483"/>
      <c r="ZT483"/>
      <c r="ZU483"/>
      <c r="ZV483"/>
      <c r="ZW483"/>
      <c r="ZX483"/>
      <c r="ZY483"/>
      <c r="ZZ483" s="52"/>
      <c r="AAA483" s="192" t="s">
        <v>0</v>
      </c>
      <c r="AAD483" s="90"/>
      <c r="AAE483" s="519">
        <f t="shared" si="399"/>
        <v>1</v>
      </c>
      <c r="AAF483" s="90"/>
      <c r="AAG483" s="72"/>
      <c r="AAH483" s="73">
        <f>IF(AAE483=0,,S.Notice.PreviewBegin)</f>
        <v>41596</v>
      </c>
      <c r="AAI483" s="71"/>
      <c r="AAJ483" s="72"/>
      <c r="AAK483" s="56"/>
      <c r="AAL483" s="90"/>
    </row>
    <row r="484" spans="1:715" s="23" customFormat="1" ht="15" customHeight="1" outlineLevel="1">
      <c r="A484" s="171"/>
      <c r="B484" s="396" t="s">
        <v>285</v>
      </c>
      <c r="C484" s="376" t="s">
        <v>0</v>
      </c>
      <c r="D484" s="380"/>
      <c r="E484" s="342">
        <f>NETWORKDAYS(G484,H484,S.DDL_DEQClosed)</f>
        <v>28</v>
      </c>
      <c r="F484" s="457">
        <f t="shared" ref="F484" ca="1" si="411">IF(YEAR(H484)&gt;2000,NETWORKDAYS(TODAY(),H484,S.DDL_DEQClosed),0)</f>
        <v>27</v>
      </c>
      <c r="G484" s="355">
        <f t="shared" ref="G484:G493" si="412">AAG484</f>
        <v>41572</v>
      </c>
      <c r="H484" s="355">
        <f t="shared" ref="H484:H498" si="413">AAH484</f>
        <v>41613</v>
      </c>
      <c r="I484" s="244"/>
      <c r="J484" s="194"/>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c r="DL484" s="49"/>
      <c r="DM484" s="49"/>
      <c r="DN484" s="49"/>
      <c r="DO484" s="49"/>
      <c r="DP484" s="49"/>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c r="ST484"/>
      <c r="SU484"/>
      <c r="SV484"/>
      <c r="SW484"/>
      <c r="SX484"/>
      <c r="SY484"/>
      <c r="SZ484"/>
      <c r="TA484"/>
      <c r="TB484"/>
      <c r="TC484"/>
      <c r="TD484"/>
      <c r="TE484"/>
      <c r="TF484"/>
      <c r="TG484"/>
      <c r="TH484"/>
      <c r="TI484"/>
      <c r="TJ484"/>
      <c r="TK484"/>
      <c r="TL484"/>
      <c r="TM484"/>
      <c r="TN484"/>
      <c r="TO484"/>
      <c r="TP484"/>
      <c r="TQ484"/>
      <c r="TR484"/>
      <c r="TS484"/>
      <c r="TT484"/>
      <c r="TU484"/>
      <c r="TV484"/>
      <c r="TW484"/>
      <c r="TX484"/>
      <c r="TY484"/>
      <c r="TZ484"/>
      <c r="UA484"/>
      <c r="UB484"/>
      <c r="UC484"/>
      <c r="UD484"/>
      <c r="UE484"/>
      <c r="UF484"/>
      <c r="UG484"/>
      <c r="UH484"/>
      <c r="UI484"/>
      <c r="UJ484"/>
      <c r="UK484"/>
      <c r="UL484"/>
      <c r="UM484"/>
      <c r="UN484"/>
      <c r="UO484"/>
      <c r="UP484"/>
      <c r="UQ484"/>
      <c r="UR484"/>
      <c r="US484"/>
      <c r="UT484"/>
      <c r="UU484"/>
      <c r="UV484"/>
      <c r="UW484"/>
      <c r="UX484"/>
      <c r="UY484"/>
      <c r="UZ484"/>
      <c r="VA484"/>
      <c r="VB484"/>
      <c r="VC484"/>
      <c r="VD484"/>
      <c r="VE484"/>
      <c r="VF484"/>
      <c r="VG484"/>
      <c r="VH484"/>
      <c r="VI484"/>
      <c r="VJ484"/>
      <c r="VK484"/>
      <c r="VL484"/>
      <c r="VM484"/>
      <c r="VN484"/>
      <c r="VO484"/>
      <c r="VP484"/>
      <c r="VQ484"/>
      <c r="VR484"/>
      <c r="VS484"/>
      <c r="VT484"/>
      <c r="VU484"/>
      <c r="VV484"/>
      <c r="VW484"/>
      <c r="VX484"/>
      <c r="VY484"/>
      <c r="VZ484"/>
      <c r="WA484"/>
      <c r="WB484"/>
      <c r="WC484"/>
      <c r="WD484"/>
      <c r="WE484"/>
      <c r="WF484"/>
      <c r="WG484"/>
      <c r="WH484"/>
      <c r="WI484"/>
      <c r="WJ484"/>
      <c r="WK484"/>
      <c r="WL484"/>
      <c r="WM484"/>
      <c r="WN484"/>
      <c r="WO484"/>
      <c r="WP484"/>
      <c r="WQ484"/>
      <c r="WR484"/>
      <c r="WS484"/>
      <c r="WT484"/>
      <c r="WU484"/>
      <c r="WV484"/>
      <c r="WW484"/>
      <c r="WX484"/>
      <c r="WY484"/>
      <c r="WZ484"/>
      <c r="XA484"/>
      <c r="XB484"/>
      <c r="XC484"/>
      <c r="XD484"/>
      <c r="XE484"/>
      <c r="XF484"/>
      <c r="XG484"/>
      <c r="XH484"/>
      <c r="XI484"/>
      <c r="XJ484"/>
      <c r="XK484"/>
      <c r="XL484"/>
      <c r="XM484"/>
      <c r="XN484"/>
      <c r="XO484"/>
      <c r="XP484"/>
      <c r="XQ484"/>
      <c r="XR484"/>
      <c r="XS484"/>
      <c r="XT484"/>
      <c r="XU484"/>
      <c r="XV484"/>
      <c r="XW484"/>
      <c r="XX484"/>
      <c r="XY484"/>
      <c r="XZ484"/>
      <c r="YA484"/>
      <c r="YB484"/>
      <c r="YC484"/>
      <c r="YD484"/>
      <c r="YE484"/>
      <c r="YF484"/>
      <c r="YG484"/>
      <c r="YH484"/>
      <c r="YI484"/>
      <c r="YJ484"/>
      <c r="YK484"/>
      <c r="YL484"/>
      <c r="YM484"/>
      <c r="YN484"/>
      <c r="YO484"/>
      <c r="YP484"/>
      <c r="YQ484"/>
      <c r="YR484"/>
      <c r="YS484"/>
      <c r="YT484"/>
      <c r="YU484"/>
      <c r="YV484"/>
      <c r="YW484"/>
      <c r="YX484"/>
      <c r="YY484"/>
      <c r="YZ484"/>
      <c r="ZA484"/>
      <c r="ZB484"/>
      <c r="ZC484"/>
      <c r="ZD484"/>
      <c r="ZE484"/>
      <c r="ZF484"/>
      <c r="ZG484"/>
      <c r="ZH484"/>
      <c r="ZI484"/>
      <c r="ZJ484"/>
      <c r="ZK484"/>
      <c r="ZL484"/>
      <c r="ZM484"/>
      <c r="ZN484"/>
      <c r="ZO484"/>
      <c r="ZP484"/>
      <c r="ZQ484"/>
      <c r="ZR484"/>
      <c r="ZS484"/>
      <c r="ZT484"/>
      <c r="ZU484"/>
      <c r="ZV484"/>
      <c r="ZW484"/>
      <c r="ZX484"/>
      <c r="ZY484"/>
      <c r="ZZ484" s="52"/>
      <c r="AAA484" s="192" t="s">
        <v>0</v>
      </c>
      <c r="AAD484" s="90"/>
      <c r="AAE484" s="519">
        <f t="shared" si="399"/>
        <v>1</v>
      </c>
      <c r="AAF484" s="90"/>
      <c r="AAG484" s="73">
        <f>IF(AAE484=0,,S.Notice.BANNER.Begin)</f>
        <v>41572</v>
      </c>
      <c r="AAH484" s="73">
        <f t="shared" ref="AAH484:AAH489" si="414">IF(AAE484=0,,WORKDAY(S.Notice.EMAIL.RulePublication,-1,S.DDL_DEQClosed))</f>
        <v>41613</v>
      </c>
      <c r="AAI484" s="72"/>
      <c r="AAJ484" s="72"/>
      <c r="AAK484" s="56"/>
      <c r="AAL484" s="90"/>
    </row>
    <row r="485" spans="1:715" ht="15" customHeight="1" outlineLevel="1">
      <c r="A485" s="171"/>
      <c r="B485" s="396" t="str">
        <f t="shared" ref="B485" si="415">AAK485</f>
        <v>* talks with MargaretMGR decides how to address any feedback</v>
      </c>
      <c r="C485" s="376" t="s">
        <v>0</v>
      </c>
      <c r="D485" s="380"/>
      <c r="E485" s="23"/>
      <c r="F485" s="457">
        <f t="shared" ref="F485:F493" ca="1" si="416">IF(YEAR(H485)&gt;2000,NETWORKDAYS(TODAY(),H485,S.DDL_DEQClosed),0)</f>
        <v>27</v>
      </c>
      <c r="G485" s="355">
        <f t="shared" si="412"/>
        <v>41572</v>
      </c>
      <c r="H485" s="355">
        <f t="shared" si="413"/>
        <v>41613</v>
      </c>
      <c r="I485" s="244"/>
      <c r="J485" s="194"/>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c r="DL485" s="49"/>
      <c r="DM485" s="49"/>
      <c r="DN485" s="49"/>
      <c r="DO485" s="49"/>
      <c r="DP485" s="49"/>
      <c r="AAA485" s="192" t="s">
        <v>0</v>
      </c>
      <c r="AAD485" s="90"/>
      <c r="AAE485" s="519">
        <f t="shared" si="399"/>
        <v>1</v>
      </c>
      <c r="AAF485" s="90"/>
      <c r="AAG485" s="73">
        <f>IF(AAE485=0,,S.Notice.BANNER.Begin)</f>
        <v>41572</v>
      </c>
      <c r="AAH485" s="73">
        <f t="shared" si="414"/>
        <v>41613</v>
      </c>
      <c r="AAI485" s="72"/>
      <c r="AAJ485" s="72"/>
      <c r="AAK485" s="80" t="str">
        <f>"* talks with "&amp; S.Staff.Mgr&amp;" decides how to address any feedback"</f>
        <v>* talks with MargaretMGR decides how to address any feedback</v>
      </c>
      <c r="AAL485" s="90"/>
      <c r="AAM485"/>
    </row>
    <row r="486" spans="1:715" ht="15" customHeight="1" outlineLevel="1">
      <c r="A486" s="171"/>
      <c r="B486" s="407" t="s">
        <v>368</v>
      </c>
      <c r="C486" s="791" t="str">
        <f>HYPERLINK("\\deqhq1\Rule_Resources\i\EMAIL.BUDGET.SIGNOFF.docx","i")</f>
        <v>i</v>
      </c>
      <c r="D486" s="380"/>
      <c r="E486" s="342">
        <f t="shared" ref="E486:E488" si="417">NETWORKDAYS(G486,H486,S.DDL_DEQClosed)</f>
        <v>28</v>
      </c>
      <c r="F486" s="457">
        <f t="shared" ca="1" si="416"/>
        <v>27</v>
      </c>
      <c r="G486" s="355">
        <f t="shared" si="412"/>
        <v>41572</v>
      </c>
      <c r="H486" s="355">
        <f t="shared" si="413"/>
        <v>41613</v>
      </c>
      <c r="I486" s="244"/>
      <c r="J486" s="194"/>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9"/>
      <c r="CD486" s="49"/>
      <c r="CE486" s="49"/>
      <c r="CF486" s="49"/>
      <c r="CG486" s="49"/>
      <c r="CH486" s="49"/>
      <c r="CI486" s="49"/>
      <c r="CJ486" s="49"/>
      <c r="CK486" s="49"/>
      <c r="CL486" s="49"/>
      <c r="CM486" s="49"/>
      <c r="CN486" s="49"/>
      <c r="CO486" s="49"/>
      <c r="CP486" s="49"/>
      <c r="CQ486" s="49"/>
      <c r="CR486" s="49"/>
      <c r="CS486" s="49"/>
      <c r="CT486" s="49"/>
      <c r="CU486" s="49"/>
      <c r="CV486" s="49"/>
      <c r="CW486" s="49"/>
      <c r="CX486" s="49"/>
      <c r="CY486" s="49"/>
      <c r="CZ486" s="49"/>
      <c r="DA486" s="49"/>
      <c r="DB486" s="49"/>
      <c r="DC486" s="49"/>
      <c r="DD486" s="49"/>
      <c r="DE486" s="49"/>
      <c r="DF486" s="49"/>
      <c r="DG486" s="49"/>
      <c r="DH486" s="49"/>
      <c r="DI486" s="49"/>
      <c r="DJ486" s="49"/>
      <c r="DK486" s="49"/>
      <c r="DL486" s="49"/>
      <c r="DM486" s="49"/>
      <c r="DN486" s="49"/>
      <c r="DO486" s="49"/>
      <c r="DP486" s="49"/>
      <c r="AAA486" s="192" t="s">
        <v>0</v>
      </c>
      <c r="AAD486" s="90"/>
      <c r="AAE486" s="519">
        <f t="shared" si="399"/>
        <v>1</v>
      </c>
      <c r="AAF486" s="90"/>
      <c r="AAG486" s="73">
        <f>IF(AAE486=0,,S.Notice.BANNER.Begin)</f>
        <v>41572</v>
      </c>
      <c r="AAH486" s="73">
        <f t="shared" si="414"/>
        <v>41613</v>
      </c>
      <c r="AAI486" s="72"/>
      <c r="AAJ486" s="72"/>
      <c r="AAK486" s="56"/>
      <c r="AAL486" s="90"/>
      <c r="AAM486"/>
    </row>
    <row r="487" spans="1:715" s="23" customFormat="1" ht="15" customHeight="1" outlineLevel="1">
      <c r="A487" s="171"/>
      <c r="B487" s="304" t="s">
        <v>411</v>
      </c>
      <c r="C487" s="789" t="str">
        <f>HYPERLINK("\\deqhq1\Rule_Development\Currrent Plan","i")</f>
        <v>i</v>
      </c>
      <c r="D487" s="380"/>
      <c r="E487"/>
      <c r="F487"/>
      <c r="G487"/>
      <c r="H487" s="355">
        <f t="shared" si="413"/>
        <v>41613</v>
      </c>
      <c r="I487" s="244"/>
      <c r="J487" s="194"/>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9"/>
      <c r="CD487" s="49"/>
      <c r="CE487" s="49"/>
      <c r="CF487" s="49"/>
      <c r="CG487" s="49"/>
      <c r="CH487" s="49"/>
      <c r="CI487" s="49"/>
      <c r="CJ487" s="49"/>
      <c r="CK487" s="49"/>
      <c r="CL487" s="49"/>
      <c r="CM487" s="49"/>
      <c r="CN487" s="49"/>
      <c r="CO487" s="49"/>
      <c r="CP487" s="49"/>
      <c r="CQ487" s="49"/>
      <c r="CR487" s="49"/>
      <c r="CS487" s="49"/>
      <c r="CT487" s="49"/>
      <c r="CU487" s="49"/>
      <c r="CV487" s="49"/>
      <c r="CW487" s="49"/>
      <c r="CX487" s="49"/>
      <c r="CY487" s="49"/>
      <c r="CZ487" s="49"/>
      <c r="DA487" s="49"/>
      <c r="DB487" s="49"/>
      <c r="DC487" s="49"/>
      <c r="DD487" s="49"/>
      <c r="DE487" s="49"/>
      <c r="DF487" s="49"/>
      <c r="DG487" s="49"/>
      <c r="DH487" s="49"/>
      <c r="DI487" s="49"/>
      <c r="DJ487" s="49"/>
      <c r="DK487" s="49"/>
      <c r="DL487" s="49"/>
      <c r="DM487" s="49"/>
      <c r="DN487" s="49"/>
      <c r="DO487" s="49"/>
      <c r="DP487" s="49"/>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c r="ST487"/>
      <c r="SU487"/>
      <c r="SV487"/>
      <c r="SW487"/>
      <c r="SX487"/>
      <c r="SY487"/>
      <c r="SZ487"/>
      <c r="TA487"/>
      <c r="TB487"/>
      <c r="TC487"/>
      <c r="TD487"/>
      <c r="TE487"/>
      <c r="TF487"/>
      <c r="TG487"/>
      <c r="TH487"/>
      <c r="TI487"/>
      <c r="TJ487"/>
      <c r="TK487"/>
      <c r="TL487"/>
      <c r="TM487"/>
      <c r="TN487"/>
      <c r="TO487"/>
      <c r="TP487"/>
      <c r="TQ487"/>
      <c r="TR487"/>
      <c r="TS487"/>
      <c r="TT487"/>
      <c r="TU487"/>
      <c r="TV487"/>
      <c r="TW487"/>
      <c r="TX487"/>
      <c r="TY487"/>
      <c r="TZ487"/>
      <c r="UA487"/>
      <c r="UB487"/>
      <c r="UC487"/>
      <c r="UD487"/>
      <c r="UE487"/>
      <c r="UF487"/>
      <c r="UG487"/>
      <c r="UH487"/>
      <c r="UI487"/>
      <c r="UJ487"/>
      <c r="UK487"/>
      <c r="UL487"/>
      <c r="UM487"/>
      <c r="UN487"/>
      <c r="UO487"/>
      <c r="UP487"/>
      <c r="UQ487"/>
      <c r="UR487"/>
      <c r="US487"/>
      <c r="UT487"/>
      <c r="UU487"/>
      <c r="UV487"/>
      <c r="UW487"/>
      <c r="UX487"/>
      <c r="UY487"/>
      <c r="UZ487"/>
      <c r="VA487"/>
      <c r="VB487"/>
      <c r="VC487"/>
      <c r="VD487"/>
      <c r="VE487"/>
      <c r="VF487"/>
      <c r="VG487"/>
      <c r="VH487"/>
      <c r="VI487"/>
      <c r="VJ487"/>
      <c r="VK487"/>
      <c r="VL487"/>
      <c r="VM487"/>
      <c r="VN487"/>
      <c r="VO487"/>
      <c r="VP487"/>
      <c r="VQ487"/>
      <c r="VR487"/>
      <c r="VS487"/>
      <c r="VT487"/>
      <c r="VU487"/>
      <c r="VV487"/>
      <c r="VW487"/>
      <c r="VX487"/>
      <c r="VY487"/>
      <c r="VZ487"/>
      <c r="WA487"/>
      <c r="WB487"/>
      <c r="WC487"/>
      <c r="WD487"/>
      <c r="WE487"/>
      <c r="WF487"/>
      <c r="WG487"/>
      <c r="WH487"/>
      <c r="WI487"/>
      <c r="WJ487"/>
      <c r="WK487"/>
      <c r="WL487"/>
      <c r="WM487"/>
      <c r="WN487"/>
      <c r="WO487"/>
      <c r="WP487"/>
      <c r="WQ487"/>
      <c r="WR487"/>
      <c r="WS487"/>
      <c r="WT487"/>
      <c r="WU487"/>
      <c r="WV487"/>
      <c r="WW487"/>
      <c r="WX487"/>
      <c r="WY487"/>
      <c r="WZ487"/>
      <c r="XA487"/>
      <c r="XB487"/>
      <c r="XC487"/>
      <c r="XD487"/>
      <c r="XE487"/>
      <c r="XF487"/>
      <c r="XG487"/>
      <c r="XH487"/>
      <c r="XI487"/>
      <c r="XJ487"/>
      <c r="XK487"/>
      <c r="XL487"/>
      <c r="XM487"/>
      <c r="XN487"/>
      <c r="XO487"/>
      <c r="XP487"/>
      <c r="XQ487"/>
      <c r="XR487"/>
      <c r="XS487"/>
      <c r="XT487"/>
      <c r="XU487"/>
      <c r="XV487"/>
      <c r="XW487"/>
      <c r="XX487"/>
      <c r="XY487"/>
      <c r="XZ487"/>
      <c r="YA487"/>
      <c r="YB487"/>
      <c r="YC487"/>
      <c r="YD487"/>
      <c r="YE487"/>
      <c r="YF487"/>
      <c r="YG487"/>
      <c r="YH487"/>
      <c r="YI487"/>
      <c r="YJ487"/>
      <c r="YK487"/>
      <c r="YL487"/>
      <c r="YM487"/>
      <c r="YN487"/>
      <c r="YO487"/>
      <c r="YP487"/>
      <c r="YQ487"/>
      <c r="YR487"/>
      <c r="YS487"/>
      <c r="YT487"/>
      <c r="YU487"/>
      <c r="YV487"/>
      <c r="YW487"/>
      <c r="YX487"/>
      <c r="YY487"/>
      <c r="YZ487"/>
      <c r="ZA487"/>
      <c r="ZB487"/>
      <c r="ZC487"/>
      <c r="ZD487"/>
      <c r="ZE487"/>
      <c r="ZF487"/>
      <c r="ZG487"/>
      <c r="ZH487"/>
      <c r="ZI487"/>
      <c r="ZJ487"/>
      <c r="ZK487"/>
      <c r="ZL487"/>
      <c r="ZM487"/>
      <c r="ZN487"/>
      <c r="ZO487"/>
      <c r="ZP487"/>
      <c r="ZQ487"/>
      <c r="ZR487"/>
      <c r="ZS487"/>
      <c r="ZT487"/>
      <c r="ZU487"/>
      <c r="ZV487"/>
      <c r="ZW487"/>
      <c r="ZX487"/>
      <c r="ZY487"/>
      <c r="ZZ487" s="52"/>
      <c r="AAA487" s="192" t="s">
        <v>0</v>
      </c>
      <c r="AAD487" s="90"/>
      <c r="AAE487" s="519">
        <f t="shared" si="399"/>
        <v>1</v>
      </c>
      <c r="AAF487" s="90"/>
      <c r="AAG487" s="72"/>
      <c r="AAH487" s="73">
        <f t="shared" si="414"/>
        <v>41613</v>
      </c>
      <c r="AAI487" s="72"/>
      <c r="AAJ487" s="72"/>
      <c r="AAK487" s="56"/>
      <c r="AAL487" s="90"/>
    </row>
    <row r="488" spans="1:715" ht="15" customHeight="1" outlineLevel="1">
      <c r="A488" s="171"/>
      <c r="B488" s="304" t="s">
        <v>360</v>
      </c>
      <c r="C488" s="376" t="s">
        <v>0</v>
      </c>
      <c r="D488" s="380"/>
      <c r="E488" s="342">
        <f t="shared" si="417"/>
        <v>28</v>
      </c>
      <c r="F488" s="457">
        <f t="shared" ca="1" si="416"/>
        <v>27</v>
      </c>
      <c r="G488" s="355">
        <f t="shared" si="412"/>
        <v>41572</v>
      </c>
      <c r="H488" s="355">
        <f t="shared" si="413"/>
        <v>41613</v>
      </c>
      <c r="I488" s="244"/>
      <c r="J488" s="194"/>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9"/>
      <c r="CD488" s="49"/>
      <c r="CE488" s="49"/>
      <c r="CF488" s="49"/>
      <c r="CG488" s="49"/>
      <c r="CH488" s="49"/>
      <c r="CI488" s="49"/>
      <c r="CJ488" s="49"/>
      <c r="CK488" s="49"/>
      <c r="CL488" s="49"/>
      <c r="CM488" s="49"/>
      <c r="CN488" s="49"/>
      <c r="CO488" s="49"/>
      <c r="CP488" s="49"/>
      <c r="CQ488" s="49"/>
      <c r="CR488" s="49"/>
      <c r="CS488" s="49"/>
      <c r="CT488" s="49"/>
      <c r="CU488" s="49"/>
      <c r="CV488" s="49"/>
      <c r="CW488" s="49"/>
      <c r="CX488" s="49"/>
      <c r="CY488" s="49"/>
      <c r="CZ488" s="49"/>
      <c r="DA488" s="49"/>
      <c r="DB488" s="49"/>
      <c r="DC488" s="49"/>
      <c r="DD488" s="49"/>
      <c r="DE488" s="49"/>
      <c r="DF488" s="49"/>
      <c r="DG488" s="49"/>
      <c r="DH488" s="49"/>
      <c r="DI488" s="49"/>
      <c r="DJ488" s="49"/>
      <c r="DK488" s="49"/>
      <c r="DL488" s="49"/>
      <c r="DM488" s="49"/>
      <c r="DN488" s="49"/>
      <c r="DO488" s="49"/>
      <c r="DP488" s="49"/>
      <c r="AAA488" s="192" t="s">
        <v>0</v>
      </c>
      <c r="AAD488" s="90"/>
      <c r="AAE488" s="519">
        <f t="shared" si="399"/>
        <v>1</v>
      </c>
      <c r="AAF488" s="90"/>
      <c r="AAG488" s="73">
        <f>IF(AAE488=0,,S.Notice.BANNER.Begin)</f>
        <v>41572</v>
      </c>
      <c r="AAH488" s="73">
        <f t="shared" si="414"/>
        <v>41613</v>
      </c>
      <c r="AAI488" s="72"/>
      <c r="AAJ488" s="72"/>
      <c r="AAK488" s="56"/>
      <c r="AAL488" s="90"/>
      <c r="AAM488"/>
    </row>
    <row r="489" spans="1:715" ht="15" customHeight="1" outlineLevel="1">
      <c r="A489" s="171"/>
      <c r="B489" s="407" t="str">
        <f>AAK489</f>
        <v>* finalizes Notice Packet with MargaretMGR</v>
      </c>
      <c r="C489" s="360" t="s">
        <v>0</v>
      </c>
      <c r="D489" s="380"/>
      <c r="E489" s="342">
        <f>NETWORKDAYS(G489,H489,S.DDL_DEQClosed)</f>
        <v>28</v>
      </c>
      <c r="F489" s="457">
        <f ca="1">IF(YEAR(H489)&gt;2000,NETWORKDAYS(TODAY(),H489,S.DDL_DEQClosed),0)</f>
        <v>27</v>
      </c>
      <c r="G489" s="355">
        <f t="shared" si="412"/>
        <v>41572</v>
      </c>
      <c r="H489" s="355">
        <f t="shared" si="413"/>
        <v>41613</v>
      </c>
      <c r="I489" s="244"/>
      <c r="J489" s="194"/>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9"/>
      <c r="CD489" s="49"/>
      <c r="CE489" s="49"/>
      <c r="CF489" s="49"/>
      <c r="CG489" s="49"/>
      <c r="CH489" s="49"/>
      <c r="CI489" s="49"/>
      <c r="CJ489" s="49"/>
      <c r="CK489" s="49"/>
      <c r="CL489" s="49"/>
      <c r="CM489" s="49"/>
      <c r="CN489" s="49"/>
      <c r="CO489" s="49"/>
      <c r="CP489" s="49"/>
      <c r="CQ489" s="49"/>
      <c r="CR489" s="49"/>
      <c r="CS489" s="49"/>
      <c r="CT489" s="49"/>
      <c r="CU489" s="49"/>
      <c r="CV489" s="49"/>
      <c r="CW489" s="49"/>
      <c r="CX489" s="49"/>
      <c r="CY489" s="49"/>
      <c r="CZ489" s="49"/>
      <c r="DA489" s="49"/>
      <c r="DB489" s="49"/>
      <c r="DC489" s="49"/>
      <c r="DD489" s="49"/>
      <c r="DE489" s="49"/>
      <c r="DF489" s="49"/>
      <c r="DG489" s="49"/>
      <c r="DH489" s="49"/>
      <c r="DI489" s="49"/>
      <c r="DJ489" s="49"/>
      <c r="DK489" s="49"/>
      <c r="DL489" s="49"/>
      <c r="DM489" s="49"/>
      <c r="DN489" s="49"/>
      <c r="DO489" s="49"/>
      <c r="DP489" s="49"/>
      <c r="AAA489" s="192"/>
      <c r="AAD489" s="90"/>
      <c r="AAE489" s="519">
        <f t="shared" si="399"/>
        <v>1</v>
      </c>
      <c r="AAF489" s="90"/>
      <c r="AAG489" s="73">
        <f>IF(AAE489=0,,S.Notice.BANNER.Begin)</f>
        <v>41572</v>
      </c>
      <c r="AAH489" s="73">
        <f t="shared" si="414"/>
        <v>41613</v>
      </c>
      <c r="AAI489" s="72"/>
      <c r="AAJ489" s="72"/>
      <c r="AAK489" s="80" t="str">
        <f>"* finalizes Notice Packet with "&amp;S.Staff.Mgr</f>
        <v>* finalizes Notice Packet with MargaretMGR</v>
      </c>
      <c r="AAL489" s="90"/>
      <c r="AAM489"/>
    </row>
    <row r="490" spans="1:715" s="23" customFormat="1" ht="15" customHeight="1" outlineLevel="1">
      <c r="A490" s="171"/>
      <c r="B490" s="683" t="s">
        <v>391</v>
      </c>
      <c r="C490" s="362"/>
      <c r="D490" s="684"/>
      <c r="E490" s="685"/>
      <c r="F490" s="685"/>
      <c r="G490" s="353"/>
      <c r="H490" s="346"/>
      <c r="I490" s="244"/>
      <c r="J490" s="194"/>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9"/>
      <c r="CD490" s="49"/>
      <c r="CE490" s="49"/>
      <c r="CF490" s="49"/>
      <c r="CG490" s="49"/>
      <c r="CH490" s="49"/>
      <c r="CI490" s="49"/>
      <c r="CJ490" s="49"/>
      <c r="CK490" s="49"/>
      <c r="CL490" s="49"/>
      <c r="CM490" s="49"/>
      <c r="CN490" s="49"/>
      <c r="CO490" s="49"/>
      <c r="CP490" s="49"/>
      <c r="CQ490" s="49"/>
      <c r="CR490" s="49"/>
      <c r="CS490" s="49"/>
      <c r="CT490" s="49"/>
      <c r="CU490" s="49"/>
      <c r="CV490" s="49"/>
      <c r="CW490" s="49"/>
      <c r="CX490" s="49"/>
      <c r="CY490" s="49"/>
      <c r="CZ490" s="49"/>
      <c r="DA490" s="49"/>
      <c r="DB490" s="49"/>
      <c r="DC490" s="49"/>
      <c r="DD490" s="49"/>
      <c r="DE490" s="49"/>
      <c r="DF490" s="49"/>
      <c r="DG490" s="49"/>
      <c r="DH490" s="49"/>
      <c r="DI490" s="49"/>
      <c r="DJ490" s="49"/>
      <c r="DK490" s="49"/>
      <c r="DL490" s="49"/>
      <c r="DM490" s="49"/>
      <c r="DN490" s="49"/>
      <c r="DO490" s="49"/>
      <c r="DP490" s="49"/>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c r="ST490"/>
      <c r="SU490"/>
      <c r="SV490"/>
      <c r="SW490"/>
      <c r="SX490"/>
      <c r="SY490"/>
      <c r="SZ490"/>
      <c r="TA490"/>
      <c r="TB490"/>
      <c r="TC490"/>
      <c r="TD490"/>
      <c r="TE490"/>
      <c r="TF490"/>
      <c r="TG490"/>
      <c r="TH490"/>
      <c r="TI490"/>
      <c r="TJ490"/>
      <c r="TK490"/>
      <c r="TL490"/>
      <c r="TM490"/>
      <c r="TN490"/>
      <c r="TO490"/>
      <c r="TP490"/>
      <c r="TQ490"/>
      <c r="TR490"/>
      <c r="TS490"/>
      <c r="TT490"/>
      <c r="TU490"/>
      <c r="TV490"/>
      <c r="TW490"/>
      <c r="TX490"/>
      <c r="TY490"/>
      <c r="TZ490"/>
      <c r="UA490"/>
      <c r="UB490"/>
      <c r="UC490"/>
      <c r="UD490"/>
      <c r="UE490"/>
      <c r="UF490"/>
      <c r="UG490"/>
      <c r="UH490"/>
      <c r="UI490"/>
      <c r="UJ490"/>
      <c r="UK490"/>
      <c r="UL490"/>
      <c r="UM490"/>
      <c r="UN490"/>
      <c r="UO490"/>
      <c r="UP490"/>
      <c r="UQ490"/>
      <c r="UR490"/>
      <c r="US490"/>
      <c r="UT490"/>
      <c r="UU490"/>
      <c r="UV490"/>
      <c r="UW490"/>
      <c r="UX490"/>
      <c r="UY490"/>
      <c r="UZ490"/>
      <c r="VA490"/>
      <c r="VB490"/>
      <c r="VC490"/>
      <c r="VD490"/>
      <c r="VE490"/>
      <c r="VF490"/>
      <c r="VG490"/>
      <c r="VH490"/>
      <c r="VI490"/>
      <c r="VJ490"/>
      <c r="VK490"/>
      <c r="VL490"/>
      <c r="VM490"/>
      <c r="VN490"/>
      <c r="VO490"/>
      <c r="VP490"/>
      <c r="VQ490"/>
      <c r="VR490"/>
      <c r="VS490"/>
      <c r="VT490"/>
      <c r="VU490"/>
      <c r="VV490"/>
      <c r="VW490"/>
      <c r="VX490"/>
      <c r="VY490"/>
      <c r="VZ490"/>
      <c r="WA490"/>
      <c r="WB490"/>
      <c r="WC490"/>
      <c r="WD490"/>
      <c r="WE490"/>
      <c r="WF490"/>
      <c r="WG490"/>
      <c r="WH490"/>
      <c r="WI490"/>
      <c r="WJ490"/>
      <c r="WK490"/>
      <c r="WL490"/>
      <c r="WM490"/>
      <c r="WN490"/>
      <c r="WO490"/>
      <c r="WP490"/>
      <c r="WQ490"/>
      <c r="WR490"/>
      <c r="WS490"/>
      <c r="WT490"/>
      <c r="WU490"/>
      <c r="WV490"/>
      <c r="WW490"/>
      <c r="WX490"/>
      <c r="WY490"/>
      <c r="WZ490"/>
      <c r="XA490"/>
      <c r="XB490"/>
      <c r="XC490"/>
      <c r="XD490"/>
      <c r="XE490"/>
      <c r="XF490"/>
      <c r="XG490"/>
      <c r="XH490"/>
      <c r="XI490"/>
      <c r="XJ490"/>
      <c r="XK490"/>
      <c r="XL490"/>
      <c r="XM490"/>
      <c r="XN490"/>
      <c r="XO490"/>
      <c r="XP490"/>
      <c r="XQ490"/>
      <c r="XR490"/>
      <c r="XS490"/>
      <c r="XT490"/>
      <c r="XU490"/>
      <c r="XV490"/>
      <c r="XW490"/>
      <c r="XX490"/>
      <c r="XY490"/>
      <c r="XZ490"/>
      <c r="YA490"/>
      <c r="YB490"/>
      <c r="YC490"/>
      <c r="YD490"/>
      <c r="YE490"/>
      <c r="YF490"/>
      <c r="YG490"/>
      <c r="YH490"/>
      <c r="YI490"/>
      <c r="YJ490"/>
      <c r="YK490"/>
      <c r="YL490"/>
      <c r="YM490"/>
      <c r="YN490"/>
      <c r="YO490"/>
      <c r="YP490"/>
      <c r="YQ490"/>
      <c r="YR490"/>
      <c r="YS490"/>
      <c r="YT490"/>
      <c r="YU490"/>
      <c r="YV490"/>
      <c r="YW490"/>
      <c r="YX490"/>
      <c r="YY490"/>
      <c r="YZ490"/>
      <c r="ZA490"/>
      <c r="ZB490"/>
      <c r="ZC490"/>
      <c r="ZD490"/>
      <c r="ZE490"/>
      <c r="ZF490"/>
      <c r="ZG490"/>
      <c r="ZH490"/>
      <c r="ZI490"/>
      <c r="ZJ490"/>
      <c r="ZK490"/>
      <c r="ZL490"/>
      <c r="ZM490"/>
      <c r="ZN490"/>
      <c r="ZO490"/>
      <c r="ZP490"/>
      <c r="ZQ490"/>
      <c r="ZR490"/>
      <c r="ZS490"/>
      <c r="ZT490"/>
      <c r="ZU490"/>
      <c r="ZV490"/>
      <c r="ZW490"/>
      <c r="ZX490"/>
      <c r="ZY490"/>
      <c r="ZZ490" s="52"/>
      <c r="AAA490" s="192"/>
      <c r="AAD490" s="90"/>
      <c r="AAE490" s="519">
        <f t="shared" si="399"/>
        <v>1</v>
      </c>
      <c r="AAF490" s="190" t="s">
        <v>52</v>
      </c>
      <c r="AAG490" s="71"/>
      <c r="AAH490" s="71"/>
      <c r="AAI490" s="71"/>
      <c r="AAJ490" s="56"/>
      <c r="AAK490" s="56"/>
      <c r="AAL490" s="90"/>
    </row>
    <row r="491" spans="1:715" ht="15" customHeight="1" outlineLevel="1">
      <c r="A491" s="171"/>
      <c r="B491" s="396" t="s">
        <v>412</v>
      </c>
      <c r="C491" s="376" t="s">
        <v>0</v>
      </c>
      <c r="D491" s="865" t="s">
        <v>423</v>
      </c>
      <c r="E491" s="865"/>
      <c r="F491" s="865"/>
      <c r="G491" s="866"/>
      <c r="H491" s="642">
        <f>AAH491</f>
        <v>41619</v>
      </c>
      <c r="I491" s="244"/>
      <c r="J491" s="194"/>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9"/>
      <c r="CD491" s="49"/>
      <c r="CE491" s="49"/>
      <c r="CF491" s="49"/>
      <c r="CG491" s="49"/>
      <c r="CH491" s="49"/>
      <c r="CI491" s="49"/>
      <c r="CJ491" s="49"/>
      <c r="CK491" s="49"/>
      <c r="CL491" s="49"/>
      <c r="CM491" s="49"/>
      <c r="CN491" s="49"/>
      <c r="CO491" s="49"/>
      <c r="CP491" s="49"/>
      <c r="CQ491" s="49"/>
      <c r="CR491" s="49"/>
      <c r="CS491" s="49"/>
      <c r="CT491" s="49"/>
      <c r="CU491" s="49"/>
      <c r="CV491" s="49"/>
      <c r="CW491" s="49"/>
      <c r="CX491" s="49"/>
      <c r="CY491" s="49"/>
      <c r="CZ491" s="49"/>
      <c r="DA491" s="49"/>
      <c r="DB491" s="49"/>
      <c r="DC491" s="49"/>
      <c r="DD491" s="49"/>
      <c r="DE491" s="49"/>
      <c r="DF491" s="49"/>
      <c r="DG491" s="49"/>
      <c r="DH491" s="49"/>
      <c r="DI491" s="49"/>
      <c r="DJ491" s="49"/>
      <c r="DK491" s="49"/>
      <c r="DL491" s="49"/>
      <c r="DM491" s="49"/>
      <c r="DN491" s="49"/>
      <c r="DO491" s="49"/>
      <c r="DP491" s="49"/>
      <c r="AAA491" s="192" t="s">
        <v>0</v>
      </c>
      <c r="AAD491" s="90"/>
      <c r="AAE491" s="519">
        <f>IF(AND(S.Notice.AD.Involved="Y",S.Notice.Involved="Y"),1,0)</f>
        <v>1</v>
      </c>
      <c r="AAF491" s="90"/>
      <c r="AAG491" s="72"/>
      <c r="AAH491" s="73">
        <f>IF(AAE491=0,,S.Notice.AD.ToContractServices)</f>
        <v>41619</v>
      </c>
      <c r="AAI491" s="72"/>
      <c r="AAJ491" s="72"/>
      <c r="AAK491" s="80" t="str">
        <f>"* modifies documents as needed"</f>
        <v>* modifies documents as needed</v>
      </c>
      <c r="AAL491" s="90"/>
      <c r="AAM491"/>
    </row>
    <row r="492" spans="1:715" s="23" customFormat="1" ht="15" customHeight="1" outlineLevel="1" thickBot="1">
      <c r="A492" s="171"/>
      <c r="B492" s="389" t="str">
        <f t="shared" ref="B492" si="418">AAK492</f>
        <v>MargaretMGR:</v>
      </c>
      <c r="C492" s="374"/>
      <c r="D492" s="393"/>
      <c r="E492" s="394"/>
      <c r="F492" s="394"/>
      <c r="G492" s="395"/>
      <c r="H492" s="395"/>
      <c r="I492" s="244"/>
      <c r="J492" s="198"/>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c r="ST492"/>
      <c r="SU492"/>
      <c r="SV492"/>
      <c r="SW492"/>
      <c r="SX492"/>
      <c r="SY492"/>
      <c r="SZ492"/>
      <c r="TA492"/>
      <c r="TB492"/>
      <c r="TC492"/>
      <c r="TD492"/>
      <c r="TE492"/>
      <c r="TF492"/>
      <c r="TG492"/>
      <c r="TH492"/>
      <c r="TI492"/>
      <c r="TJ492"/>
      <c r="TK492"/>
      <c r="TL492"/>
      <c r="TM492"/>
      <c r="TN492"/>
      <c r="TO492"/>
      <c r="TP492"/>
      <c r="TQ492"/>
      <c r="TR492"/>
      <c r="TS492"/>
      <c r="TT492"/>
      <c r="TU492"/>
      <c r="TV492"/>
      <c r="TW492"/>
      <c r="TX492"/>
      <c r="TY492"/>
      <c r="TZ492"/>
      <c r="UA492"/>
      <c r="UB492"/>
      <c r="UC492"/>
      <c r="UD492"/>
      <c r="UE492"/>
      <c r="UF492"/>
      <c r="UG492"/>
      <c r="UH492"/>
      <c r="UI492"/>
      <c r="UJ492"/>
      <c r="UK492"/>
      <c r="UL492"/>
      <c r="UM492"/>
      <c r="UN492"/>
      <c r="UO492"/>
      <c r="UP492"/>
      <c r="UQ492"/>
      <c r="UR492"/>
      <c r="US492"/>
      <c r="UT492"/>
      <c r="UU492"/>
      <c r="UV492"/>
      <c r="UW492"/>
      <c r="UX492"/>
      <c r="UY492"/>
      <c r="UZ492"/>
      <c r="VA492"/>
      <c r="VB492"/>
      <c r="VC492"/>
      <c r="VD492"/>
      <c r="VE492"/>
      <c r="VF492"/>
      <c r="VG492"/>
      <c r="VH492"/>
      <c r="VI492"/>
      <c r="VJ492"/>
      <c r="VK492"/>
      <c r="VL492"/>
      <c r="VM492"/>
      <c r="VN492"/>
      <c r="VO492"/>
      <c r="VP492"/>
      <c r="VQ492"/>
      <c r="VR492"/>
      <c r="VS492"/>
      <c r="VT492"/>
      <c r="VU492"/>
      <c r="VV492"/>
      <c r="VW492"/>
      <c r="VX492"/>
      <c r="VY492"/>
      <c r="VZ492"/>
      <c r="WA492"/>
      <c r="WB492"/>
      <c r="WC492"/>
      <c r="WD492"/>
      <c r="WE492"/>
      <c r="WF492"/>
      <c r="WG492"/>
      <c r="WH492"/>
      <c r="WI492"/>
      <c r="WJ492"/>
      <c r="WK492"/>
      <c r="WL492"/>
      <c r="WM492"/>
      <c r="WN492"/>
      <c r="WO492"/>
      <c r="WP492"/>
      <c r="WQ492"/>
      <c r="WR492"/>
      <c r="WS492"/>
      <c r="WT492"/>
      <c r="WU492"/>
      <c r="WV492"/>
      <c r="WW492"/>
      <c r="WX492"/>
      <c r="WY492"/>
      <c r="WZ492"/>
      <c r="XA492"/>
      <c r="XB492"/>
      <c r="XC492"/>
      <c r="XD492"/>
      <c r="XE492"/>
      <c r="XF492"/>
      <c r="XG492"/>
      <c r="XH492"/>
      <c r="XI492"/>
      <c r="XJ492"/>
      <c r="XK492"/>
      <c r="XL492"/>
      <c r="XM492"/>
      <c r="XN492"/>
      <c r="XO492"/>
      <c r="XP492"/>
      <c r="XQ492"/>
      <c r="XR492"/>
      <c r="XS492"/>
      <c r="XT492"/>
      <c r="XU492"/>
      <c r="XV492"/>
      <c r="XW492"/>
      <c r="XX492"/>
      <c r="XY492"/>
      <c r="XZ492"/>
      <c r="YA492"/>
      <c r="YB492"/>
      <c r="YC492"/>
      <c r="YD492"/>
      <c r="YE492"/>
      <c r="YF492"/>
      <c r="YG492"/>
      <c r="YH492"/>
      <c r="YI492"/>
      <c r="YJ492"/>
      <c r="YK492"/>
      <c r="YL492"/>
      <c r="YM492"/>
      <c r="YN492"/>
      <c r="YO492"/>
      <c r="YP492"/>
      <c r="YQ492"/>
      <c r="YR492"/>
      <c r="YS492"/>
      <c r="YT492"/>
      <c r="YU492"/>
      <c r="YV492"/>
      <c r="YW492"/>
      <c r="YX492"/>
      <c r="YY492"/>
      <c r="YZ492"/>
      <c r="ZA492"/>
      <c r="ZB492"/>
      <c r="ZC492"/>
      <c r="ZD492"/>
      <c r="ZE492"/>
      <c r="ZF492"/>
      <c r="ZG492"/>
      <c r="ZH492"/>
      <c r="ZI492"/>
      <c r="ZJ492"/>
      <c r="ZK492"/>
      <c r="ZL492"/>
      <c r="ZM492"/>
      <c r="ZN492"/>
      <c r="ZO492"/>
      <c r="ZP492"/>
      <c r="ZQ492"/>
      <c r="ZR492"/>
      <c r="ZS492"/>
      <c r="ZT492"/>
      <c r="ZU492"/>
      <c r="ZV492"/>
      <c r="ZW492"/>
      <c r="ZX492"/>
      <c r="ZY492"/>
      <c r="ZZ492" s="52"/>
      <c r="AAA492" s="192"/>
      <c r="AAD492" s="90"/>
      <c r="AAE492" s="519">
        <f>IF(S.Notice.Involved="Y",1,0)</f>
        <v>1</v>
      </c>
      <c r="AAF492" s="190" t="s">
        <v>52</v>
      </c>
      <c r="AAG492" s="71"/>
      <c r="AAH492" s="71"/>
      <c r="AAI492" s="72"/>
      <c r="AAJ492" s="72"/>
      <c r="AAK492" s="80" t="str">
        <f>S.Staff.Mgr&amp;":"</f>
        <v>MargaretMGR:</v>
      </c>
      <c r="AAL492" s="90"/>
    </row>
    <row r="493" spans="1:715" s="23" customFormat="1" ht="15" customHeight="1" outlineLevel="1" thickBot="1">
      <c r="A493" s="171"/>
      <c r="B493" s="407" t="str">
        <f>AAK493</f>
        <v>* resubmits Notice Packet to Andy - OPTIONAL</v>
      </c>
      <c r="C493" s="611" t="s">
        <v>17</v>
      </c>
      <c r="D493" s="380"/>
      <c r="E493" s="342">
        <f t="shared" ref="E493" si="419">NETWORKDAYS(G493,H493,S.DDL_DEQClosed)</f>
        <v>28</v>
      </c>
      <c r="F493" s="457">
        <f t="shared" ca="1" si="416"/>
        <v>27</v>
      </c>
      <c r="G493" s="355">
        <f t="shared" si="412"/>
        <v>41572</v>
      </c>
      <c r="H493" s="355">
        <f t="shared" si="413"/>
        <v>41613</v>
      </c>
      <c r="I493" s="244"/>
      <c r="J493" s="194"/>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9"/>
      <c r="CD493" s="49"/>
      <c r="CE493" s="49"/>
      <c r="CF493" s="49"/>
      <c r="CG493" s="49"/>
      <c r="CH493" s="49"/>
      <c r="CI493" s="49"/>
      <c r="CJ493" s="49"/>
      <c r="CK493" s="49"/>
      <c r="CL493" s="49"/>
      <c r="CM493" s="49"/>
      <c r="CN493" s="49"/>
      <c r="CO493" s="49"/>
      <c r="CP493" s="49"/>
      <c r="CQ493" s="49"/>
      <c r="CR493" s="49"/>
      <c r="CS493" s="49"/>
      <c r="CT493" s="49"/>
      <c r="CU493" s="49"/>
      <c r="CV493" s="49"/>
      <c r="CW493" s="49"/>
      <c r="CX493" s="49"/>
      <c r="CY493" s="49"/>
      <c r="CZ493" s="49"/>
      <c r="DA493" s="49"/>
      <c r="DB493" s="49"/>
      <c r="DC493" s="49"/>
      <c r="DD493" s="49"/>
      <c r="DE493" s="49"/>
      <c r="DF493" s="49"/>
      <c r="DG493" s="49"/>
      <c r="DH493" s="49"/>
      <c r="DI493" s="49"/>
      <c r="DJ493" s="49"/>
      <c r="DK493" s="49"/>
      <c r="DL493" s="49"/>
      <c r="DM493" s="49"/>
      <c r="DN493" s="49"/>
      <c r="DO493" s="49"/>
      <c r="DP493" s="49"/>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c r="ST493"/>
      <c r="SU493"/>
      <c r="SV493"/>
      <c r="SW493"/>
      <c r="SX493"/>
      <c r="SY493"/>
      <c r="SZ493"/>
      <c r="TA493"/>
      <c r="TB493"/>
      <c r="TC493"/>
      <c r="TD493"/>
      <c r="TE493"/>
      <c r="TF493"/>
      <c r="TG493"/>
      <c r="TH493"/>
      <c r="TI493"/>
      <c r="TJ493"/>
      <c r="TK493"/>
      <c r="TL493"/>
      <c r="TM493"/>
      <c r="TN493"/>
      <c r="TO493"/>
      <c r="TP493"/>
      <c r="TQ493"/>
      <c r="TR493"/>
      <c r="TS493"/>
      <c r="TT493"/>
      <c r="TU493"/>
      <c r="TV493"/>
      <c r="TW493"/>
      <c r="TX493"/>
      <c r="TY493"/>
      <c r="TZ493"/>
      <c r="UA493"/>
      <c r="UB493"/>
      <c r="UC493"/>
      <c r="UD493"/>
      <c r="UE493"/>
      <c r="UF493"/>
      <c r="UG493"/>
      <c r="UH493"/>
      <c r="UI493"/>
      <c r="UJ493"/>
      <c r="UK493"/>
      <c r="UL493"/>
      <c r="UM493"/>
      <c r="UN493"/>
      <c r="UO493"/>
      <c r="UP493"/>
      <c r="UQ493"/>
      <c r="UR493"/>
      <c r="US493"/>
      <c r="UT493"/>
      <c r="UU493"/>
      <c r="UV493"/>
      <c r="UW493"/>
      <c r="UX493"/>
      <c r="UY493"/>
      <c r="UZ493"/>
      <c r="VA493"/>
      <c r="VB493"/>
      <c r="VC493"/>
      <c r="VD493"/>
      <c r="VE493"/>
      <c r="VF493"/>
      <c r="VG493"/>
      <c r="VH493"/>
      <c r="VI493"/>
      <c r="VJ493"/>
      <c r="VK493"/>
      <c r="VL493"/>
      <c r="VM493"/>
      <c r="VN493"/>
      <c r="VO493"/>
      <c r="VP493"/>
      <c r="VQ493"/>
      <c r="VR493"/>
      <c r="VS493"/>
      <c r="VT493"/>
      <c r="VU493"/>
      <c r="VV493"/>
      <c r="VW493"/>
      <c r="VX493"/>
      <c r="VY493"/>
      <c r="VZ493"/>
      <c r="WA493"/>
      <c r="WB493"/>
      <c r="WC493"/>
      <c r="WD493"/>
      <c r="WE493"/>
      <c r="WF493"/>
      <c r="WG493"/>
      <c r="WH493"/>
      <c r="WI493"/>
      <c r="WJ493"/>
      <c r="WK493"/>
      <c r="WL493"/>
      <c r="WM493"/>
      <c r="WN493"/>
      <c r="WO493"/>
      <c r="WP493"/>
      <c r="WQ493"/>
      <c r="WR493"/>
      <c r="WS493"/>
      <c r="WT493"/>
      <c r="WU493"/>
      <c r="WV493"/>
      <c r="WW493"/>
      <c r="WX493"/>
      <c r="WY493"/>
      <c r="WZ493"/>
      <c r="XA493"/>
      <c r="XB493"/>
      <c r="XC493"/>
      <c r="XD493"/>
      <c r="XE493"/>
      <c r="XF493"/>
      <c r="XG493"/>
      <c r="XH493"/>
      <c r="XI493"/>
      <c r="XJ493"/>
      <c r="XK493"/>
      <c r="XL493"/>
      <c r="XM493"/>
      <c r="XN493"/>
      <c r="XO493"/>
      <c r="XP493"/>
      <c r="XQ493"/>
      <c r="XR493"/>
      <c r="XS493"/>
      <c r="XT493"/>
      <c r="XU493"/>
      <c r="XV493"/>
      <c r="XW493"/>
      <c r="XX493"/>
      <c r="XY493"/>
      <c r="XZ493"/>
      <c r="YA493"/>
      <c r="YB493"/>
      <c r="YC493"/>
      <c r="YD493"/>
      <c r="YE493"/>
      <c r="YF493"/>
      <c r="YG493"/>
      <c r="YH493"/>
      <c r="YI493"/>
      <c r="YJ493"/>
      <c r="YK493"/>
      <c r="YL493"/>
      <c r="YM493"/>
      <c r="YN493"/>
      <c r="YO493"/>
      <c r="YP493"/>
      <c r="YQ493"/>
      <c r="YR493"/>
      <c r="YS493"/>
      <c r="YT493"/>
      <c r="YU493"/>
      <c r="YV493"/>
      <c r="YW493"/>
      <c r="YX493"/>
      <c r="YY493"/>
      <c r="YZ493"/>
      <c r="ZA493"/>
      <c r="ZB493"/>
      <c r="ZC493"/>
      <c r="ZD493"/>
      <c r="ZE493"/>
      <c r="ZF493"/>
      <c r="ZG493"/>
      <c r="ZH493"/>
      <c r="ZI493"/>
      <c r="ZJ493"/>
      <c r="ZK493"/>
      <c r="ZL493"/>
      <c r="ZM493"/>
      <c r="ZN493"/>
      <c r="ZO493"/>
      <c r="ZP493"/>
      <c r="ZQ493"/>
      <c r="ZR493"/>
      <c r="ZS493"/>
      <c r="ZT493"/>
      <c r="ZU493"/>
      <c r="ZV493"/>
      <c r="ZW493"/>
      <c r="ZX493"/>
      <c r="ZY493"/>
      <c r="ZZ493" s="52"/>
      <c r="AAA493" s="192"/>
      <c r="AAD493" s="90"/>
      <c r="AAE493" s="519">
        <f>IF(AND(C493="Y",S.Notice.Involved="Y"),1,0)</f>
        <v>1</v>
      </c>
      <c r="AAF493" s="90"/>
      <c r="AAG493" s="73">
        <f>IF(AAE493=0,,G489)</f>
        <v>41572</v>
      </c>
      <c r="AAH493" s="73">
        <f>IF(AAE493=0,,WORKDAY(S.Notice.EMAIL.RulePublication,-1,S.DDL_DEQClosed))</f>
        <v>41613</v>
      </c>
      <c r="AAI493" s="72"/>
      <c r="AAJ493" s="72"/>
      <c r="AAK493" s="80" t="str">
        <f>"* resubmits Notice Packet to "&amp;S.Staff.DA&amp;" - OPTIONAL"</f>
        <v>* resubmits Notice Packet to Andy - OPTIONAL</v>
      </c>
      <c r="AAL493" s="90"/>
    </row>
    <row r="494" spans="1:715" s="23" customFormat="1" ht="15" customHeight="1" outlineLevel="1" thickBot="1">
      <c r="A494" s="171"/>
      <c r="B494" s="542" t="str">
        <f>AAK494</f>
        <v>- manages review/approval process with Andy</v>
      </c>
      <c r="C494" s="360" t="s">
        <v>0</v>
      </c>
      <c r="D494"/>
      <c r="E494"/>
      <c r="F494"/>
      <c r="G494"/>
      <c r="H494"/>
      <c r="I494" s="244"/>
      <c r="J494" s="194"/>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9"/>
      <c r="CD494" s="49"/>
      <c r="CE494" s="49"/>
      <c r="CF494" s="49"/>
      <c r="CG494" s="49"/>
      <c r="CH494" s="49"/>
      <c r="CI494" s="49"/>
      <c r="CJ494" s="49"/>
      <c r="CK494" s="49"/>
      <c r="CL494" s="49"/>
      <c r="CM494" s="49"/>
      <c r="CN494" s="49"/>
      <c r="CO494" s="49"/>
      <c r="CP494" s="49"/>
      <c r="CQ494" s="49"/>
      <c r="CR494" s="49"/>
      <c r="CS494" s="49"/>
      <c r="CT494" s="49"/>
      <c r="CU494" s="49"/>
      <c r="CV494" s="49"/>
      <c r="CW494" s="49"/>
      <c r="CX494" s="49"/>
      <c r="CY494" s="49"/>
      <c r="CZ494" s="49"/>
      <c r="DA494" s="49"/>
      <c r="DB494" s="49"/>
      <c r="DC494" s="49"/>
      <c r="DD494" s="49"/>
      <c r="DE494" s="49"/>
      <c r="DF494" s="49"/>
      <c r="DG494" s="49"/>
      <c r="DH494" s="49"/>
      <c r="DI494" s="49"/>
      <c r="DJ494" s="49"/>
      <c r="DK494" s="49"/>
      <c r="DL494" s="49"/>
      <c r="DM494" s="49"/>
      <c r="DN494" s="49"/>
      <c r="DO494" s="49"/>
      <c r="DP494" s="49"/>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c r="ST494"/>
      <c r="SU494"/>
      <c r="SV494"/>
      <c r="SW494"/>
      <c r="SX494"/>
      <c r="SY494"/>
      <c r="SZ494"/>
      <c r="TA494"/>
      <c r="TB494"/>
      <c r="TC494"/>
      <c r="TD494"/>
      <c r="TE494"/>
      <c r="TF494"/>
      <c r="TG494"/>
      <c r="TH494"/>
      <c r="TI494"/>
      <c r="TJ494"/>
      <c r="TK494"/>
      <c r="TL494"/>
      <c r="TM494"/>
      <c r="TN494"/>
      <c r="TO494"/>
      <c r="TP494"/>
      <c r="TQ494"/>
      <c r="TR494"/>
      <c r="TS494"/>
      <c r="TT494"/>
      <c r="TU494"/>
      <c r="TV494"/>
      <c r="TW494"/>
      <c r="TX494"/>
      <c r="TY494"/>
      <c r="TZ494"/>
      <c r="UA494"/>
      <c r="UB494"/>
      <c r="UC494"/>
      <c r="UD494"/>
      <c r="UE494"/>
      <c r="UF494"/>
      <c r="UG494"/>
      <c r="UH494"/>
      <c r="UI494"/>
      <c r="UJ494"/>
      <c r="UK494"/>
      <c r="UL494"/>
      <c r="UM494"/>
      <c r="UN494"/>
      <c r="UO494"/>
      <c r="UP494"/>
      <c r="UQ494"/>
      <c r="UR494"/>
      <c r="US494"/>
      <c r="UT494"/>
      <c r="UU494"/>
      <c r="UV494"/>
      <c r="UW494"/>
      <c r="UX494"/>
      <c r="UY494"/>
      <c r="UZ494"/>
      <c r="VA494"/>
      <c r="VB494"/>
      <c r="VC494"/>
      <c r="VD494"/>
      <c r="VE494"/>
      <c r="VF494"/>
      <c r="VG494"/>
      <c r="VH494"/>
      <c r="VI494"/>
      <c r="VJ494"/>
      <c r="VK494"/>
      <c r="VL494"/>
      <c r="VM494"/>
      <c r="VN494"/>
      <c r="VO494"/>
      <c r="VP494"/>
      <c r="VQ494"/>
      <c r="VR494"/>
      <c r="VS494"/>
      <c r="VT494"/>
      <c r="VU494"/>
      <c r="VV494"/>
      <c r="VW494"/>
      <c r="VX494"/>
      <c r="VY494"/>
      <c r="VZ494"/>
      <c r="WA494"/>
      <c r="WB494"/>
      <c r="WC494"/>
      <c r="WD494"/>
      <c r="WE494"/>
      <c r="WF494"/>
      <c r="WG494"/>
      <c r="WH494"/>
      <c r="WI494"/>
      <c r="WJ494"/>
      <c r="WK494"/>
      <c r="WL494"/>
      <c r="WM494"/>
      <c r="WN494"/>
      <c r="WO494"/>
      <c r="WP494"/>
      <c r="WQ494"/>
      <c r="WR494"/>
      <c r="WS494"/>
      <c r="WT494"/>
      <c r="WU494"/>
      <c r="WV494"/>
      <c r="WW494"/>
      <c r="WX494"/>
      <c r="WY494"/>
      <c r="WZ494"/>
      <c r="XA494"/>
      <c r="XB494"/>
      <c r="XC494"/>
      <c r="XD494"/>
      <c r="XE494"/>
      <c r="XF494"/>
      <c r="XG494"/>
      <c r="XH494"/>
      <c r="XI494"/>
      <c r="XJ494"/>
      <c r="XK494"/>
      <c r="XL494"/>
      <c r="XM494"/>
      <c r="XN494"/>
      <c r="XO494"/>
      <c r="XP494"/>
      <c r="XQ494"/>
      <c r="XR494"/>
      <c r="XS494"/>
      <c r="XT494"/>
      <c r="XU494"/>
      <c r="XV494"/>
      <c r="XW494"/>
      <c r="XX494"/>
      <c r="XY494"/>
      <c r="XZ494"/>
      <c r="YA494"/>
      <c r="YB494"/>
      <c r="YC494"/>
      <c r="YD494"/>
      <c r="YE494"/>
      <c r="YF494"/>
      <c r="YG494"/>
      <c r="YH494"/>
      <c r="YI494"/>
      <c r="YJ494"/>
      <c r="YK494"/>
      <c r="YL494"/>
      <c r="YM494"/>
      <c r="YN494"/>
      <c r="YO494"/>
      <c r="YP494"/>
      <c r="YQ494"/>
      <c r="YR494"/>
      <c r="YS494"/>
      <c r="YT494"/>
      <c r="YU494"/>
      <c r="YV494"/>
      <c r="YW494"/>
      <c r="YX494"/>
      <c r="YY494"/>
      <c r="YZ494"/>
      <c r="ZA494"/>
      <c r="ZB494"/>
      <c r="ZC494"/>
      <c r="ZD494"/>
      <c r="ZE494"/>
      <c r="ZF494"/>
      <c r="ZG494"/>
      <c r="ZH494"/>
      <c r="ZI494"/>
      <c r="ZJ494"/>
      <c r="ZK494"/>
      <c r="ZL494"/>
      <c r="ZM494"/>
      <c r="ZN494"/>
      <c r="ZO494"/>
      <c r="ZP494"/>
      <c r="ZQ494"/>
      <c r="ZR494"/>
      <c r="ZS494"/>
      <c r="ZT494"/>
      <c r="ZU494"/>
      <c r="ZV494"/>
      <c r="ZW494"/>
      <c r="ZX494"/>
      <c r="ZY494"/>
      <c r="ZZ494" s="52"/>
      <c r="AAA494" s="192"/>
      <c r="AAD494" s="90"/>
      <c r="AAE494" s="519">
        <f>IF(AND(C493="Y",S.Notice.Involved="Y"),1,0)</f>
        <v>1</v>
      </c>
      <c r="AAF494" s="190" t="s">
        <v>52</v>
      </c>
      <c r="AAG494" s="72"/>
      <c r="AAH494" s="72"/>
      <c r="AAI494" s="72"/>
      <c r="AAJ494" s="72"/>
      <c r="AAK494" s="80" t="str">
        <f>"- manages review/approval process with "&amp;S.Staff.DA</f>
        <v>- manages review/approval process with Andy</v>
      </c>
      <c r="AAL494" s="90"/>
    </row>
    <row r="495" spans="1:715" s="23" customFormat="1" ht="15" customHeight="1" outlineLevel="1" thickBot="1">
      <c r="A495" s="171"/>
      <c r="B495" s="396" t="str">
        <f>AAK495</f>
        <v>* emails management's approval to publish Notice Packet to AndreaRW</v>
      </c>
      <c r="C495" s="513" t="s">
        <v>53</v>
      </c>
      <c r="D495" s="380"/>
      <c r="E495" s="845" t="s">
        <v>447</v>
      </c>
      <c r="F495" s="846"/>
      <c r="G495" s="847"/>
      <c r="H495" s="355">
        <f t="shared" si="413"/>
        <v>41613</v>
      </c>
      <c r="I495" s="244"/>
      <c r="J495" s="198"/>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c r="ST495"/>
      <c r="SU495"/>
      <c r="SV495"/>
      <c r="SW495"/>
      <c r="SX495"/>
      <c r="SY495"/>
      <c r="SZ495"/>
      <c r="TA495"/>
      <c r="TB495"/>
      <c r="TC495"/>
      <c r="TD495"/>
      <c r="TE495"/>
      <c r="TF495"/>
      <c r="TG495"/>
      <c r="TH495"/>
      <c r="TI495"/>
      <c r="TJ495"/>
      <c r="TK495"/>
      <c r="TL495"/>
      <c r="TM495"/>
      <c r="TN495"/>
      <c r="TO495"/>
      <c r="TP495"/>
      <c r="TQ495"/>
      <c r="TR495"/>
      <c r="TS495"/>
      <c r="TT495"/>
      <c r="TU495"/>
      <c r="TV495"/>
      <c r="TW495"/>
      <c r="TX495"/>
      <c r="TY495"/>
      <c r="TZ495"/>
      <c r="UA495"/>
      <c r="UB495"/>
      <c r="UC495"/>
      <c r="UD495"/>
      <c r="UE495"/>
      <c r="UF495"/>
      <c r="UG495"/>
      <c r="UH495"/>
      <c r="UI495"/>
      <c r="UJ495"/>
      <c r="UK495"/>
      <c r="UL495"/>
      <c r="UM495"/>
      <c r="UN495"/>
      <c r="UO495"/>
      <c r="UP495"/>
      <c r="UQ495"/>
      <c r="UR495"/>
      <c r="US495"/>
      <c r="UT495"/>
      <c r="UU495"/>
      <c r="UV495"/>
      <c r="UW495"/>
      <c r="UX495"/>
      <c r="UY495"/>
      <c r="UZ495"/>
      <c r="VA495"/>
      <c r="VB495"/>
      <c r="VC495"/>
      <c r="VD495"/>
      <c r="VE495"/>
      <c r="VF495"/>
      <c r="VG495"/>
      <c r="VH495"/>
      <c r="VI495"/>
      <c r="VJ495"/>
      <c r="VK495"/>
      <c r="VL495"/>
      <c r="VM495"/>
      <c r="VN495"/>
      <c r="VO495"/>
      <c r="VP495"/>
      <c r="VQ495"/>
      <c r="VR495"/>
      <c r="VS495"/>
      <c r="VT495"/>
      <c r="VU495"/>
      <c r="VV495"/>
      <c r="VW495"/>
      <c r="VX495"/>
      <c r="VY495"/>
      <c r="VZ495"/>
      <c r="WA495"/>
      <c r="WB495"/>
      <c r="WC495"/>
      <c r="WD495"/>
      <c r="WE495"/>
      <c r="WF495"/>
      <c r="WG495"/>
      <c r="WH495"/>
      <c r="WI495"/>
      <c r="WJ495"/>
      <c r="WK495"/>
      <c r="WL495"/>
      <c r="WM495"/>
      <c r="WN495"/>
      <c r="WO495"/>
      <c r="WP495"/>
      <c r="WQ495"/>
      <c r="WR495"/>
      <c r="WS495"/>
      <c r="WT495"/>
      <c r="WU495"/>
      <c r="WV495"/>
      <c r="WW495"/>
      <c r="WX495"/>
      <c r="WY495"/>
      <c r="WZ495"/>
      <c r="XA495"/>
      <c r="XB495"/>
      <c r="XC495"/>
      <c r="XD495"/>
      <c r="XE495"/>
      <c r="XF495"/>
      <c r="XG495"/>
      <c r="XH495"/>
      <c r="XI495"/>
      <c r="XJ495"/>
      <c r="XK495"/>
      <c r="XL495"/>
      <c r="XM495"/>
      <c r="XN495"/>
      <c r="XO495"/>
      <c r="XP495"/>
      <c r="XQ495"/>
      <c r="XR495"/>
      <c r="XS495"/>
      <c r="XT495"/>
      <c r="XU495"/>
      <c r="XV495"/>
      <c r="XW495"/>
      <c r="XX495"/>
      <c r="XY495"/>
      <c r="XZ495"/>
      <c r="YA495"/>
      <c r="YB495"/>
      <c r="YC495"/>
      <c r="YD495"/>
      <c r="YE495"/>
      <c r="YF495"/>
      <c r="YG495"/>
      <c r="YH495"/>
      <c r="YI495"/>
      <c r="YJ495"/>
      <c r="YK495"/>
      <c r="YL495"/>
      <c r="YM495"/>
      <c r="YN495"/>
      <c r="YO495"/>
      <c r="YP495"/>
      <c r="YQ495"/>
      <c r="YR495"/>
      <c r="YS495"/>
      <c r="YT495"/>
      <c r="YU495"/>
      <c r="YV495"/>
      <c r="YW495"/>
      <c r="YX495"/>
      <c r="YY495"/>
      <c r="YZ495"/>
      <c r="ZA495"/>
      <c r="ZB495"/>
      <c r="ZC495"/>
      <c r="ZD495"/>
      <c r="ZE495"/>
      <c r="ZF495"/>
      <c r="ZG495"/>
      <c r="ZH495"/>
      <c r="ZI495"/>
      <c r="ZJ495"/>
      <c r="ZK495"/>
      <c r="ZL495"/>
      <c r="ZM495"/>
      <c r="ZN495"/>
      <c r="ZO495"/>
      <c r="ZP495"/>
      <c r="ZQ495"/>
      <c r="ZR495"/>
      <c r="ZS495"/>
      <c r="ZT495"/>
      <c r="ZU495"/>
      <c r="ZV495"/>
      <c r="ZW495"/>
      <c r="ZX495"/>
      <c r="ZY495"/>
      <c r="ZZ495" s="52"/>
      <c r="AAA495" s="192"/>
      <c r="AAD495" s="90"/>
      <c r="AAE495" s="519">
        <f t="shared" ref="AAE495:AAE517" si="420">IF(S.Notice.Involved="Y",1,0)</f>
        <v>1</v>
      </c>
      <c r="AAF495" s="90"/>
      <c r="AAG495" s="72"/>
      <c r="AAH495" s="73">
        <f>IF(AAE495=0,,WORKDAY(S.Notice.EMAIL.RulePublication,-1,S.DDL_DEQClosed))</f>
        <v>41613</v>
      </c>
      <c r="AAI495" s="72"/>
      <c r="AAJ495" s="72"/>
      <c r="AAK495" s="80" t="str">
        <f>"* emails management's approval to publish Notice Packet to "&amp;S.Staff.Lead</f>
        <v>* emails management's approval to publish Notice Packet to AndreaRW</v>
      </c>
      <c r="AAL495" s="90"/>
    </row>
    <row r="496" spans="1:715" s="23" customFormat="1" ht="15" customHeight="1" outlineLevel="1">
      <c r="A496" s="171"/>
      <c r="B496" s="542" t="str">
        <f>AAK496</f>
        <v>- copies AndreaDRC and Maggie</v>
      </c>
      <c r="C496" s="360" t="s">
        <v>0</v>
      </c>
      <c r="D496"/>
      <c r="E496"/>
      <c r="F496"/>
      <c r="G496" s="23" t="s">
        <v>0</v>
      </c>
      <c r="H496"/>
      <c r="I496" s="244"/>
      <c r="J496" s="194"/>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c r="BP496" s="49"/>
      <c r="BQ496" s="49"/>
      <c r="BR496" s="49"/>
      <c r="BS496" s="49"/>
      <c r="BT496" s="49"/>
      <c r="BU496" s="49"/>
      <c r="BV496" s="49"/>
      <c r="BW496" s="49"/>
      <c r="BX496" s="49"/>
      <c r="BY496" s="49"/>
      <c r="BZ496" s="49"/>
      <c r="CA496" s="49"/>
      <c r="CB496" s="49"/>
      <c r="CC496" s="49"/>
      <c r="CD496" s="49"/>
      <c r="CE496" s="49"/>
      <c r="CF496" s="49"/>
      <c r="CG496" s="49"/>
      <c r="CH496" s="49"/>
      <c r="CI496" s="49"/>
      <c r="CJ496" s="49"/>
      <c r="CK496" s="49"/>
      <c r="CL496" s="49"/>
      <c r="CM496" s="49"/>
      <c r="CN496" s="49"/>
      <c r="CO496" s="49"/>
      <c r="CP496" s="49"/>
      <c r="CQ496" s="49"/>
      <c r="CR496" s="49"/>
      <c r="CS496" s="49"/>
      <c r="CT496" s="49"/>
      <c r="CU496" s="49"/>
      <c r="CV496" s="49"/>
      <c r="CW496" s="49"/>
      <c r="CX496" s="49"/>
      <c r="CY496" s="49"/>
      <c r="CZ496" s="49"/>
      <c r="DA496" s="49"/>
      <c r="DB496" s="49"/>
      <c r="DC496" s="49"/>
      <c r="DD496" s="49"/>
      <c r="DE496" s="49"/>
      <c r="DF496" s="49"/>
      <c r="DG496" s="49"/>
      <c r="DH496" s="49"/>
      <c r="DI496" s="49"/>
      <c r="DJ496" s="49"/>
      <c r="DK496" s="49"/>
      <c r="DL496" s="49"/>
      <c r="DM496" s="49"/>
      <c r="DN496" s="49"/>
      <c r="DO496" s="49"/>
      <c r="DP496" s="49"/>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c r="ST496"/>
      <c r="SU496"/>
      <c r="SV496"/>
      <c r="SW496"/>
      <c r="SX496"/>
      <c r="SY496"/>
      <c r="SZ496"/>
      <c r="TA496"/>
      <c r="TB496"/>
      <c r="TC496"/>
      <c r="TD496"/>
      <c r="TE496"/>
      <c r="TF496"/>
      <c r="TG496"/>
      <c r="TH496"/>
      <c r="TI496"/>
      <c r="TJ496"/>
      <c r="TK496"/>
      <c r="TL496"/>
      <c r="TM496"/>
      <c r="TN496"/>
      <c r="TO496"/>
      <c r="TP496"/>
      <c r="TQ496"/>
      <c r="TR496"/>
      <c r="TS496"/>
      <c r="TT496"/>
      <c r="TU496"/>
      <c r="TV496"/>
      <c r="TW496"/>
      <c r="TX496"/>
      <c r="TY496"/>
      <c r="TZ496"/>
      <c r="UA496"/>
      <c r="UB496"/>
      <c r="UC496"/>
      <c r="UD496"/>
      <c r="UE496"/>
      <c r="UF496"/>
      <c r="UG496"/>
      <c r="UH496"/>
      <c r="UI496"/>
      <c r="UJ496"/>
      <c r="UK496"/>
      <c r="UL496"/>
      <c r="UM496"/>
      <c r="UN496"/>
      <c r="UO496"/>
      <c r="UP496"/>
      <c r="UQ496"/>
      <c r="UR496"/>
      <c r="US496"/>
      <c r="UT496"/>
      <c r="UU496"/>
      <c r="UV496"/>
      <c r="UW496"/>
      <c r="UX496"/>
      <c r="UY496"/>
      <c r="UZ496"/>
      <c r="VA496"/>
      <c r="VB496"/>
      <c r="VC496"/>
      <c r="VD496"/>
      <c r="VE496"/>
      <c r="VF496"/>
      <c r="VG496"/>
      <c r="VH496"/>
      <c r="VI496"/>
      <c r="VJ496"/>
      <c r="VK496"/>
      <c r="VL496"/>
      <c r="VM496"/>
      <c r="VN496"/>
      <c r="VO496"/>
      <c r="VP496"/>
      <c r="VQ496"/>
      <c r="VR496"/>
      <c r="VS496"/>
      <c r="VT496"/>
      <c r="VU496"/>
      <c r="VV496"/>
      <c r="VW496"/>
      <c r="VX496"/>
      <c r="VY496"/>
      <c r="VZ496"/>
      <c r="WA496"/>
      <c r="WB496"/>
      <c r="WC496"/>
      <c r="WD496"/>
      <c r="WE496"/>
      <c r="WF496"/>
      <c r="WG496"/>
      <c r="WH496"/>
      <c r="WI496"/>
      <c r="WJ496"/>
      <c r="WK496"/>
      <c r="WL496"/>
      <c r="WM496"/>
      <c r="WN496"/>
      <c r="WO496"/>
      <c r="WP496"/>
      <c r="WQ496"/>
      <c r="WR496"/>
      <c r="WS496"/>
      <c r="WT496"/>
      <c r="WU496"/>
      <c r="WV496"/>
      <c r="WW496"/>
      <c r="WX496"/>
      <c r="WY496"/>
      <c r="WZ496"/>
      <c r="XA496"/>
      <c r="XB496"/>
      <c r="XC496"/>
      <c r="XD496"/>
      <c r="XE496"/>
      <c r="XF496"/>
      <c r="XG496"/>
      <c r="XH496"/>
      <c r="XI496"/>
      <c r="XJ496"/>
      <c r="XK496"/>
      <c r="XL496"/>
      <c r="XM496"/>
      <c r="XN496"/>
      <c r="XO496"/>
      <c r="XP496"/>
      <c r="XQ496"/>
      <c r="XR496"/>
      <c r="XS496"/>
      <c r="XT496"/>
      <c r="XU496"/>
      <c r="XV496"/>
      <c r="XW496"/>
      <c r="XX496"/>
      <c r="XY496"/>
      <c r="XZ496"/>
      <c r="YA496"/>
      <c r="YB496"/>
      <c r="YC496"/>
      <c r="YD496"/>
      <c r="YE496"/>
      <c r="YF496"/>
      <c r="YG496"/>
      <c r="YH496"/>
      <c r="YI496"/>
      <c r="YJ496"/>
      <c r="YK496"/>
      <c r="YL496"/>
      <c r="YM496"/>
      <c r="YN496"/>
      <c r="YO496"/>
      <c r="YP496"/>
      <c r="YQ496"/>
      <c r="YR496"/>
      <c r="YS496"/>
      <c r="YT496"/>
      <c r="YU496"/>
      <c r="YV496"/>
      <c r="YW496"/>
      <c r="YX496"/>
      <c r="YY496"/>
      <c r="YZ496"/>
      <c r="ZA496"/>
      <c r="ZB496"/>
      <c r="ZC496"/>
      <c r="ZD496"/>
      <c r="ZE496"/>
      <c r="ZF496"/>
      <c r="ZG496"/>
      <c r="ZH496"/>
      <c r="ZI496"/>
      <c r="ZJ496"/>
      <c r="ZK496"/>
      <c r="ZL496"/>
      <c r="ZM496"/>
      <c r="ZN496"/>
      <c r="ZO496"/>
      <c r="ZP496"/>
      <c r="ZQ496"/>
      <c r="ZR496"/>
      <c r="ZS496"/>
      <c r="ZT496"/>
      <c r="ZU496"/>
      <c r="ZV496"/>
      <c r="ZW496"/>
      <c r="ZX496"/>
      <c r="ZY496"/>
      <c r="ZZ496" s="52"/>
      <c r="AAA496" s="192"/>
      <c r="AAD496" s="90"/>
      <c r="AAE496" s="519">
        <f t="shared" si="420"/>
        <v>1</v>
      </c>
      <c r="AAF496" s="190" t="s">
        <v>52</v>
      </c>
      <c r="AAG496" s="72"/>
      <c r="AAH496" s="72"/>
      <c r="AAI496" s="72"/>
      <c r="AAJ496" s="72"/>
      <c r="AAK496" s="80" t="str">
        <f>"- copies "&amp;S.Staff.DivisionRulesCoordinator&amp;" and "&amp;S.Staff.AgencyRulesCoordinator</f>
        <v>- copies AndreaDRC and Maggie</v>
      </c>
      <c r="AAL496" s="90"/>
    </row>
    <row r="497" spans="1:715" s="23" customFormat="1" ht="15" customHeight="1" outlineLevel="1">
      <c r="A497" s="171"/>
      <c r="B497" s="361" t="str">
        <f>AAK497</f>
        <v>AndreaRW:</v>
      </c>
      <c r="C497" s="362"/>
      <c r="D497" s="362"/>
      <c r="E497" s="350"/>
      <c r="F497" s="350"/>
      <c r="G497" s="346"/>
      <c r="H497" s="346"/>
      <c r="I497" s="244"/>
      <c r="J497" s="194"/>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c r="BM497" s="49"/>
      <c r="BN497" s="49"/>
      <c r="BO497" s="49"/>
      <c r="BP497" s="49"/>
      <c r="BQ497" s="49"/>
      <c r="BR497" s="49"/>
      <c r="BS497" s="49"/>
      <c r="BT497" s="49"/>
      <c r="BU497" s="49"/>
      <c r="BV497" s="49"/>
      <c r="BW497" s="49"/>
      <c r="BX497" s="49"/>
      <c r="BY497" s="49"/>
      <c r="BZ497" s="49"/>
      <c r="CA497" s="49"/>
      <c r="CB497" s="49"/>
      <c r="CC497" s="49"/>
      <c r="CD497" s="49"/>
      <c r="CE497" s="49"/>
      <c r="CF497" s="49"/>
      <c r="CG497" s="49"/>
      <c r="CH497" s="49"/>
      <c r="CI497" s="49"/>
      <c r="CJ497" s="49"/>
      <c r="CK497" s="49"/>
      <c r="CL497" s="49"/>
      <c r="CM497" s="49"/>
      <c r="CN497" s="49"/>
      <c r="CO497" s="49"/>
      <c r="CP497" s="49"/>
      <c r="CQ497" s="49"/>
      <c r="CR497" s="49"/>
      <c r="CS497" s="49"/>
      <c r="CT497" s="49"/>
      <c r="CU497" s="49"/>
      <c r="CV497" s="49"/>
      <c r="CW497" s="49"/>
      <c r="CX497" s="49"/>
      <c r="CY497" s="49"/>
      <c r="CZ497" s="49"/>
      <c r="DA497" s="49"/>
      <c r="DB497" s="49"/>
      <c r="DC497" s="49"/>
      <c r="DD497" s="49"/>
      <c r="DE497" s="49"/>
      <c r="DF497" s="49"/>
      <c r="DG497" s="49"/>
      <c r="DH497" s="49"/>
      <c r="DI497" s="49"/>
      <c r="DJ497" s="49"/>
      <c r="DK497" s="49"/>
      <c r="DL497" s="49"/>
      <c r="DM497" s="49"/>
      <c r="DN497" s="49"/>
      <c r="DO497" s="49"/>
      <c r="DP497" s="49"/>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c r="ST497"/>
      <c r="SU497"/>
      <c r="SV497"/>
      <c r="SW497"/>
      <c r="SX497"/>
      <c r="SY497"/>
      <c r="SZ497"/>
      <c r="TA497"/>
      <c r="TB497"/>
      <c r="TC497"/>
      <c r="TD497"/>
      <c r="TE497"/>
      <c r="TF497"/>
      <c r="TG497"/>
      <c r="TH497"/>
      <c r="TI497"/>
      <c r="TJ497"/>
      <c r="TK497"/>
      <c r="TL497"/>
      <c r="TM497"/>
      <c r="TN497"/>
      <c r="TO497"/>
      <c r="TP497"/>
      <c r="TQ497"/>
      <c r="TR497"/>
      <c r="TS497"/>
      <c r="TT497"/>
      <c r="TU497"/>
      <c r="TV497"/>
      <c r="TW497"/>
      <c r="TX497"/>
      <c r="TY497"/>
      <c r="TZ497"/>
      <c r="UA497"/>
      <c r="UB497"/>
      <c r="UC497"/>
      <c r="UD497"/>
      <c r="UE497"/>
      <c r="UF497"/>
      <c r="UG497"/>
      <c r="UH497"/>
      <c r="UI497"/>
      <c r="UJ497"/>
      <c r="UK497"/>
      <c r="UL497"/>
      <c r="UM497"/>
      <c r="UN497"/>
      <c r="UO497"/>
      <c r="UP497"/>
      <c r="UQ497"/>
      <c r="UR497"/>
      <c r="US497"/>
      <c r="UT497"/>
      <c r="UU497"/>
      <c r="UV497"/>
      <c r="UW497"/>
      <c r="UX497"/>
      <c r="UY497"/>
      <c r="UZ497"/>
      <c r="VA497"/>
      <c r="VB497"/>
      <c r="VC497"/>
      <c r="VD497"/>
      <c r="VE497"/>
      <c r="VF497"/>
      <c r="VG497"/>
      <c r="VH497"/>
      <c r="VI497"/>
      <c r="VJ497"/>
      <c r="VK497"/>
      <c r="VL497"/>
      <c r="VM497"/>
      <c r="VN497"/>
      <c r="VO497"/>
      <c r="VP497"/>
      <c r="VQ497"/>
      <c r="VR497"/>
      <c r="VS497"/>
      <c r="VT497"/>
      <c r="VU497"/>
      <c r="VV497"/>
      <c r="VW497"/>
      <c r="VX497"/>
      <c r="VY497"/>
      <c r="VZ497"/>
      <c r="WA497"/>
      <c r="WB497"/>
      <c r="WC497"/>
      <c r="WD497"/>
      <c r="WE497"/>
      <c r="WF497"/>
      <c r="WG497"/>
      <c r="WH497"/>
      <c r="WI497"/>
      <c r="WJ497"/>
      <c r="WK497"/>
      <c r="WL497"/>
      <c r="WM497"/>
      <c r="WN497"/>
      <c r="WO497"/>
      <c r="WP497"/>
      <c r="WQ497"/>
      <c r="WR497"/>
      <c r="WS497"/>
      <c r="WT497"/>
      <c r="WU497"/>
      <c r="WV497"/>
      <c r="WW497"/>
      <c r="WX497"/>
      <c r="WY497"/>
      <c r="WZ497"/>
      <c r="XA497"/>
      <c r="XB497"/>
      <c r="XC497"/>
      <c r="XD497"/>
      <c r="XE497"/>
      <c r="XF497"/>
      <c r="XG497"/>
      <c r="XH497"/>
      <c r="XI497"/>
      <c r="XJ497"/>
      <c r="XK497"/>
      <c r="XL497"/>
      <c r="XM497"/>
      <c r="XN497"/>
      <c r="XO497"/>
      <c r="XP497"/>
      <c r="XQ497"/>
      <c r="XR497"/>
      <c r="XS497"/>
      <c r="XT497"/>
      <c r="XU497"/>
      <c r="XV497"/>
      <c r="XW497"/>
      <c r="XX497"/>
      <c r="XY497"/>
      <c r="XZ497"/>
      <c r="YA497"/>
      <c r="YB497"/>
      <c r="YC497"/>
      <c r="YD497"/>
      <c r="YE497"/>
      <c r="YF497"/>
      <c r="YG497"/>
      <c r="YH497"/>
      <c r="YI497"/>
      <c r="YJ497"/>
      <c r="YK497"/>
      <c r="YL497"/>
      <c r="YM497"/>
      <c r="YN497"/>
      <c r="YO497"/>
      <c r="YP497"/>
      <c r="YQ497"/>
      <c r="YR497"/>
      <c r="YS497"/>
      <c r="YT497"/>
      <c r="YU497"/>
      <c r="YV497"/>
      <c r="YW497"/>
      <c r="YX497"/>
      <c r="YY497"/>
      <c r="YZ497"/>
      <c r="ZA497"/>
      <c r="ZB497"/>
      <c r="ZC497"/>
      <c r="ZD497"/>
      <c r="ZE497"/>
      <c r="ZF497"/>
      <c r="ZG497"/>
      <c r="ZH497"/>
      <c r="ZI497"/>
      <c r="ZJ497"/>
      <c r="ZK497"/>
      <c r="ZL497"/>
      <c r="ZM497"/>
      <c r="ZN497"/>
      <c r="ZO497"/>
      <c r="ZP497"/>
      <c r="ZQ497"/>
      <c r="ZR497"/>
      <c r="ZS497"/>
      <c r="ZT497"/>
      <c r="ZU497"/>
      <c r="ZV497"/>
      <c r="ZW497"/>
      <c r="ZX497"/>
      <c r="ZY497"/>
      <c r="ZZ497" s="52"/>
      <c r="AAA497" s="192"/>
      <c r="AAD497" s="90"/>
      <c r="AAE497" s="519">
        <f t="shared" si="420"/>
        <v>1</v>
      </c>
      <c r="AAF497" s="190" t="s">
        <v>52</v>
      </c>
      <c r="AAG497" s="71"/>
      <c r="AAH497" s="71"/>
      <c r="AAI497" s="71"/>
      <c r="AAJ497" s="56"/>
      <c r="AAK497" s="254" t="str">
        <f>S.Staff.Lead&amp;":"</f>
        <v>AndreaRW:</v>
      </c>
      <c r="AAL497" s="90"/>
    </row>
    <row r="498" spans="1:715" s="23" customFormat="1" ht="15" customHeight="1" outlineLevel="1">
      <c r="A498" s="171"/>
      <c r="B498" s="407" t="s">
        <v>410</v>
      </c>
      <c r="C498" s="360" t="s">
        <v>0</v>
      </c>
      <c r="D498" s="380"/>
      <c r="E498"/>
      <c r="F498"/>
      <c r="G498"/>
      <c r="H498" s="355">
        <f t="shared" si="413"/>
        <v>41613</v>
      </c>
      <c r="I498" s="244"/>
      <c r="J498" s="194"/>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9"/>
      <c r="CD498" s="49"/>
      <c r="CE498" s="49"/>
      <c r="CF498" s="49"/>
      <c r="CG498" s="49"/>
      <c r="CH498" s="49"/>
      <c r="CI498" s="49"/>
      <c r="CJ498" s="49"/>
      <c r="CK498" s="49"/>
      <c r="CL498" s="49"/>
      <c r="CM498" s="49"/>
      <c r="CN498" s="49"/>
      <c r="CO498" s="49"/>
      <c r="CP498" s="49"/>
      <c r="CQ498" s="49"/>
      <c r="CR498" s="49"/>
      <c r="CS498" s="49"/>
      <c r="CT498" s="49"/>
      <c r="CU498" s="49"/>
      <c r="CV498" s="49"/>
      <c r="CW498" s="49"/>
      <c r="CX498" s="49"/>
      <c r="CY498" s="49"/>
      <c r="CZ498" s="49"/>
      <c r="DA498" s="49"/>
      <c r="DB498" s="49"/>
      <c r="DC498" s="49"/>
      <c r="DD498" s="49"/>
      <c r="DE498" s="49"/>
      <c r="DF498" s="49"/>
      <c r="DG498" s="49"/>
      <c r="DH498" s="49"/>
      <c r="DI498" s="49"/>
      <c r="DJ498" s="49"/>
      <c r="DK498" s="49"/>
      <c r="DL498" s="49"/>
      <c r="DM498" s="49"/>
      <c r="DN498" s="49"/>
      <c r="DO498" s="49"/>
      <c r="DP498" s="49"/>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s="52"/>
      <c r="AAA498" s="192" t="s">
        <v>0</v>
      </c>
      <c r="AAD498" s="90"/>
      <c r="AAE498" s="519">
        <f t="shared" si="420"/>
        <v>1</v>
      </c>
      <c r="AAF498" s="90"/>
      <c r="AAG498" s="60" t="s">
        <v>0</v>
      </c>
      <c r="AAH498" s="73">
        <f>IF(AAE498=0,,WORKDAY(S.Notice.EMAIL.RulePublication,-1,S.DDL_DEQClosed))</f>
        <v>41613</v>
      </c>
      <c r="AAI498" s="72"/>
      <c r="AAJ498" s="72"/>
      <c r="AAK498" s="87" t="s">
        <v>0</v>
      </c>
      <c r="AAL498" s="90"/>
    </row>
    <row r="499" spans="1:715" ht="15" customHeight="1" outlineLevel="1">
      <c r="A499" s="171"/>
      <c r="B499" s="643" t="s">
        <v>107</v>
      </c>
      <c r="C499" s="362"/>
      <c r="D499" s="390"/>
      <c r="E499" s="350"/>
      <c r="F499" s="350"/>
      <c r="G499" s="391"/>
      <c r="H499" s="392"/>
      <c r="I499" s="244"/>
      <c r="J499" s="194"/>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9"/>
      <c r="BN499" s="49"/>
      <c r="BO499" s="49"/>
      <c r="BP499" s="49"/>
      <c r="BQ499" s="49"/>
      <c r="BR499" s="49"/>
      <c r="BS499" s="49"/>
      <c r="BT499" s="49"/>
      <c r="BU499" s="49"/>
      <c r="BV499" s="49"/>
      <c r="BW499" s="49"/>
      <c r="BX499" s="49"/>
      <c r="BY499" s="49"/>
      <c r="BZ499" s="49"/>
      <c r="CA499" s="49"/>
      <c r="CB499" s="49"/>
      <c r="CC499" s="49"/>
      <c r="CD499" s="49"/>
      <c r="CE499" s="49"/>
      <c r="CF499" s="49"/>
      <c r="CG499" s="49"/>
      <c r="CH499" s="49"/>
      <c r="CI499" s="49"/>
      <c r="CJ499" s="49"/>
      <c r="CK499" s="49"/>
      <c r="CL499" s="49"/>
      <c r="CM499" s="49"/>
      <c r="CN499" s="49"/>
      <c r="CO499" s="49"/>
      <c r="CP499" s="49"/>
      <c r="CQ499" s="49"/>
      <c r="CR499" s="49"/>
      <c r="CS499" s="49"/>
      <c r="CT499" s="49"/>
      <c r="CU499" s="49"/>
      <c r="CV499" s="49"/>
      <c r="CW499" s="49"/>
      <c r="CX499" s="49"/>
      <c r="CY499" s="49"/>
      <c r="CZ499" s="49"/>
      <c r="DA499" s="49"/>
      <c r="DB499" s="49"/>
      <c r="DC499" s="49"/>
      <c r="DD499" s="49"/>
      <c r="DE499" s="49"/>
      <c r="DF499" s="49"/>
      <c r="DG499" s="49"/>
      <c r="DH499" s="49"/>
      <c r="DI499" s="49"/>
      <c r="DJ499" s="49"/>
      <c r="DK499" s="49"/>
      <c r="DL499" s="49"/>
      <c r="DM499" s="49"/>
      <c r="DN499" s="49"/>
      <c r="DO499" s="49"/>
      <c r="DP499" s="49"/>
      <c r="AAA499" s="192"/>
      <c r="AAD499" s="90"/>
      <c r="AAE499" s="519">
        <f t="shared" si="420"/>
        <v>1</v>
      </c>
      <c r="AAF499" s="190" t="s">
        <v>52</v>
      </c>
      <c r="AAG499" s="60" t="s">
        <v>0</v>
      </c>
      <c r="AAH499" s="60" t="s">
        <v>0</v>
      </c>
      <c r="AAI499" s="60"/>
      <c r="AAJ499" s="56"/>
      <c r="AAK499" s="87" t="s">
        <v>0</v>
      </c>
      <c r="AAL499" s="90"/>
      <c r="AAM499"/>
    </row>
    <row r="500" spans="1:715" s="23" customFormat="1" ht="15" customHeight="1" outlineLevel="1" thickBot="1">
      <c r="A500" s="171" t="s">
        <v>0</v>
      </c>
      <c r="B500" s="389" t="str">
        <f t="shared" ref="B500" si="421">AAK500</f>
        <v>AndreaRW:</v>
      </c>
      <c r="C500" s="374"/>
      <c r="D500" s="393"/>
      <c r="E500" s="394"/>
      <c r="F500" s="394"/>
      <c r="G500" s="395"/>
      <c r="H500" s="395"/>
      <c r="I500" s="244"/>
      <c r="J500" s="198"/>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c r="DM500" s="51"/>
      <c r="DN500" s="51"/>
      <c r="DO500" s="51"/>
      <c r="DP500" s="51"/>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s="52"/>
      <c r="AAA500" s="192"/>
      <c r="AAD500" s="90"/>
      <c r="AAE500" s="519">
        <f t="shared" si="420"/>
        <v>1</v>
      </c>
      <c r="AAF500" s="190" t="s">
        <v>52</v>
      </c>
      <c r="AAG500" s="71"/>
      <c r="AAH500" s="71"/>
      <c r="AAI500" s="72"/>
      <c r="AAJ500" s="72"/>
      <c r="AAK500" s="80" t="str">
        <f>S.Staff.Lead&amp;":"</f>
        <v>AndreaRW:</v>
      </c>
      <c r="AAL500" s="90"/>
    </row>
    <row r="501" spans="1:715" s="23" customFormat="1" ht="15" customHeight="1" outlineLevel="1" thickBot="1">
      <c r="A501" s="171"/>
      <c r="B501" s="396" t="s">
        <v>414</v>
      </c>
      <c r="C501" s="513" t="s">
        <v>53</v>
      </c>
      <c r="D501" s="380"/>
      <c r="E501" s="845" t="s">
        <v>419</v>
      </c>
      <c r="F501" s="846"/>
      <c r="G501" s="847"/>
      <c r="H501" s="343">
        <f>AAH501</f>
        <v>41614</v>
      </c>
      <c r="I501" s="244"/>
      <c r="J501" s="198"/>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c r="DM501" s="51"/>
      <c r="DN501" s="51"/>
      <c r="DO501" s="51"/>
      <c r="DP501" s="5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s="52"/>
      <c r="AAA501" s="192"/>
      <c r="AAD501" s="90"/>
      <c r="AAE501" s="519">
        <f t="shared" si="420"/>
        <v>1</v>
      </c>
      <c r="AAF501" s="90"/>
      <c r="AAG501" s="71"/>
      <c r="AAH501" s="73">
        <f>IF(AAE501=0,,WORKDAY(MIN(S.Notice.SubmitToSOS,S.Notice.OpenComment),-5,S.DDL_DEQClosed))</f>
        <v>41614</v>
      </c>
      <c r="AAI501" s="72"/>
      <c r="AAJ501" s="72"/>
      <c r="AAK501" s="87"/>
      <c r="AAL501" s="90"/>
    </row>
    <row r="502" spans="1:715" s="23" customFormat="1" ht="15" customHeight="1" outlineLevel="1">
      <c r="A502" s="171" t="s">
        <v>0</v>
      </c>
      <c r="B502" s="396" t="s">
        <v>337</v>
      </c>
      <c r="C502" s="374"/>
      <c r="D502" s="380"/>
      <c r="E502" s="394"/>
      <c r="F502" s="394"/>
      <c r="G502" s="395"/>
      <c r="H502" s="395"/>
      <c r="I502" s="244"/>
      <c r="J502" s="198"/>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c r="DM502" s="51"/>
      <c r="DN502" s="51"/>
      <c r="DO502" s="51"/>
      <c r="DP502" s="51"/>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s="52"/>
      <c r="AAA502" s="192"/>
      <c r="AAD502" s="90"/>
      <c r="AAE502" s="519">
        <f t="shared" si="420"/>
        <v>1</v>
      </c>
      <c r="AAF502" s="190" t="s">
        <v>52</v>
      </c>
      <c r="AAG502" s="71"/>
      <c r="AAH502" s="71"/>
      <c r="AAI502" s="72"/>
      <c r="AAJ502" s="72"/>
      <c r="AAK502" s="87"/>
      <c r="AAL502" s="90"/>
    </row>
    <row r="503" spans="1:715" s="23" customFormat="1" ht="15" customHeight="1" outlineLevel="1">
      <c r="A503" s="171" t="s">
        <v>0</v>
      </c>
      <c r="B503" s="670" t="s">
        <v>503</v>
      </c>
      <c r="C503" s="376" t="s">
        <v>0</v>
      </c>
      <c r="I503" s="244"/>
      <c r="J503" s="194"/>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9"/>
      <c r="CD503" s="49"/>
      <c r="CE503" s="49"/>
      <c r="CF503" s="49"/>
      <c r="CG503" s="49"/>
      <c r="CH503" s="49"/>
      <c r="CI503" s="49"/>
      <c r="CJ503" s="49"/>
      <c r="CK503" s="49"/>
      <c r="CL503" s="49"/>
      <c r="CM503" s="49"/>
      <c r="CN503" s="49"/>
      <c r="CO503" s="49"/>
      <c r="CP503" s="49"/>
      <c r="CQ503" s="49"/>
      <c r="CR503" s="49"/>
      <c r="CS503" s="49"/>
      <c r="CT503" s="49"/>
      <c r="CU503" s="49"/>
      <c r="CV503" s="49"/>
      <c r="CW503" s="49"/>
      <c r="CX503" s="49"/>
      <c r="CY503" s="49"/>
      <c r="CZ503" s="49"/>
      <c r="DA503" s="49"/>
      <c r="DB503" s="49"/>
      <c r="DC503" s="49"/>
      <c r="DD503" s="49"/>
      <c r="DE503" s="49"/>
      <c r="DF503" s="49"/>
      <c r="DG503" s="49"/>
      <c r="DH503" s="49"/>
      <c r="DI503" s="49"/>
      <c r="DJ503" s="49"/>
      <c r="DK503" s="49"/>
      <c r="DL503" s="49"/>
      <c r="DM503" s="49"/>
      <c r="DN503" s="49"/>
      <c r="DO503" s="49"/>
      <c r="DP503" s="49"/>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s="52"/>
      <c r="AAA503" s="192"/>
      <c r="AAD503" s="90"/>
      <c r="AAE503" s="519">
        <f t="shared" si="420"/>
        <v>1</v>
      </c>
      <c r="AAF503" s="190" t="s">
        <v>52</v>
      </c>
      <c r="AAG503" s="72"/>
      <c r="AAH503" s="72"/>
      <c r="AAI503" s="72"/>
      <c r="AAJ503" s="72"/>
      <c r="AAK503" s="87"/>
      <c r="AAL503" s="90"/>
    </row>
    <row r="504" spans="1:715" s="23" customFormat="1" ht="15" customHeight="1" outlineLevel="1">
      <c r="A504" s="171" t="s">
        <v>0</v>
      </c>
      <c r="B504" s="720" t="s">
        <v>415</v>
      </c>
      <c r="C504" s="376" t="s">
        <v>0</v>
      </c>
      <c r="I504" s="244"/>
      <c r="J504" s="194"/>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9"/>
      <c r="CD504" s="49"/>
      <c r="CE504" s="49"/>
      <c r="CF504" s="49"/>
      <c r="CG504" s="49"/>
      <c r="CH504" s="49"/>
      <c r="CI504" s="49"/>
      <c r="CJ504" s="49"/>
      <c r="CK504" s="49"/>
      <c r="CL504" s="49"/>
      <c r="CM504" s="49"/>
      <c r="CN504" s="49"/>
      <c r="CO504" s="49"/>
      <c r="CP504" s="49"/>
      <c r="CQ504" s="49"/>
      <c r="CR504" s="49"/>
      <c r="CS504" s="49"/>
      <c r="CT504" s="49"/>
      <c r="CU504" s="49"/>
      <c r="CV504" s="49"/>
      <c r="CW504" s="49"/>
      <c r="CX504" s="49"/>
      <c r="CY504" s="49"/>
      <c r="CZ504" s="49"/>
      <c r="DA504" s="49"/>
      <c r="DB504" s="49"/>
      <c r="DC504" s="49"/>
      <c r="DD504" s="49"/>
      <c r="DE504" s="49"/>
      <c r="DF504" s="49"/>
      <c r="DG504" s="49"/>
      <c r="DH504" s="49"/>
      <c r="DI504" s="49"/>
      <c r="DJ504" s="49"/>
      <c r="DK504" s="49"/>
      <c r="DL504" s="49"/>
      <c r="DM504" s="49"/>
      <c r="DN504" s="49"/>
      <c r="DO504" s="49"/>
      <c r="DP504" s="49"/>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s="52"/>
      <c r="AAA504" s="192"/>
      <c r="AAD504" s="90"/>
      <c r="AAE504" s="519">
        <f t="shared" si="420"/>
        <v>1</v>
      </c>
      <c r="AAF504" s="190" t="s">
        <v>52</v>
      </c>
      <c r="AAG504" s="72"/>
      <c r="AAH504" s="72"/>
      <c r="AAI504" s="72"/>
      <c r="AAJ504" s="72"/>
      <c r="AAK504" s="87"/>
      <c r="AAL504" s="90"/>
    </row>
    <row r="505" spans="1:715" s="23" customFormat="1" ht="15" customHeight="1" outlineLevel="1">
      <c r="A505" s="171" t="s">
        <v>0</v>
      </c>
      <c r="B505" s="720" t="s">
        <v>504</v>
      </c>
      <c r="C505" s="376" t="s">
        <v>0</v>
      </c>
      <c r="I505" s="244"/>
      <c r="J505" s="194"/>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9"/>
      <c r="CD505" s="49"/>
      <c r="CE505" s="49"/>
      <c r="CF505" s="49"/>
      <c r="CG505" s="49"/>
      <c r="CH505" s="49"/>
      <c r="CI505" s="49"/>
      <c r="CJ505" s="49"/>
      <c r="CK505" s="49"/>
      <c r="CL505" s="49"/>
      <c r="CM505" s="49"/>
      <c r="CN505" s="49"/>
      <c r="CO505" s="49"/>
      <c r="CP505" s="49"/>
      <c r="CQ505" s="49"/>
      <c r="CR505" s="49"/>
      <c r="CS505" s="49"/>
      <c r="CT505" s="49"/>
      <c r="CU505" s="49"/>
      <c r="CV505" s="49"/>
      <c r="CW505" s="49"/>
      <c r="CX505" s="49"/>
      <c r="CY505" s="49"/>
      <c r="CZ505" s="49"/>
      <c r="DA505" s="49"/>
      <c r="DB505" s="49"/>
      <c r="DC505" s="49"/>
      <c r="DD505" s="49"/>
      <c r="DE505" s="49"/>
      <c r="DF505" s="49"/>
      <c r="DG505" s="49"/>
      <c r="DH505" s="49"/>
      <c r="DI505" s="49"/>
      <c r="DJ505" s="49"/>
      <c r="DK505" s="49"/>
      <c r="DL505" s="49"/>
      <c r="DM505" s="49"/>
      <c r="DN505" s="49"/>
      <c r="DO505" s="49"/>
      <c r="DP505" s="49"/>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s="52"/>
      <c r="AAA505" s="192"/>
      <c r="AAD505" s="90"/>
      <c r="AAE505" s="519">
        <f t="shared" si="420"/>
        <v>1</v>
      </c>
      <c r="AAF505" s="190" t="s">
        <v>52</v>
      </c>
      <c r="AAG505" s="72"/>
      <c r="AAH505" s="72"/>
      <c r="AAI505" s="72"/>
      <c r="AAJ505" s="72"/>
      <c r="AAK505" s="87"/>
      <c r="AAL505" s="90"/>
    </row>
    <row r="506" spans="1:715" s="23" customFormat="1" ht="15" customHeight="1" outlineLevel="1">
      <c r="A506" s="171" t="s">
        <v>0</v>
      </c>
      <c r="B506" s="720" t="s">
        <v>416</v>
      </c>
      <c r="C506" s="376" t="s">
        <v>0</v>
      </c>
      <c r="I506" s="244"/>
      <c r="J506" s="194"/>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9"/>
      <c r="CD506" s="49"/>
      <c r="CE506" s="49"/>
      <c r="CF506" s="49"/>
      <c r="CG506" s="49"/>
      <c r="CH506" s="49"/>
      <c r="CI506" s="49"/>
      <c r="CJ506" s="49"/>
      <c r="CK506" s="49"/>
      <c r="CL506" s="49"/>
      <c r="CM506" s="49"/>
      <c r="CN506" s="49"/>
      <c r="CO506" s="49"/>
      <c r="CP506" s="49"/>
      <c r="CQ506" s="49"/>
      <c r="CR506" s="49"/>
      <c r="CS506" s="49"/>
      <c r="CT506" s="49"/>
      <c r="CU506" s="49"/>
      <c r="CV506" s="49"/>
      <c r="CW506" s="49"/>
      <c r="CX506" s="49"/>
      <c r="CY506" s="49"/>
      <c r="CZ506" s="49"/>
      <c r="DA506" s="49"/>
      <c r="DB506" s="49"/>
      <c r="DC506" s="49"/>
      <c r="DD506" s="49"/>
      <c r="DE506" s="49"/>
      <c r="DF506" s="49"/>
      <c r="DG506" s="49"/>
      <c r="DH506" s="49"/>
      <c r="DI506" s="49"/>
      <c r="DJ506" s="49"/>
      <c r="DK506" s="49"/>
      <c r="DL506" s="49"/>
      <c r="DM506" s="49"/>
      <c r="DN506" s="49"/>
      <c r="DO506" s="49"/>
      <c r="DP506" s="49"/>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s="52"/>
      <c r="AAA506" s="192"/>
      <c r="AAD506" s="90"/>
      <c r="AAE506" s="519">
        <f t="shared" si="420"/>
        <v>1</v>
      </c>
      <c r="AAF506" s="190" t="s">
        <v>52</v>
      </c>
      <c r="AAG506" s="72"/>
      <c r="AAH506" s="72"/>
      <c r="AAI506" s="72"/>
      <c r="AAJ506" s="72"/>
      <c r="AAK506" s="87"/>
      <c r="AAL506" s="90"/>
    </row>
    <row r="507" spans="1:715" s="23" customFormat="1" ht="15" customHeight="1" outlineLevel="1">
      <c r="A507" s="171"/>
      <c r="B507" s="670" t="str">
        <f>AAK507</f>
        <v>- editing for SOS submittal and authorization --  Maggie</v>
      </c>
      <c r="C507" s="376" t="s">
        <v>0</v>
      </c>
      <c r="I507" s="244"/>
      <c r="J507" s="194"/>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9"/>
      <c r="CD507" s="49"/>
      <c r="CE507" s="49"/>
      <c r="CF507" s="49"/>
      <c r="CG507" s="49"/>
      <c r="CH507" s="49"/>
      <c r="CI507" s="49"/>
      <c r="CJ507" s="49"/>
      <c r="CK507" s="49"/>
      <c r="CL507" s="49"/>
      <c r="CM507" s="49"/>
      <c r="CN507" s="49"/>
      <c r="CO507" s="49"/>
      <c r="CP507" s="49"/>
      <c r="CQ507" s="49"/>
      <c r="CR507" s="49"/>
      <c r="CS507" s="49"/>
      <c r="CT507" s="49"/>
      <c r="CU507" s="49"/>
      <c r="CV507" s="49"/>
      <c r="CW507" s="49"/>
      <c r="CX507" s="49"/>
      <c r="CY507" s="49"/>
      <c r="CZ507" s="49"/>
      <c r="DA507" s="49"/>
      <c r="DB507" s="49"/>
      <c r="DC507" s="49"/>
      <c r="DD507" s="49"/>
      <c r="DE507" s="49"/>
      <c r="DF507" s="49"/>
      <c r="DG507" s="49"/>
      <c r="DH507" s="49"/>
      <c r="DI507" s="49"/>
      <c r="DJ507" s="49"/>
      <c r="DK507" s="49"/>
      <c r="DL507" s="49"/>
      <c r="DM507" s="49"/>
      <c r="DN507" s="49"/>
      <c r="DO507" s="49"/>
      <c r="DP507" s="49"/>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s="52"/>
      <c r="AAA507" s="192"/>
      <c r="AAD507" s="90"/>
      <c r="AAE507" s="519">
        <f t="shared" si="420"/>
        <v>1</v>
      </c>
      <c r="AAF507" s="190" t="s">
        <v>52</v>
      </c>
      <c r="AAG507" s="72"/>
      <c r="AAH507" s="72"/>
      <c r="AAI507" s="72"/>
      <c r="AAJ507" s="72"/>
      <c r="AAK507" s="80" t="str">
        <f>"- editing for SOS submittal and authorization --  "&amp;S.Staff.AgencyRulesCoordinator</f>
        <v>- editing for SOS submittal and authorization --  Maggie</v>
      </c>
      <c r="AAL507" s="90"/>
    </row>
    <row r="508" spans="1:715" s="23" customFormat="1" ht="15" customHeight="1" outlineLevel="1">
      <c r="A508" s="171"/>
      <c r="B508" s="640" t="s">
        <v>417</v>
      </c>
      <c r="C508" s="376" t="s">
        <v>0</v>
      </c>
      <c r="I508" s="244"/>
      <c r="J508" s="194"/>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9"/>
      <c r="CD508" s="49"/>
      <c r="CE508" s="49"/>
      <c r="CF508" s="49"/>
      <c r="CG508" s="49"/>
      <c r="CH508" s="49"/>
      <c r="CI508" s="49"/>
      <c r="CJ508" s="49"/>
      <c r="CK508" s="49"/>
      <c r="CL508" s="49"/>
      <c r="CM508" s="49"/>
      <c r="CN508" s="49"/>
      <c r="CO508" s="49"/>
      <c r="CP508" s="49"/>
      <c r="CQ508" s="49"/>
      <c r="CR508" s="49"/>
      <c r="CS508" s="49"/>
      <c r="CT508" s="49"/>
      <c r="CU508" s="49"/>
      <c r="CV508" s="49"/>
      <c r="CW508" s="49"/>
      <c r="CX508" s="49"/>
      <c r="CY508" s="49"/>
      <c r="CZ508" s="49"/>
      <c r="DA508" s="49"/>
      <c r="DB508" s="49"/>
      <c r="DC508" s="49"/>
      <c r="DD508" s="49"/>
      <c r="DE508" s="49"/>
      <c r="DF508" s="49"/>
      <c r="DG508" s="49"/>
      <c r="DH508" s="49"/>
      <c r="DI508" s="49"/>
      <c r="DJ508" s="49"/>
      <c r="DK508" s="49"/>
      <c r="DL508" s="49"/>
      <c r="DM508" s="49"/>
      <c r="DN508" s="49"/>
      <c r="DO508" s="49"/>
      <c r="DP508" s="49"/>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s="52"/>
      <c r="AAA508" s="192"/>
      <c r="AAD508" s="90"/>
      <c r="AAE508" s="519">
        <f t="shared" si="420"/>
        <v>1</v>
      </c>
      <c r="AAF508" s="190" t="s">
        <v>52</v>
      </c>
      <c r="AAG508" s="72"/>
      <c r="AAH508" s="72"/>
      <c r="AAI508" s="72"/>
      <c r="AAJ508" s="72"/>
      <c r="AAK508" s="87"/>
      <c r="AAL508" s="90"/>
    </row>
    <row r="509" spans="1:715" s="23" customFormat="1" ht="15" customHeight="1" outlineLevel="1">
      <c r="A509" s="171"/>
      <c r="B509" s="670" t="str">
        <f>AAK509</f>
        <v>- editing for plain English, style guide and tone -- WilliamK</v>
      </c>
      <c r="C509" s="376" t="s">
        <v>0</v>
      </c>
      <c r="I509" s="244"/>
      <c r="J509" s="194"/>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9"/>
      <c r="CD509" s="49"/>
      <c r="CE509" s="49"/>
      <c r="CF509" s="49"/>
      <c r="CG509" s="49"/>
      <c r="CH509" s="49"/>
      <c r="CI509" s="49"/>
      <c r="CJ509" s="49"/>
      <c r="CK509" s="49"/>
      <c r="CL509" s="49"/>
      <c r="CM509" s="49"/>
      <c r="CN509" s="49"/>
      <c r="CO509" s="49"/>
      <c r="CP509" s="49"/>
      <c r="CQ509" s="49"/>
      <c r="CR509" s="49"/>
      <c r="CS509" s="49"/>
      <c r="CT509" s="49"/>
      <c r="CU509" s="49"/>
      <c r="CV509" s="49"/>
      <c r="CW509" s="49"/>
      <c r="CX509" s="49"/>
      <c r="CY509" s="49"/>
      <c r="CZ509" s="49"/>
      <c r="DA509" s="49"/>
      <c r="DB509" s="49"/>
      <c r="DC509" s="49"/>
      <c r="DD509" s="49"/>
      <c r="DE509" s="49"/>
      <c r="DF509" s="49"/>
      <c r="DG509" s="49"/>
      <c r="DH509" s="49"/>
      <c r="DI509" s="49"/>
      <c r="DJ509" s="49"/>
      <c r="DK509" s="49"/>
      <c r="DL509" s="49"/>
      <c r="DM509" s="49"/>
      <c r="DN509" s="49"/>
      <c r="DO509" s="49"/>
      <c r="DP509" s="4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s="52"/>
      <c r="AAA509" s="192"/>
      <c r="AAD509" s="90"/>
      <c r="AAE509" s="519">
        <f t="shared" si="420"/>
        <v>1</v>
      </c>
      <c r="AAF509" s="190" t="s">
        <v>52</v>
      </c>
      <c r="AAG509" s="72"/>
      <c r="AAH509" s="72"/>
      <c r="AAI509" s="72"/>
      <c r="AAJ509" s="72"/>
      <c r="AAK509" s="80" t="str">
        <f>"- editing for plain English, style guide and tone -- "&amp;S.Staff.OCOCommunication</f>
        <v>- editing for plain English, style guide and tone -- WilliamK</v>
      </c>
      <c r="AAL509" s="90"/>
    </row>
    <row r="510" spans="1:715" s="23" customFormat="1" ht="15" customHeight="1" outlineLevel="1">
      <c r="A510" s="171"/>
      <c r="B510" s="670" t="str">
        <f>AAK510</f>
        <v>- verifying/clarifying consolidated edits with AndreaRW</v>
      </c>
      <c r="C510" s="374"/>
      <c r="D510" s="393"/>
      <c r="E510" s="394"/>
      <c r="F510" s="394"/>
      <c r="G510" s="395"/>
      <c r="H510" s="395"/>
      <c r="I510" s="244"/>
      <c r="J510" s="198"/>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c r="DE510" s="51"/>
      <c r="DF510" s="51"/>
      <c r="DG510" s="51"/>
      <c r="DH510" s="51"/>
      <c r="DI510" s="51"/>
      <c r="DJ510" s="51"/>
      <c r="DK510" s="51"/>
      <c r="DL510" s="51"/>
      <c r="DM510" s="51"/>
      <c r="DN510" s="51"/>
      <c r="DO510" s="51"/>
      <c r="DP510" s="51"/>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s="52"/>
      <c r="AAA510" s="192"/>
      <c r="AAD510" s="90"/>
      <c r="AAE510" s="519">
        <f t="shared" si="420"/>
        <v>1</v>
      </c>
      <c r="AAF510" s="190" t="s">
        <v>52</v>
      </c>
      <c r="AAG510" s="71"/>
      <c r="AAH510" s="71"/>
      <c r="AAI510" s="72"/>
      <c r="AAJ510" s="72"/>
      <c r="AAK510" s="80" t="str">
        <f>"- verifying/clarifying consolidated edits with "&amp;S.Staff.Lead</f>
        <v>- verifying/clarifying consolidated edits with AndreaRW</v>
      </c>
      <c r="AAL510" s="90"/>
    </row>
    <row r="511" spans="1:715" s="23" customFormat="1" ht="15" customHeight="1" outlineLevel="1" thickBot="1">
      <c r="A511" s="171"/>
      <c r="B511" s="670" t="str">
        <f>AAK511</f>
        <v>- establishing Outlook comment box with AndreaRW as owner</v>
      </c>
      <c r="C511" s="374"/>
      <c r="D511" s="393"/>
      <c r="E511" s="394"/>
      <c r="F511" s="394"/>
      <c r="G511" s="395"/>
      <c r="H511" s="395"/>
      <c r="I511" s="244"/>
      <c r="J511" s="198"/>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c r="DE511" s="51"/>
      <c r="DF511" s="51"/>
      <c r="DG511" s="51"/>
      <c r="DH511" s="51"/>
      <c r="DI511" s="51"/>
      <c r="DJ511" s="51"/>
      <c r="DK511" s="51"/>
      <c r="DL511" s="51"/>
      <c r="DM511" s="51"/>
      <c r="DN511" s="51"/>
      <c r="DO511" s="51"/>
      <c r="DP511" s="5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s="52"/>
      <c r="AAA511" s="192"/>
      <c r="AAD511" s="90"/>
      <c r="AAE511" s="519">
        <f t="shared" si="420"/>
        <v>1</v>
      </c>
      <c r="AAF511" s="190" t="s">
        <v>52</v>
      </c>
      <c r="AAG511" s="71"/>
      <c r="AAH511" s="71"/>
      <c r="AAI511" s="72"/>
      <c r="AAJ511" s="72"/>
      <c r="AAK511" s="80" t="str">
        <f>"- establishing Outlook comment box with "&amp;S.Staff.Lead&amp;" as owner"</f>
        <v>- establishing Outlook comment box with AndreaRW as owner</v>
      </c>
      <c r="AAL511" s="90"/>
    </row>
    <row r="512" spans="1:715" s="23" customFormat="1" ht="15" customHeight="1" outlineLevel="1" thickBot="1">
      <c r="A512" s="171"/>
      <c r="B512" s="640" t="s">
        <v>331</v>
      </c>
      <c r="C512" s="513" t="s">
        <v>53</v>
      </c>
      <c r="D512" s="357"/>
      <c r="E512" s="350"/>
      <c r="F512" s="350"/>
      <c r="G512" s="346"/>
      <c r="H512" s="346"/>
      <c r="I512" s="244"/>
      <c r="J512" s="194"/>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9"/>
      <c r="CD512" s="49"/>
      <c r="CE512" s="49"/>
      <c r="CF512" s="49"/>
      <c r="CG512" s="49"/>
      <c r="CH512" s="49"/>
      <c r="CI512" s="49"/>
      <c r="CJ512" s="49"/>
      <c r="CK512" s="49"/>
      <c r="CL512" s="49"/>
      <c r="CM512" s="49"/>
      <c r="CN512" s="49"/>
      <c r="CO512" s="49"/>
      <c r="CP512" s="49"/>
      <c r="CQ512" s="49"/>
      <c r="CR512" s="49"/>
      <c r="CS512" s="49"/>
      <c r="CT512" s="49"/>
      <c r="CU512" s="49"/>
      <c r="CV512" s="49"/>
      <c r="CW512" s="49"/>
      <c r="CX512" s="49"/>
      <c r="CY512" s="49"/>
      <c r="CZ512" s="49"/>
      <c r="DA512" s="49"/>
      <c r="DB512" s="49"/>
      <c r="DC512" s="49"/>
      <c r="DD512" s="49"/>
      <c r="DE512" s="49"/>
      <c r="DF512" s="49"/>
      <c r="DG512" s="49"/>
      <c r="DH512" s="49"/>
      <c r="DI512" s="49"/>
      <c r="DJ512" s="49"/>
      <c r="DK512" s="49"/>
      <c r="DL512" s="49"/>
      <c r="DM512" s="49"/>
      <c r="DN512" s="49"/>
      <c r="DO512" s="49"/>
      <c r="DP512" s="49"/>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s="52"/>
      <c r="AAA512" s="192"/>
      <c r="AAD512" s="90"/>
      <c r="AAE512" s="519">
        <f t="shared" si="420"/>
        <v>1</v>
      </c>
      <c r="AAF512" s="190" t="s">
        <v>52</v>
      </c>
      <c r="AAG512" s="71"/>
      <c r="AAH512" s="71"/>
      <c r="AAI512" s="72"/>
      <c r="AAJ512" s="72"/>
      <c r="AAK512" s="87"/>
      <c r="AAL512" s="90"/>
    </row>
    <row r="513" spans="1:715" s="23" customFormat="1" ht="15" customHeight="1" outlineLevel="1" thickBot="1">
      <c r="A513" s="171"/>
      <c r="B513" s="640" t="s">
        <v>332</v>
      </c>
      <c r="D513" s="357"/>
      <c r="E513" s="350"/>
      <c r="F513" s="350"/>
      <c r="G513" s="346"/>
      <c r="H513" s="346"/>
      <c r="I513" s="244"/>
      <c r="J513" s="194"/>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9"/>
      <c r="CD513" s="49"/>
      <c r="CE513" s="49"/>
      <c r="CF513" s="49"/>
      <c r="CG513" s="49"/>
      <c r="CH513" s="49"/>
      <c r="CI513" s="49"/>
      <c r="CJ513" s="49"/>
      <c r="CK513" s="49"/>
      <c r="CL513" s="49"/>
      <c r="CM513" s="49"/>
      <c r="CN513" s="49"/>
      <c r="CO513" s="49"/>
      <c r="CP513" s="49"/>
      <c r="CQ513" s="49"/>
      <c r="CR513" s="49"/>
      <c r="CS513" s="49"/>
      <c r="CT513" s="49"/>
      <c r="CU513" s="49"/>
      <c r="CV513" s="49"/>
      <c r="CW513" s="49"/>
      <c r="CX513" s="49"/>
      <c r="CY513" s="49"/>
      <c r="CZ513" s="49"/>
      <c r="DA513" s="49"/>
      <c r="DB513" s="49"/>
      <c r="DC513" s="49"/>
      <c r="DD513" s="49"/>
      <c r="DE513" s="49"/>
      <c r="DF513" s="49"/>
      <c r="DG513" s="49"/>
      <c r="DH513" s="49"/>
      <c r="DI513" s="49"/>
      <c r="DJ513" s="49"/>
      <c r="DK513" s="49"/>
      <c r="DL513" s="49"/>
      <c r="DM513" s="49"/>
      <c r="DN513" s="49"/>
      <c r="DO513" s="49"/>
      <c r="DP513" s="49"/>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c r="ST513"/>
      <c r="SU513"/>
      <c r="SV513"/>
      <c r="SW513"/>
      <c r="SX513"/>
      <c r="SY513"/>
      <c r="SZ513"/>
      <c r="TA513"/>
      <c r="TB513"/>
      <c r="TC513"/>
      <c r="TD513"/>
      <c r="TE513"/>
      <c r="TF513"/>
      <c r="TG513"/>
      <c r="TH513"/>
      <c r="TI513"/>
      <c r="TJ513"/>
      <c r="TK513"/>
      <c r="TL513"/>
      <c r="TM513"/>
      <c r="TN513"/>
      <c r="TO513"/>
      <c r="TP513"/>
      <c r="TQ513"/>
      <c r="TR513"/>
      <c r="TS513"/>
      <c r="TT513"/>
      <c r="TU513"/>
      <c r="TV513"/>
      <c r="TW513"/>
      <c r="TX513"/>
      <c r="TY513"/>
      <c r="TZ513"/>
      <c r="UA513"/>
      <c r="UB513"/>
      <c r="UC513"/>
      <c r="UD513"/>
      <c r="UE513"/>
      <c r="UF513"/>
      <c r="UG513"/>
      <c r="UH513"/>
      <c r="UI513"/>
      <c r="UJ513"/>
      <c r="UK513"/>
      <c r="UL513"/>
      <c r="UM513"/>
      <c r="UN513"/>
      <c r="UO513"/>
      <c r="UP513"/>
      <c r="UQ513"/>
      <c r="UR513"/>
      <c r="US513"/>
      <c r="UT513"/>
      <c r="UU513"/>
      <c r="UV513"/>
      <c r="UW513"/>
      <c r="UX513"/>
      <c r="UY513"/>
      <c r="UZ513"/>
      <c r="VA513"/>
      <c r="VB513"/>
      <c r="VC513"/>
      <c r="VD513"/>
      <c r="VE513"/>
      <c r="VF513"/>
      <c r="VG513"/>
      <c r="VH513"/>
      <c r="VI513"/>
      <c r="VJ513"/>
      <c r="VK513"/>
      <c r="VL513"/>
      <c r="VM513"/>
      <c r="VN513"/>
      <c r="VO513"/>
      <c r="VP513"/>
      <c r="VQ513"/>
      <c r="VR513"/>
      <c r="VS513"/>
      <c r="VT513"/>
      <c r="VU513"/>
      <c r="VV513"/>
      <c r="VW513"/>
      <c r="VX513"/>
      <c r="VY513"/>
      <c r="VZ513"/>
      <c r="WA513"/>
      <c r="WB513"/>
      <c r="WC513"/>
      <c r="WD513"/>
      <c r="WE513"/>
      <c r="WF513"/>
      <c r="WG513"/>
      <c r="WH513"/>
      <c r="WI513"/>
      <c r="WJ513"/>
      <c r="WK513"/>
      <c r="WL513"/>
      <c r="WM513"/>
      <c r="WN513"/>
      <c r="WO513"/>
      <c r="WP513"/>
      <c r="WQ513"/>
      <c r="WR513"/>
      <c r="WS513"/>
      <c r="WT513"/>
      <c r="WU513"/>
      <c r="WV513"/>
      <c r="WW513"/>
      <c r="WX513"/>
      <c r="WY513"/>
      <c r="WZ513"/>
      <c r="XA513"/>
      <c r="XB513"/>
      <c r="XC513"/>
      <c r="XD513"/>
      <c r="XE513"/>
      <c r="XF513"/>
      <c r="XG513"/>
      <c r="XH513"/>
      <c r="XI513"/>
      <c r="XJ513"/>
      <c r="XK513"/>
      <c r="XL513"/>
      <c r="XM513"/>
      <c r="XN513"/>
      <c r="XO513"/>
      <c r="XP513"/>
      <c r="XQ513"/>
      <c r="XR513"/>
      <c r="XS513"/>
      <c r="XT513"/>
      <c r="XU513"/>
      <c r="XV513"/>
      <c r="XW513"/>
      <c r="XX513"/>
      <c r="XY513"/>
      <c r="XZ513"/>
      <c r="YA513"/>
      <c r="YB513"/>
      <c r="YC513"/>
      <c r="YD513"/>
      <c r="YE513"/>
      <c r="YF513"/>
      <c r="YG513"/>
      <c r="YH513"/>
      <c r="YI513"/>
      <c r="YJ513"/>
      <c r="YK513"/>
      <c r="YL513"/>
      <c r="YM513"/>
      <c r="YN513"/>
      <c r="YO513"/>
      <c r="YP513"/>
      <c r="YQ513"/>
      <c r="YR513"/>
      <c r="YS513"/>
      <c r="YT513"/>
      <c r="YU513"/>
      <c r="YV513"/>
      <c r="YW513"/>
      <c r="YX513"/>
      <c r="YY513"/>
      <c r="YZ513"/>
      <c r="ZA513"/>
      <c r="ZB513"/>
      <c r="ZC513"/>
      <c r="ZD513"/>
      <c r="ZE513"/>
      <c r="ZF513"/>
      <c r="ZG513"/>
      <c r="ZH513"/>
      <c r="ZI513"/>
      <c r="ZJ513"/>
      <c r="ZK513"/>
      <c r="ZL513"/>
      <c r="ZM513"/>
      <c r="ZN513"/>
      <c r="ZO513"/>
      <c r="ZP513"/>
      <c r="ZQ513"/>
      <c r="ZR513"/>
      <c r="ZS513"/>
      <c r="ZT513"/>
      <c r="ZU513"/>
      <c r="ZV513"/>
      <c r="ZW513"/>
      <c r="ZX513"/>
      <c r="ZY513"/>
      <c r="ZZ513" s="52"/>
      <c r="AAA513" s="192"/>
      <c r="AAD513" s="90"/>
      <c r="AAE513" s="519">
        <f t="shared" si="420"/>
        <v>1</v>
      </c>
      <c r="AAF513" s="190" t="s">
        <v>52</v>
      </c>
      <c r="AAG513" s="71"/>
      <c r="AAH513" s="71"/>
      <c r="AAI513" s="72"/>
      <c r="AAJ513" s="72"/>
      <c r="AAK513" s="87"/>
      <c r="AAL513" s="90"/>
    </row>
    <row r="514" spans="1:715" s="23" customFormat="1" ht="15" customHeight="1" outlineLevel="1" thickBot="1">
      <c r="A514" s="171"/>
      <c r="B514" s="640" t="s">
        <v>333</v>
      </c>
      <c r="C514" s="513" t="s">
        <v>53</v>
      </c>
      <c r="D514" s="357"/>
      <c r="E514" s="350"/>
      <c r="F514" s="350"/>
      <c r="G514" s="346"/>
      <c r="H514" s="346"/>
      <c r="I514" s="244"/>
      <c r="J514" s="194"/>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9"/>
      <c r="CD514" s="49"/>
      <c r="CE514" s="49"/>
      <c r="CF514" s="49"/>
      <c r="CG514" s="49"/>
      <c r="CH514" s="49"/>
      <c r="CI514" s="49"/>
      <c r="CJ514" s="49"/>
      <c r="CK514" s="49"/>
      <c r="CL514" s="49"/>
      <c r="CM514" s="49"/>
      <c r="CN514" s="49"/>
      <c r="CO514" s="49"/>
      <c r="CP514" s="49"/>
      <c r="CQ514" s="49"/>
      <c r="CR514" s="49"/>
      <c r="CS514" s="49"/>
      <c r="CT514" s="49"/>
      <c r="CU514" s="49"/>
      <c r="CV514" s="49"/>
      <c r="CW514" s="49"/>
      <c r="CX514" s="49"/>
      <c r="CY514" s="49"/>
      <c r="CZ514" s="49"/>
      <c r="DA514" s="49"/>
      <c r="DB514" s="49"/>
      <c r="DC514" s="49"/>
      <c r="DD514" s="49"/>
      <c r="DE514" s="49"/>
      <c r="DF514" s="49"/>
      <c r="DG514" s="49"/>
      <c r="DH514" s="49"/>
      <c r="DI514" s="49"/>
      <c r="DJ514" s="49"/>
      <c r="DK514" s="49"/>
      <c r="DL514" s="49"/>
      <c r="DM514" s="49"/>
      <c r="DN514" s="49"/>
      <c r="DO514" s="49"/>
      <c r="DP514" s="49"/>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c r="WP514"/>
      <c r="WQ514"/>
      <c r="WR514"/>
      <c r="WS514"/>
      <c r="WT514"/>
      <c r="WU514"/>
      <c r="WV514"/>
      <c r="WW514"/>
      <c r="WX514"/>
      <c r="WY514"/>
      <c r="WZ514"/>
      <c r="XA514"/>
      <c r="XB514"/>
      <c r="XC514"/>
      <c r="XD514"/>
      <c r="XE514"/>
      <c r="XF514"/>
      <c r="XG514"/>
      <c r="XH514"/>
      <c r="XI514"/>
      <c r="XJ514"/>
      <c r="XK514"/>
      <c r="XL514"/>
      <c r="XM514"/>
      <c r="XN514"/>
      <c r="XO514"/>
      <c r="XP514"/>
      <c r="XQ514"/>
      <c r="XR514"/>
      <c r="XS514"/>
      <c r="XT514"/>
      <c r="XU514"/>
      <c r="XV514"/>
      <c r="XW514"/>
      <c r="XX514"/>
      <c r="XY514"/>
      <c r="XZ514"/>
      <c r="YA514"/>
      <c r="YB514"/>
      <c r="YC514"/>
      <c r="YD514"/>
      <c r="YE514"/>
      <c r="YF514"/>
      <c r="YG514"/>
      <c r="YH514"/>
      <c r="YI514"/>
      <c r="YJ514"/>
      <c r="YK514"/>
      <c r="YL514"/>
      <c r="YM514"/>
      <c r="YN514"/>
      <c r="YO514"/>
      <c r="YP514"/>
      <c r="YQ514"/>
      <c r="YR514"/>
      <c r="YS514"/>
      <c r="YT514"/>
      <c r="YU514"/>
      <c r="YV514"/>
      <c r="YW514"/>
      <c r="YX514"/>
      <c r="YY514"/>
      <c r="YZ514"/>
      <c r="ZA514"/>
      <c r="ZB514"/>
      <c r="ZC514"/>
      <c r="ZD514"/>
      <c r="ZE514"/>
      <c r="ZF514"/>
      <c r="ZG514"/>
      <c r="ZH514"/>
      <c r="ZI514"/>
      <c r="ZJ514"/>
      <c r="ZK514"/>
      <c r="ZL514"/>
      <c r="ZM514"/>
      <c r="ZN514"/>
      <c r="ZO514"/>
      <c r="ZP514"/>
      <c r="ZQ514"/>
      <c r="ZR514"/>
      <c r="ZS514"/>
      <c r="ZT514"/>
      <c r="ZU514"/>
      <c r="ZV514"/>
      <c r="ZW514"/>
      <c r="ZX514"/>
      <c r="ZY514"/>
      <c r="ZZ514" s="52"/>
      <c r="AAA514" s="192"/>
      <c r="AAD514" s="90"/>
      <c r="AAE514" s="519">
        <f t="shared" si="420"/>
        <v>1</v>
      </c>
      <c r="AAF514" s="190" t="s">
        <v>52</v>
      </c>
      <c r="AAG514" s="71"/>
      <c r="AAH514" s="71"/>
      <c r="AAI514" s="72"/>
      <c r="AAJ514" s="72"/>
      <c r="AAK514" s="87"/>
      <c r="AAL514" s="90"/>
    </row>
    <row r="515" spans="1:715" s="23" customFormat="1" ht="15" customHeight="1" outlineLevel="1" thickBot="1">
      <c r="A515" s="171"/>
      <c r="B515" s="640" t="str">
        <f>AAK515</f>
        <v>- validating Web page, comment form, hearing date accuracy with AndreaRW</v>
      </c>
      <c r="D515" s="357"/>
      <c r="E515" s="350"/>
      <c r="F515" s="350"/>
      <c r="G515" s="346"/>
      <c r="H515" s="346"/>
      <c r="I515" s="244"/>
      <c r="J515" s="194"/>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9"/>
      <c r="CD515" s="49"/>
      <c r="CE515" s="49"/>
      <c r="CF515" s="49"/>
      <c r="CG515" s="49"/>
      <c r="CH515" s="49"/>
      <c r="CI515" s="49"/>
      <c r="CJ515" s="49"/>
      <c r="CK515" s="49"/>
      <c r="CL515" s="49"/>
      <c r="CM515" s="49"/>
      <c r="CN515" s="49"/>
      <c r="CO515" s="49"/>
      <c r="CP515" s="49"/>
      <c r="CQ515" s="49"/>
      <c r="CR515" s="49"/>
      <c r="CS515" s="49"/>
      <c r="CT515" s="49"/>
      <c r="CU515" s="49"/>
      <c r="CV515" s="49"/>
      <c r="CW515" s="49"/>
      <c r="CX515" s="49"/>
      <c r="CY515" s="49"/>
      <c r="CZ515" s="49"/>
      <c r="DA515" s="49"/>
      <c r="DB515" s="49"/>
      <c r="DC515" s="49"/>
      <c r="DD515" s="49"/>
      <c r="DE515" s="49"/>
      <c r="DF515" s="49"/>
      <c r="DG515" s="49"/>
      <c r="DH515" s="49"/>
      <c r="DI515" s="49"/>
      <c r="DJ515" s="49"/>
      <c r="DK515" s="49"/>
      <c r="DL515" s="49"/>
      <c r="DM515" s="49"/>
      <c r="DN515" s="49"/>
      <c r="DO515" s="49"/>
      <c r="DP515" s="49"/>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c r="WP515"/>
      <c r="WQ515"/>
      <c r="WR515"/>
      <c r="WS515"/>
      <c r="WT515"/>
      <c r="WU515"/>
      <c r="WV515"/>
      <c r="WW515"/>
      <c r="WX515"/>
      <c r="WY515"/>
      <c r="WZ515"/>
      <c r="XA515"/>
      <c r="XB515"/>
      <c r="XC515"/>
      <c r="XD515"/>
      <c r="XE515"/>
      <c r="XF515"/>
      <c r="XG515"/>
      <c r="XH515"/>
      <c r="XI515"/>
      <c r="XJ515"/>
      <c r="XK515"/>
      <c r="XL515"/>
      <c r="XM515"/>
      <c r="XN515"/>
      <c r="XO515"/>
      <c r="XP515"/>
      <c r="XQ515"/>
      <c r="XR515"/>
      <c r="XS515"/>
      <c r="XT515"/>
      <c r="XU515"/>
      <c r="XV515"/>
      <c r="XW515"/>
      <c r="XX515"/>
      <c r="XY515"/>
      <c r="XZ515"/>
      <c r="YA515"/>
      <c r="YB515"/>
      <c r="YC515"/>
      <c r="YD515"/>
      <c r="YE515"/>
      <c r="YF515"/>
      <c r="YG515"/>
      <c r="YH515"/>
      <c r="YI515"/>
      <c r="YJ515"/>
      <c r="YK515"/>
      <c r="YL515"/>
      <c r="YM515"/>
      <c r="YN515"/>
      <c r="YO515"/>
      <c r="YP515"/>
      <c r="YQ515"/>
      <c r="YR515"/>
      <c r="YS515"/>
      <c r="YT515"/>
      <c r="YU515"/>
      <c r="YV515"/>
      <c r="YW515"/>
      <c r="YX515"/>
      <c r="YY515"/>
      <c r="YZ515"/>
      <c r="ZA515"/>
      <c r="ZB515"/>
      <c r="ZC515"/>
      <c r="ZD515"/>
      <c r="ZE515"/>
      <c r="ZF515"/>
      <c r="ZG515"/>
      <c r="ZH515"/>
      <c r="ZI515"/>
      <c r="ZJ515"/>
      <c r="ZK515"/>
      <c r="ZL515"/>
      <c r="ZM515"/>
      <c r="ZN515"/>
      <c r="ZO515"/>
      <c r="ZP515"/>
      <c r="ZQ515"/>
      <c r="ZR515"/>
      <c r="ZS515"/>
      <c r="ZT515"/>
      <c r="ZU515"/>
      <c r="ZV515"/>
      <c r="ZW515"/>
      <c r="ZX515"/>
      <c r="ZY515"/>
      <c r="ZZ515" s="52"/>
      <c r="AAA515" s="192"/>
      <c r="AAD515" s="90"/>
      <c r="AAE515" s="519">
        <f t="shared" si="420"/>
        <v>1</v>
      </c>
      <c r="AAF515" s="190" t="s">
        <v>52</v>
      </c>
      <c r="AAG515" s="71"/>
      <c r="AAH515" s="71"/>
      <c r="AAI515" s="72"/>
      <c r="AAJ515" s="72"/>
      <c r="AAK515" s="80" t="str">
        <f>"- validating Web page, comment form, hearing date accuracy with "&amp;S.Staff.Lead</f>
        <v>- validating Web page, comment form, hearing date accuracy with AndreaRW</v>
      </c>
      <c r="AAL515" s="90"/>
    </row>
    <row r="516" spans="1:715" s="23" customFormat="1" ht="15" customHeight="1" outlineLevel="1" thickBot="1">
      <c r="A516" s="171"/>
      <c r="B516" s="670" t="str">
        <f>"- submitting notice to SOS for publication in Oregon Bulletin"</f>
        <v>- submitting notice to SOS for publication in Oregon Bulletin</v>
      </c>
      <c r="C516" s="513" t="str">
        <f>HYPERLINK("http://oarnoticefilings.sos.state.or.us","i")</f>
        <v>i</v>
      </c>
      <c r="D516"/>
      <c r="E516"/>
      <c r="F516"/>
      <c r="G516"/>
      <c r="H516"/>
      <c r="I516" s="244"/>
      <c r="J516" s="194"/>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9"/>
      <c r="CD516" s="49"/>
      <c r="CE516" s="49"/>
      <c r="CF516" s="49"/>
      <c r="CG516" s="49"/>
      <c r="CH516" s="49"/>
      <c r="CI516" s="49"/>
      <c r="CJ516" s="49"/>
      <c r="CK516" s="49"/>
      <c r="CL516" s="49"/>
      <c r="CM516" s="49"/>
      <c r="CN516" s="49"/>
      <c r="CO516" s="49"/>
      <c r="CP516" s="49"/>
      <c r="CQ516" s="49"/>
      <c r="CR516" s="49"/>
      <c r="CS516" s="49"/>
      <c r="CT516" s="49"/>
      <c r="CU516" s="49"/>
      <c r="CV516" s="49"/>
      <c r="CW516" s="49"/>
      <c r="CX516" s="49"/>
      <c r="CY516" s="49"/>
      <c r="CZ516" s="49"/>
      <c r="DA516" s="49"/>
      <c r="DB516" s="49"/>
      <c r="DC516" s="49"/>
      <c r="DD516" s="49"/>
      <c r="DE516" s="49"/>
      <c r="DF516" s="49"/>
      <c r="DG516" s="49"/>
      <c r="DH516" s="49"/>
      <c r="DI516" s="49"/>
      <c r="DJ516" s="49"/>
      <c r="DK516" s="49"/>
      <c r="DL516" s="49"/>
      <c r="DM516" s="49"/>
      <c r="DN516" s="49"/>
      <c r="DO516" s="49"/>
      <c r="DP516" s="49"/>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c r="ST516"/>
      <c r="SU516"/>
      <c r="SV516"/>
      <c r="SW516"/>
      <c r="SX516"/>
      <c r="SY516"/>
      <c r="SZ516"/>
      <c r="TA516"/>
      <c r="TB516"/>
      <c r="TC516"/>
      <c r="TD516"/>
      <c r="TE516"/>
      <c r="TF516"/>
      <c r="TG516"/>
      <c r="TH516"/>
      <c r="TI516"/>
      <c r="TJ516"/>
      <c r="TK516"/>
      <c r="TL516"/>
      <c r="TM516"/>
      <c r="TN516"/>
      <c r="TO516"/>
      <c r="TP516"/>
      <c r="TQ516"/>
      <c r="TR516"/>
      <c r="TS516"/>
      <c r="TT516"/>
      <c r="TU516"/>
      <c r="TV516"/>
      <c r="TW516"/>
      <c r="TX516"/>
      <c r="TY516"/>
      <c r="TZ516"/>
      <c r="UA516"/>
      <c r="UB516"/>
      <c r="UC516"/>
      <c r="UD516"/>
      <c r="UE516"/>
      <c r="UF516"/>
      <c r="UG516"/>
      <c r="UH516"/>
      <c r="UI516"/>
      <c r="UJ516"/>
      <c r="UK516"/>
      <c r="UL516"/>
      <c r="UM516"/>
      <c r="UN516"/>
      <c r="UO516"/>
      <c r="UP516"/>
      <c r="UQ516"/>
      <c r="UR516"/>
      <c r="US516"/>
      <c r="UT516"/>
      <c r="UU516"/>
      <c r="UV516"/>
      <c r="UW516"/>
      <c r="UX516"/>
      <c r="UY516"/>
      <c r="UZ516"/>
      <c r="VA516"/>
      <c r="VB516"/>
      <c r="VC516"/>
      <c r="VD516"/>
      <c r="VE516"/>
      <c r="VF516"/>
      <c r="VG516"/>
      <c r="VH516"/>
      <c r="VI516"/>
      <c r="VJ516"/>
      <c r="VK516"/>
      <c r="VL516"/>
      <c r="VM516"/>
      <c r="VN516"/>
      <c r="VO516"/>
      <c r="VP516"/>
      <c r="VQ516"/>
      <c r="VR516"/>
      <c r="VS516"/>
      <c r="VT516"/>
      <c r="VU516"/>
      <c r="VV516"/>
      <c r="VW516"/>
      <c r="VX516"/>
      <c r="VY516"/>
      <c r="VZ516"/>
      <c r="WA516"/>
      <c r="WB516"/>
      <c r="WC516"/>
      <c r="WD516"/>
      <c r="WE516"/>
      <c r="WF516"/>
      <c r="WG516"/>
      <c r="WH516"/>
      <c r="WI516"/>
      <c r="WJ516"/>
      <c r="WK516"/>
      <c r="WL516"/>
      <c r="WM516"/>
      <c r="WN516"/>
      <c r="WO516"/>
      <c r="WP516"/>
      <c r="WQ516"/>
      <c r="WR516"/>
      <c r="WS516"/>
      <c r="WT516"/>
      <c r="WU516"/>
      <c r="WV516"/>
      <c r="WW516"/>
      <c r="WX516"/>
      <c r="WY516"/>
      <c r="WZ516"/>
      <c r="XA516"/>
      <c r="XB516"/>
      <c r="XC516"/>
      <c r="XD516"/>
      <c r="XE516"/>
      <c r="XF516"/>
      <c r="XG516"/>
      <c r="XH516"/>
      <c r="XI516"/>
      <c r="XJ516"/>
      <c r="XK516"/>
      <c r="XL516"/>
      <c r="XM516"/>
      <c r="XN516"/>
      <c r="XO516"/>
      <c r="XP516"/>
      <c r="XQ516"/>
      <c r="XR516"/>
      <c r="XS516"/>
      <c r="XT516"/>
      <c r="XU516"/>
      <c r="XV516"/>
      <c r="XW516"/>
      <c r="XX516"/>
      <c r="XY516"/>
      <c r="XZ516"/>
      <c r="YA516"/>
      <c r="YB516"/>
      <c r="YC516"/>
      <c r="YD516"/>
      <c r="YE516"/>
      <c r="YF516"/>
      <c r="YG516"/>
      <c r="YH516"/>
      <c r="YI516"/>
      <c r="YJ516"/>
      <c r="YK516"/>
      <c r="YL516"/>
      <c r="YM516"/>
      <c r="YN516"/>
      <c r="YO516"/>
      <c r="YP516"/>
      <c r="YQ516"/>
      <c r="YR516"/>
      <c r="YS516"/>
      <c r="YT516"/>
      <c r="YU516"/>
      <c r="YV516"/>
      <c r="YW516"/>
      <c r="YX516"/>
      <c r="YY516"/>
      <c r="YZ516"/>
      <c r="ZA516"/>
      <c r="ZB516"/>
      <c r="ZC516"/>
      <c r="ZD516"/>
      <c r="ZE516"/>
      <c r="ZF516"/>
      <c r="ZG516"/>
      <c r="ZH516"/>
      <c r="ZI516"/>
      <c r="ZJ516"/>
      <c r="ZK516"/>
      <c r="ZL516"/>
      <c r="ZM516"/>
      <c r="ZN516"/>
      <c r="ZO516"/>
      <c r="ZP516"/>
      <c r="ZQ516"/>
      <c r="ZR516"/>
      <c r="ZS516"/>
      <c r="ZT516"/>
      <c r="ZU516"/>
      <c r="ZV516"/>
      <c r="ZW516"/>
      <c r="ZX516"/>
      <c r="ZY516"/>
      <c r="ZZ516" s="52"/>
      <c r="AAA516" s="192" t="s">
        <v>0</v>
      </c>
      <c r="AAD516" s="90"/>
      <c r="AAE516" s="519">
        <f t="shared" si="420"/>
        <v>1</v>
      </c>
      <c r="AAF516" s="90"/>
      <c r="AAG516" s="72"/>
      <c r="AAH516" s="72"/>
      <c r="AAI516" s="72"/>
      <c r="AAJ516" s="72"/>
      <c r="AAK516" s="87"/>
      <c r="AAL516" s="90"/>
    </row>
    <row r="517" spans="1:715" s="23" customFormat="1" ht="15" customHeight="1" outlineLevel="1">
      <c r="A517" s="171"/>
      <c r="B517" s="640" t="s">
        <v>334</v>
      </c>
      <c r="C517"/>
      <c r="D517"/>
      <c r="E517"/>
      <c r="F517"/>
      <c r="G517"/>
      <c r="H517"/>
      <c r="I517" s="244"/>
      <c r="J517" s="194"/>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9"/>
      <c r="CD517" s="49"/>
      <c r="CE517" s="49"/>
      <c r="CF517" s="49"/>
      <c r="CG517" s="49"/>
      <c r="CH517" s="49"/>
      <c r="CI517" s="49"/>
      <c r="CJ517" s="49"/>
      <c r="CK517" s="49"/>
      <c r="CL517" s="49"/>
      <c r="CM517" s="49"/>
      <c r="CN517" s="49"/>
      <c r="CO517" s="49"/>
      <c r="CP517" s="49"/>
      <c r="CQ517" s="49"/>
      <c r="CR517" s="49"/>
      <c r="CS517" s="49"/>
      <c r="CT517" s="49"/>
      <c r="CU517" s="49"/>
      <c r="CV517" s="49"/>
      <c r="CW517" s="49"/>
      <c r="CX517" s="49"/>
      <c r="CY517" s="49"/>
      <c r="CZ517" s="49"/>
      <c r="DA517" s="49"/>
      <c r="DB517" s="49"/>
      <c r="DC517" s="49"/>
      <c r="DD517" s="49"/>
      <c r="DE517" s="49"/>
      <c r="DF517" s="49"/>
      <c r="DG517" s="49"/>
      <c r="DH517" s="49"/>
      <c r="DI517" s="49"/>
      <c r="DJ517" s="49"/>
      <c r="DK517" s="49"/>
      <c r="DL517" s="49"/>
      <c r="DM517" s="49"/>
      <c r="DN517" s="49"/>
      <c r="DO517" s="49"/>
      <c r="DP517" s="49"/>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c r="ST517"/>
      <c r="SU517"/>
      <c r="SV517"/>
      <c r="SW517"/>
      <c r="SX517"/>
      <c r="SY517"/>
      <c r="SZ517"/>
      <c r="TA517"/>
      <c r="TB517"/>
      <c r="TC517"/>
      <c r="TD517"/>
      <c r="TE517"/>
      <c r="TF517"/>
      <c r="TG517"/>
      <c r="TH517"/>
      <c r="TI517"/>
      <c r="TJ517"/>
      <c r="TK517"/>
      <c r="TL517"/>
      <c r="TM517"/>
      <c r="TN517"/>
      <c r="TO517"/>
      <c r="TP517"/>
      <c r="TQ517"/>
      <c r="TR517"/>
      <c r="TS517"/>
      <c r="TT517"/>
      <c r="TU517"/>
      <c r="TV517"/>
      <c r="TW517"/>
      <c r="TX517"/>
      <c r="TY517"/>
      <c r="TZ517"/>
      <c r="UA517"/>
      <c r="UB517"/>
      <c r="UC517"/>
      <c r="UD517"/>
      <c r="UE517"/>
      <c r="UF517"/>
      <c r="UG517"/>
      <c r="UH517"/>
      <c r="UI517"/>
      <c r="UJ517"/>
      <c r="UK517"/>
      <c r="UL517"/>
      <c r="UM517"/>
      <c r="UN517"/>
      <c r="UO517"/>
      <c r="UP517"/>
      <c r="UQ517"/>
      <c r="UR517"/>
      <c r="US517"/>
      <c r="UT517"/>
      <c r="UU517"/>
      <c r="UV517"/>
      <c r="UW517"/>
      <c r="UX517"/>
      <c r="UY517"/>
      <c r="UZ517"/>
      <c r="VA517"/>
      <c r="VB517"/>
      <c r="VC517"/>
      <c r="VD517"/>
      <c r="VE517"/>
      <c r="VF517"/>
      <c r="VG517"/>
      <c r="VH517"/>
      <c r="VI517"/>
      <c r="VJ517"/>
      <c r="VK517"/>
      <c r="VL517"/>
      <c r="VM517"/>
      <c r="VN517"/>
      <c r="VO517"/>
      <c r="VP517"/>
      <c r="VQ517"/>
      <c r="VR517"/>
      <c r="VS517"/>
      <c r="VT517"/>
      <c r="VU517"/>
      <c r="VV517"/>
      <c r="VW517"/>
      <c r="VX517"/>
      <c r="VY517"/>
      <c r="VZ517"/>
      <c r="WA517"/>
      <c r="WB517"/>
      <c r="WC517"/>
      <c r="WD517"/>
      <c r="WE517"/>
      <c r="WF517"/>
      <c r="WG517"/>
      <c r="WH517"/>
      <c r="WI517"/>
      <c r="WJ517"/>
      <c r="WK517"/>
      <c r="WL517"/>
      <c r="WM517"/>
      <c r="WN517"/>
      <c r="WO517"/>
      <c r="WP517"/>
      <c r="WQ517"/>
      <c r="WR517"/>
      <c r="WS517"/>
      <c r="WT517"/>
      <c r="WU517"/>
      <c r="WV517"/>
      <c r="WW517"/>
      <c r="WX517"/>
      <c r="WY517"/>
      <c r="WZ517"/>
      <c r="XA517"/>
      <c r="XB517"/>
      <c r="XC517"/>
      <c r="XD517"/>
      <c r="XE517"/>
      <c r="XF517"/>
      <c r="XG517"/>
      <c r="XH517"/>
      <c r="XI517"/>
      <c r="XJ517"/>
      <c r="XK517"/>
      <c r="XL517"/>
      <c r="XM517"/>
      <c r="XN517"/>
      <c r="XO517"/>
      <c r="XP517"/>
      <c r="XQ517"/>
      <c r="XR517"/>
      <c r="XS517"/>
      <c r="XT517"/>
      <c r="XU517"/>
      <c r="XV517"/>
      <c r="XW517"/>
      <c r="XX517"/>
      <c r="XY517"/>
      <c r="XZ517"/>
      <c r="YA517"/>
      <c r="YB517"/>
      <c r="YC517"/>
      <c r="YD517"/>
      <c r="YE517"/>
      <c r="YF517"/>
      <c r="YG517"/>
      <c r="YH517"/>
      <c r="YI517"/>
      <c r="YJ517"/>
      <c r="YK517"/>
      <c r="YL517"/>
      <c r="YM517"/>
      <c r="YN517"/>
      <c r="YO517"/>
      <c r="YP517"/>
      <c r="YQ517"/>
      <c r="YR517"/>
      <c r="YS517"/>
      <c r="YT517"/>
      <c r="YU517"/>
      <c r="YV517"/>
      <c r="YW517"/>
      <c r="YX517"/>
      <c r="YY517"/>
      <c r="YZ517"/>
      <c r="ZA517"/>
      <c r="ZB517"/>
      <c r="ZC517"/>
      <c r="ZD517"/>
      <c r="ZE517"/>
      <c r="ZF517"/>
      <c r="ZG517"/>
      <c r="ZH517"/>
      <c r="ZI517"/>
      <c r="ZJ517"/>
      <c r="ZK517"/>
      <c r="ZL517"/>
      <c r="ZM517"/>
      <c r="ZN517"/>
      <c r="ZO517"/>
      <c r="ZP517"/>
      <c r="ZQ517"/>
      <c r="ZR517"/>
      <c r="ZS517"/>
      <c r="ZT517"/>
      <c r="ZU517"/>
      <c r="ZV517"/>
      <c r="ZW517"/>
      <c r="ZX517"/>
      <c r="ZY517"/>
      <c r="ZZ517" s="52"/>
      <c r="AAA517" s="192"/>
      <c r="AAD517" s="90"/>
      <c r="AAE517" s="519">
        <f t="shared" si="420"/>
        <v>1</v>
      </c>
      <c r="AAF517" s="190" t="s">
        <v>52</v>
      </c>
      <c r="AAG517" s="61"/>
      <c r="AAH517" s="61"/>
      <c r="AAI517" s="72"/>
      <c r="AAJ517" s="72"/>
      <c r="AAK517" s="87"/>
      <c r="AAL517" s="90"/>
    </row>
    <row r="518" spans="1:715" s="23" customFormat="1" ht="15" customHeight="1" outlineLevel="1">
      <c r="A518" s="171" t="s">
        <v>0</v>
      </c>
      <c r="B518" s="640" t="s">
        <v>335</v>
      </c>
      <c r="C518" s="376" t="s">
        <v>0</v>
      </c>
      <c r="D518"/>
      <c r="E518"/>
      <c r="F518"/>
      <c r="G518"/>
      <c r="H518"/>
      <c r="I518" s="244"/>
      <c r="J518" s="194"/>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9"/>
      <c r="CD518" s="49"/>
      <c r="CE518" s="49"/>
      <c r="CF518" s="49"/>
      <c r="CG518" s="49"/>
      <c r="CH518" s="49"/>
      <c r="CI518" s="49"/>
      <c r="CJ518" s="49"/>
      <c r="CK518" s="49"/>
      <c r="CL518" s="49"/>
      <c r="CM518" s="49"/>
      <c r="CN518" s="49"/>
      <c r="CO518" s="49"/>
      <c r="CP518" s="49"/>
      <c r="CQ518" s="49"/>
      <c r="CR518" s="49"/>
      <c r="CS518" s="49"/>
      <c r="CT518" s="49"/>
      <c r="CU518" s="49"/>
      <c r="CV518" s="49"/>
      <c r="CW518" s="49"/>
      <c r="CX518" s="49"/>
      <c r="CY518" s="49"/>
      <c r="CZ518" s="49"/>
      <c r="DA518" s="49"/>
      <c r="DB518" s="49"/>
      <c r="DC518" s="49"/>
      <c r="DD518" s="49"/>
      <c r="DE518" s="49"/>
      <c r="DF518" s="49"/>
      <c r="DG518" s="49"/>
      <c r="DH518" s="49"/>
      <c r="DI518" s="49"/>
      <c r="DJ518" s="49"/>
      <c r="DK518" s="49"/>
      <c r="DL518" s="49"/>
      <c r="DM518" s="49"/>
      <c r="DN518" s="49"/>
      <c r="DO518" s="49"/>
      <c r="DP518" s="49"/>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c r="ST518"/>
      <c r="SU518"/>
      <c r="SV518"/>
      <c r="SW518"/>
      <c r="SX518"/>
      <c r="SY518"/>
      <c r="SZ518"/>
      <c r="TA518"/>
      <c r="TB518"/>
      <c r="TC518"/>
      <c r="TD518"/>
      <c r="TE518"/>
      <c r="TF518"/>
      <c r="TG518"/>
      <c r="TH518"/>
      <c r="TI518"/>
      <c r="TJ518"/>
      <c r="TK518"/>
      <c r="TL518"/>
      <c r="TM518"/>
      <c r="TN518"/>
      <c r="TO518"/>
      <c r="TP518"/>
      <c r="TQ518"/>
      <c r="TR518"/>
      <c r="TS518"/>
      <c r="TT518"/>
      <c r="TU518"/>
      <c r="TV518"/>
      <c r="TW518"/>
      <c r="TX518"/>
      <c r="TY518"/>
      <c r="TZ518"/>
      <c r="UA518"/>
      <c r="UB518"/>
      <c r="UC518"/>
      <c r="UD518"/>
      <c r="UE518"/>
      <c r="UF518"/>
      <c r="UG518"/>
      <c r="UH518"/>
      <c r="UI518"/>
      <c r="UJ518"/>
      <c r="UK518"/>
      <c r="UL518"/>
      <c r="UM518"/>
      <c r="UN518"/>
      <c r="UO518"/>
      <c r="UP518"/>
      <c r="UQ518"/>
      <c r="UR518"/>
      <c r="US518"/>
      <c r="UT518"/>
      <c r="UU518"/>
      <c r="UV518"/>
      <c r="UW518"/>
      <c r="UX518"/>
      <c r="UY518"/>
      <c r="UZ518"/>
      <c r="VA518"/>
      <c r="VB518"/>
      <c r="VC518"/>
      <c r="VD518"/>
      <c r="VE518"/>
      <c r="VF518"/>
      <c r="VG518"/>
      <c r="VH518"/>
      <c r="VI518"/>
      <c r="VJ518"/>
      <c r="VK518"/>
      <c r="VL518"/>
      <c r="VM518"/>
      <c r="VN518"/>
      <c r="VO518"/>
      <c r="VP518"/>
      <c r="VQ518"/>
      <c r="VR518"/>
      <c r="VS518"/>
      <c r="VT518"/>
      <c r="VU518"/>
      <c r="VV518"/>
      <c r="VW518"/>
      <c r="VX518"/>
      <c r="VY518"/>
      <c r="VZ518"/>
      <c r="WA518"/>
      <c r="WB518"/>
      <c r="WC518"/>
      <c r="WD518"/>
      <c r="WE518"/>
      <c r="WF518"/>
      <c r="WG518"/>
      <c r="WH518"/>
      <c r="WI518"/>
      <c r="WJ518"/>
      <c r="WK518"/>
      <c r="WL518"/>
      <c r="WM518"/>
      <c r="WN518"/>
      <c r="WO518"/>
      <c r="WP518"/>
      <c r="WQ518"/>
      <c r="WR518"/>
      <c r="WS518"/>
      <c r="WT518"/>
      <c r="WU518"/>
      <c r="WV518"/>
      <c r="WW518"/>
      <c r="WX518"/>
      <c r="WY518"/>
      <c r="WZ518"/>
      <c r="XA518"/>
      <c r="XB518"/>
      <c r="XC518"/>
      <c r="XD518"/>
      <c r="XE518"/>
      <c r="XF518"/>
      <c r="XG518"/>
      <c r="XH518"/>
      <c r="XI518"/>
      <c r="XJ518"/>
      <c r="XK518"/>
      <c r="XL518"/>
      <c r="XM518"/>
      <c r="XN518"/>
      <c r="XO518"/>
      <c r="XP518"/>
      <c r="XQ518"/>
      <c r="XR518"/>
      <c r="XS518"/>
      <c r="XT518"/>
      <c r="XU518"/>
      <c r="XV518"/>
      <c r="XW518"/>
      <c r="XX518"/>
      <c r="XY518"/>
      <c r="XZ518"/>
      <c r="YA518"/>
      <c r="YB518"/>
      <c r="YC518"/>
      <c r="YD518"/>
      <c r="YE518"/>
      <c r="YF518"/>
      <c r="YG518"/>
      <c r="YH518"/>
      <c r="YI518"/>
      <c r="YJ518"/>
      <c r="YK518"/>
      <c r="YL518"/>
      <c r="YM518"/>
      <c r="YN518"/>
      <c r="YO518"/>
      <c r="YP518"/>
      <c r="YQ518"/>
      <c r="YR518"/>
      <c r="YS518"/>
      <c r="YT518"/>
      <c r="YU518"/>
      <c r="YV518"/>
      <c r="YW518"/>
      <c r="YX518"/>
      <c r="YY518"/>
      <c r="YZ518"/>
      <c r="ZA518"/>
      <c r="ZB518"/>
      <c r="ZC518"/>
      <c r="ZD518"/>
      <c r="ZE518"/>
      <c r="ZF518"/>
      <c r="ZG518"/>
      <c r="ZH518"/>
      <c r="ZI518"/>
      <c r="ZJ518"/>
      <c r="ZK518"/>
      <c r="ZL518"/>
      <c r="ZM518"/>
      <c r="ZN518"/>
      <c r="ZO518"/>
      <c r="ZP518"/>
      <c r="ZQ518"/>
      <c r="ZR518"/>
      <c r="ZS518"/>
      <c r="ZT518"/>
      <c r="ZU518"/>
      <c r="ZV518"/>
      <c r="ZW518"/>
      <c r="ZX518"/>
      <c r="ZY518"/>
      <c r="ZZ518" s="52"/>
      <c r="AAA518" s="192" t="s">
        <v>0</v>
      </c>
      <c r="AAD518" s="90"/>
      <c r="AAE518" s="519">
        <f>IF(AND(S.Notice.DASNotification=TRUE,S.Notice.Involved="Y"),1,0)</f>
        <v>0</v>
      </c>
      <c r="AAF518" s="90"/>
      <c r="AAG518" s="61"/>
      <c r="AAH518" s="61"/>
      <c r="AAI518" s="72"/>
      <c r="AAJ518" s="72"/>
      <c r="AAK518" s="87"/>
      <c r="AAL518" s="90"/>
    </row>
    <row r="519" spans="1:715" s="23" customFormat="1" ht="15" customHeight="1" outlineLevel="1" thickBot="1">
      <c r="A519" s="171" t="s">
        <v>0</v>
      </c>
      <c r="B519" s="640" t="s">
        <v>336</v>
      </c>
      <c r="C519" s="376" t="s">
        <v>0</v>
      </c>
      <c r="D519"/>
      <c r="E519"/>
      <c r="F519"/>
      <c r="G519"/>
      <c r="H519"/>
      <c r="I519" s="244"/>
      <c r="J519" s="194"/>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9"/>
      <c r="CD519" s="49"/>
      <c r="CE519" s="49"/>
      <c r="CF519" s="49"/>
      <c r="CG519" s="49"/>
      <c r="CH519" s="49"/>
      <c r="CI519" s="49"/>
      <c r="CJ519" s="49"/>
      <c r="CK519" s="49"/>
      <c r="CL519" s="49"/>
      <c r="CM519" s="49"/>
      <c r="CN519" s="49"/>
      <c r="CO519" s="49"/>
      <c r="CP519" s="49"/>
      <c r="CQ519" s="49"/>
      <c r="CR519" s="49"/>
      <c r="CS519" s="49"/>
      <c r="CT519" s="49"/>
      <c r="CU519" s="49"/>
      <c r="CV519" s="49"/>
      <c r="CW519" s="49"/>
      <c r="CX519" s="49"/>
      <c r="CY519" s="49"/>
      <c r="CZ519" s="49"/>
      <c r="DA519" s="49"/>
      <c r="DB519" s="49"/>
      <c r="DC519" s="49"/>
      <c r="DD519" s="49"/>
      <c r="DE519" s="49"/>
      <c r="DF519" s="49"/>
      <c r="DG519" s="49"/>
      <c r="DH519" s="49"/>
      <c r="DI519" s="49"/>
      <c r="DJ519" s="49"/>
      <c r="DK519" s="49"/>
      <c r="DL519" s="49"/>
      <c r="DM519" s="49"/>
      <c r="DN519" s="49"/>
      <c r="DO519" s="49"/>
      <c r="DP519" s="4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c r="ST519"/>
      <c r="SU519"/>
      <c r="SV519"/>
      <c r="SW519"/>
      <c r="SX519"/>
      <c r="SY519"/>
      <c r="SZ519"/>
      <c r="TA519"/>
      <c r="TB519"/>
      <c r="TC519"/>
      <c r="TD519"/>
      <c r="TE519"/>
      <c r="TF519"/>
      <c r="TG519"/>
      <c r="TH519"/>
      <c r="TI519"/>
      <c r="TJ519"/>
      <c r="TK519"/>
      <c r="TL519"/>
      <c r="TM519"/>
      <c r="TN519"/>
      <c r="TO519"/>
      <c r="TP519"/>
      <c r="TQ519"/>
      <c r="TR519"/>
      <c r="TS519"/>
      <c r="TT519"/>
      <c r="TU519"/>
      <c r="TV519"/>
      <c r="TW519"/>
      <c r="TX519"/>
      <c r="TY519"/>
      <c r="TZ519"/>
      <c r="UA519"/>
      <c r="UB519"/>
      <c r="UC519"/>
      <c r="UD519"/>
      <c r="UE519"/>
      <c r="UF519"/>
      <c r="UG519"/>
      <c r="UH519"/>
      <c r="UI519"/>
      <c r="UJ519"/>
      <c r="UK519"/>
      <c r="UL519"/>
      <c r="UM519"/>
      <c r="UN519"/>
      <c r="UO519"/>
      <c r="UP519"/>
      <c r="UQ519"/>
      <c r="UR519"/>
      <c r="US519"/>
      <c r="UT519"/>
      <c r="UU519"/>
      <c r="UV519"/>
      <c r="UW519"/>
      <c r="UX519"/>
      <c r="UY519"/>
      <c r="UZ519"/>
      <c r="VA519"/>
      <c r="VB519"/>
      <c r="VC519"/>
      <c r="VD519"/>
      <c r="VE519"/>
      <c r="VF519"/>
      <c r="VG519"/>
      <c r="VH519"/>
      <c r="VI519"/>
      <c r="VJ519"/>
      <c r="VK519"/>
      <c r="VL519"/>
      <c r="VM519"/>
      <c r="VN519"/>
      <c r="VO519"/>
      <c r="VP519"/>
      <c r="VQ519"/>
      <c r="VR519"/>
      <c r="VS519"/>
      <c r="VT519"/>
      <c r="VU519"/>
      <c r="VV519"/>
      <c r="VW519"/>
      <c r="VX519"/>
      <c r="VY519"/>
      <c r="VZ519"/>
      <c r="WA519"/>
      <c r="WB519"/>
      <c r="WC519"/>
      <c r="WD519"/>
      <c r="WE519"/>
      <c r="WF519"/>
      <c r="WG519"/>
      <c r="WH519"/>
      <c r="WI519"/>
      <c r="WJ519"/>
      <c r="WK519"/>
      <c r="WL519"/>
      <c r="WM519"/>
      <c r="WN519"/>
      <c r="WO519"/>
      <c r="WP519"/>
      <c r="WQ519"/>
      <c r="WR519"/>
      <c r="WS519"/>
      <c r="WT519"/>
      <c r="WU519"/>
      <c r="WV519"/>
      <c r="WW519"/>
      <c r="WX519"/>
      <c r="WY519"/>
      <c r="WZ519"/>
      <c r="XA519"/>
      <c r="XB519"/>
      <c r="XC519"/>
      <c r="XD519"/>
      <c r="XE519"/>
      <c r="XF519"/>
      <c r="XG519"/>
      <c r="XH519"/>
      <c r="XI519"/>
      <c r="XJ519"/>
      <c r="XK519"/>
      <c r="XL519"/>
      <c r="XM519"/>
      <c r="XN519"/>
      <c r="XO519"/>
      <c r="XP519"/>
      <c r="XQ519"/>
      <c r="XR519"/>
      <c r="XS519"/>
      <c r="XT519"/>
      <c r="XU519"/>
      <c r="XV519"/>
      <c r="XW519"/>
      <c r="XX519"/>
      <c r="XY519"/>
      <c r="XZ519"/>
      <c r="YA519"/>
      <c r="YB519"/>
      <c r="YC519"/>
      <c r="YD519"/>
      <c r="YE519"/>
      <c r="YF519"/>
      <c r="YG519"/>
      <c r="YH519"/>
      <c r="YI519"/>
      <c r="YJ519"/>
      <c r="YK519"/>
      <c r="YL519"/>
      <c r="YM519"/>
      <c r="YN519"/>
      <c r="YO519"/>
      <c r="YP519"/>
      <c r="YQ519"/>
      <c r="YR519"/>
      <c r="YS519"/>
      <c r="YT519"/>
      <c r="YU519"/>
      <c r="YV519"/>
      <c r="YW519"/>
      <c r="YX519"/>
      <c r="YY519"/>
      <c r="YZ519"/>
      <c r="ZA519"/>
      <c r="ZB519"/>
      <c r="ZC519"/>
      <c r="ZD519"/>
      <c r="ZE519"/>
      <c r="ZF519"/>
      <c r="ZG519"/>
      <c r="ZH519"/>
      <c r="ZI519"/>
      <c r="ZJ519"/>
      <c r="ZK519"/>
      <c r="ZL519"/>
      <c r="ZM519"/>
      <c r="ZN519"/>
      <c r="ZO519"/>
      <c r="ZP519"/>
      <c r="ZQ519"/>
      <c r="ZR519"/>
      <c r="ZS519"/>
      <c r="ZT519"/>
      <c r="ZU519"/>
      <c r="ZV519"/>
      <c r="ZW519"/>
      <c r="ZX519"/>
      <c r="ZY519"/>
      <c r="ZZ519" s="52"/>
      <c r="AAA519" s="192" t="s">
        <v>0</v>
      </c>
      <c r="AAD519" s="90"/>
      <c r="AAE519" s="519">
        <f>IF(AND(S.Notice.DASNotification=TRUE,S.Notice.Involved="Y"),1,0)</f>
        <v>0</v>
      </c>
      <c r="AAF519" s="90"/>
      <c r="AAG519" s="61"/>
      <c r="AAH519" s="61"/>
      <c r="AAI519" s="72"/>
      <c r="AAJ519" s="72"/>
      <c r="AAK519" s="87"/>
      <c r="AAL519" s="90"/>
    </row>
    <row r="520" spans="1:715" s="23" customFormat="1" ht="15" customHeight="1" outlineLevel="1" thickBot="1">
      <c r="A520" s="171"/>
      <c r="B520" s="407" t="s">
        <v>487</v>
      </c>
      <c r="C520" s="762" t="s">
        <v>53</v>
      </c>
      <c r="D520" s="380"/>
      <c r="E520"/>
      <c r="F520" s="672">
        <f ca="1">IF(YEAR(H520)&gt;2000,NETWORKDAYS(TODAY(),H520,S.DDL_DEQClosed),0)</f>
        <v>30</v>
      </c>
      <c r="G520"/>
      <c r="H520" s="343">
        <f>AAH520</f>
        <v>41618</v>
      </c>
      <c r="I520" s="244"/>
      <c r="J520" s="194"/>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9"/>
      <c r="CD520" s="49"/>
      <c r="CE520" s="49"/>
      <c r="CF520" s="49"/>
      <c r="CG520" s="49"/>
      <c r="CH520" s="49"/>
      <c r="CI520" s="49"/>
      <c r="CJ520" s="49"/>
      <c r="CK520" s="49"/>
      <c r="CL520" s="49"/>
      <c r="CM520" s="49"/>
      <c r="CN520" s="49"/>
      <c r="CO520" s="49"/>
      <c r="CP520" s="49"/>
      <c r="CQ520" s="49"/>
      <c r="CR520" s="49"/>
      <c r="CS520" s="49"/>
      <c r="CT520" s="49"/>
      <c r="CU520" s="49"/>
      <c r="CV520" s="49"/>
      <c r="CW520" s="49"/>
      <c r="CX520" s="49"/>
      <c r="CY520" s="49"/>
      <c r="CZ520" s="49"/>
      <c r="DA520" s="49"/>
      <c r="DB520" s="49"/>
      <c r="DC520" s="49"/>
      <c r="DD520" s="49"/>
      <c r="DE520" s="49"/>
      <c r="DF520" s="49"/>
      <c r="DG520" s="49"/>
      <c r="DH520" s="49"/>
      <c r="DI520" s="49"/>
      <c r="DJ520" s="49"/>
      <c r="DK520" s="49"/>
      <c r="DL520" s="49"/>
      <c r="DM520" s="49"/>
      <c r="DN520" s="49"/>
      <c r="DO520" s="49"/>
      <c r="DP520" s="49"/>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c r="ST520"/>
      <c r="SU520"/>
      <c r="SV520"/>
      <c r="SW520"/>
      <c r="SX520"/>
      <c r="SY520"/>
      <c r="SZ520"/>
      <c r="TA520"/>
      <c r="TB520"/>
      <c r="TC520"/>
      <c r="TD520"/>
      <c r="TE520"/>
      <c r="TF520"/>
      <c r="TG520"/>
      <c r="TH520"/>
      <c r="TI520"/>
      <c r="TJ520"/>
      <c r="TK520"/>
      <c r="TL520"/>
      <c r="TM520"/>
      <c r="TN520"/>
      <c r="TO520"/>
      <c r="TP520"/>
      <c r="TQ520"/>
      <c r="TR520"/>
      <c r="TS520"/>
      <c r="TT520"/>
      <c r="TU520"/>
      <c r="TV520"/>
      <c r="TW520"/>
      <c r="TX520"/>
      <c r="TY520"/>
      <c r="TZ520"/>
      <c r="UA520"/>
      <c r="UB520"/>
      <c r="UC520"/>
      <c r="UD520"/>
      <c r="UE520"/>
      <c r="UF520"/>
      <c r="UG520"/>
      <c r="UH520"/>
      <c r="UI520"/>
      <c r="UJ520"/>
      <c r="UK520"/>
      <c r="UL520"/>
      <c r="UM520"/>
      <c r="UN520"/>
      <c r="UO520"/>
      <c r="UP520"/>
      <c r="UQ520"/>
      <c r="UR520"/>
      <c r="US520"/>
      <c r="UT520"/>
      <c r="UU520"/>
      <c r="UV520"/>
      <c r="UW520"/>
      <c r="UX520"/>
      <c r="UY520"/>
      <c r="UZ520"/>
      <c r="VA520"/>
      <c r="VB520"/>
      <c r="VC520"/>
      <c r="VD520"/>
      <c r="VE520"/>
      <c r="VF520"/>
      <c r="VG520"/>
      <c r="VH520"/>
      <c r="VI520"/>
      <c r="VJ520"/>
      <c r="VK520"/>
      <c r="VL520"/>
      <c r="VM520"/>
      <c r="VN520"/>
      <c r="VO520"/>
      <c r="VP520"/>
      <c r="VQ520"/>
      <c r="VR520"/>
      <c r="VS520"/>
      <c r="VT520"/>
      <c r="VU520"/>
      <c r="VV520"/>
      <c r="VW520"/>
      <c r="VX520"/>
      <c r="VY520"/>
      <c r="VZ520"/>
      <c r="WA520"/>
      <c r="WB520"/>
      <c r="WC520"/>
      <c r="WD520"/>
      <c r="WE520"/>
      <c r="WF520"/>
      <c r="WG520"/>
      <c r="WH520"/>
      <c r="WI520"/>
      <c r="WJ520"/>
      <c r="WK520"/>
      <c r="WL520"/>
      <c r="WM520"/>
      <c r="WN520"/>
      <c r="WO520"/>
      <c r="WP520"/>
      <c r="WQ520"/>
      <c r="WR520"/>
      <c r="WS520"/>
      <c r="WT520"/>
      <c r="WU520"/>
      <c r="WV520"/>
      <c r="WW520"/>
      <c r="WX520"/>
      <c r="WY520"/>
      <c r="WZ520"/>
      <c r="XA520"/>
      <c r="XB520"/>
      <c r="XC520"/>
      <c r="XD520"/>
      <c r="XE520"/>
      <c r="XF520"/>
      <c r="XG520"/>
      <c r="XH520"/>
      <c r="XI520"/>
      <c r="XJ520"/>
      <c r="XK520"/>
      <c r="XL520"/>
      <c r="XM520"/>
      <c r="XN520"/>
      <c r="XO520"/>
      <c r="XP520"/>
      <c r="XQ520"/>
      <c r="XR520"/>
      <c r="XS520"/>
      <c r="XT520"/>
      <c r="XU520"/>
      <c r="XV520"/>
      <c r="XW520"/>
      <c r="XX520"/>
      <c r="XY520"/>
      <c r="XZ520"/>
      <c r="YA520"/>
      <c r="YB520"/>
      <c r="YC520"/>
      <c r="YD520"/>
      <c r="YE520"/>
      <c r="YF520"/>
      <c r="YG520"/>
      <c r="YH520"/>
      <c r="YI520"/>
      <c r="YJ520"/>
      <c r="YK520"/>
      <c r="YL520"/>
      <c r="YM520"/>
      <c r="YN520"/>
      <c r="YO520"/>
      <c r="YP520"/>
      <c r="YQ520"/>
      <c r="YR520"/>
      <c r="YS520"/>
      <c r="YT520"/>
      <c r="YU520"/>
      <c r="YV520"/>
      <c r="YW520"/>
      <c r="YX520"/>
      <c r="YY520"/>
      <c r="YZ520"/>
      <c r="ZA520"/>
      <c r="ZB520"/>
      <c r="ZC520"/>
      <c r="ZD520"/>
      <c r="ZE520"/>
      <c r="ZF520"/>
      <c r="ZG520"/>
      <c r="ZH520"/>
      <c r="ZI520"/>
      <c r="ZJ520"/>
      <c r="ZK520"/>
      <c r="ZL520"/>
      <c r="ZM520"/>
      <c r="ZN520"/>
      <c r="ZO520"/>
      <c r="ZP520"/>
      <c r="ZQ520"/>
      <c r="ZR520"/>
      <c r="ZS520"/>
      <c r="ZT520"/>
      <c r="ZU520"/>
      <c r="ZV520"/>
      <c r="ZW520"/>
      <c r="ZX520"/>
      <c r="ZY520"/>
      <c r="ZZ520" s="52"/>
      <c r="AAA520" s="192" t="s">
        <v>0</v>
      </c>
      <c r="AAD520" s="90"/>
      <c r="AAE520" s="519">
        <f>IF(S.Notice.Involved="Y",1,0)</f>
        <v>1</v>
      </c>
      <c r="AAF520" s="90"/>
      <c r="AAG520" s="61"/>
      <c r="AAH520" s="73">
        <f>IF(AAE520=0,,WORKDAY(S.Notice.EMAIL.RulePublication,2,S.DDL_DEQClosed))</f>
        <v>41618</v>
      </c>
      <c r="AAI520" s="72"/>
      <c r="AAJ520" s="72"/>
      <c r="AAK520" s="87"/>
      <c r="AAL520" s="90"/>
    </row>
    <row r="521" spans="1:715" ht="15" customHeight="1" outlineLevel="1">
      <c r="A521" s="171"/>
      <c r="B521" s="407" t="s">
        <v>249</v>
      </c>
      <c r="C521" s="376" t="s">
        <v>0</v>
      </c>
      <c r="D521" s="380"/>
      <c r="E521" s="23"/>
      <c r="F521" s="672">
        <f ca="1">IF(YEAR(H521)&gt;2000,NETWORKDAYS(TODAY(),H521,S.DDL_DEQClosed),0)</f>
        <v>30</v>
      </c>
      <c r="G521" s="23"/>
      <c r="H521" s="487">
        <f t="shared" ref="H521" si="422">AAH521</f>
        <v>41618</v>
      </c>
      <c r="I521" s="244"/>
      <c r="J521" s="194"/>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9"/>
      <c r="CD521" s="49"/>
      <c r="CE521" s="49"/>
      <c r="CF521" s="49"/>
      <c r="CG521" s="49"/>
      <c r="CH521" s="49"/>
      <c r="CI521" s="49"/>
      <c r="CJ521" s="49"/>
      <c r="CK521" s="49"/>
      <c r="CL521" s="49"/>
      <c r="CM521" s="49"/>
      <c r="CN521" s="49"/>
      <c r="CO521" s="49"/>
      <c r="CP521" s="49"/>
      <c r="CQ521" s="49"/>
      <c r="CR521" s="49"/>
      <c r="CS521" s="49"/>
      <c r="CT521" s="49"/>
      <c r="CU521" s="49"/>
      <c r="CV521" s="49"/>
      <c r="CW521" s="49"/>
      <c r="CX521" s="49"/>
      <c r="CY521" s="49"/>
      <c r="CZ521" s="49"/>
      <c r="DA521" s="49"/>
      <c r="DB521" s="49"/>
      <c r="DC521" s="49"/>
      <c r="DD521" s="49"/>
      <c r="DE521" s="49"/>
      <c r="DF521" s="49"/>
      <c r="DG521" s="49"/>
      <c r="DH521" s="49"/>
      <c r="DI521" s="49"/>
      <c r="DJ521" s="49"/>
      <c r="DK521" s="49"/>
      <c r="DL521" s="49"/>
      <c r="DM521" s="49"/>
      <c r="DN521" s="49"/>
      <c r="DO521" s="49"/>
      <c r="DP521" s="49"/>
      <c r="AAA521" s="192" t="s">
        <v>0</v>
      </c>
      <c r="AAD521" s="90"/>
      <c r="AAE521" s="519">
        <f>IF(S.SIP.Involved="Y",1,0)</f>
        <v>1</v>
      </c>
      <c r="AAF521" s="90"/>
      <c r="AAG521" s="61"/>
      <c r="AAH521" s="73">
        <f>IF(AAE521=0,,WORKDAY(S.Notice.EMAIL.RulePublication,2,S.DDL_DEQClosed))</f>
        <v>41618</v>
      </c>
      <c r="AAI521" s="72"/>
      <c r="AAJ521" s="72"/>
      <c r="AAK521" s="87"/>
      <c r="AAL521" s="90"/>
      <c r="AAM521"/>
    </row>
    <row r="522" spans="1:715" s="23" customFormat="1" ht="15" customHeight="1" outlineLevel="1">
      <c r="A522" s="171"/>
      <c r="B522" s="671" t="s">
        <v>392</v>
      </c>
      <c r="C522" s="346"/>
      <c r="D522" s="357"/>
      <c r="E522" s="350"/>
      <c r="F522" s="350"/>
      <c r="G522" s="346"/>
      <c r="H522" s="346"/>
      <c r="I522" s="244"/>
      <c r="J522" s="194"/>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9"/>
      <c r="CD522" s="49"/>
      <c r="CE522" s="49"/>
      <c r="CF522" s="49"/>
      <c r="CG522" s="49"/>
      <c r="CH522" s="49"/>
      <c r="CI522" s="49"/>
      <c r="CJ522" s="49"/>
      <c r="CK522" s="49"/>
      <c r="CL522" s="49"/>
      <c r="CM522" s="49"/>
      <c r="CN522" s="49"/>
      <c r="CO522" s="49"/>
      <c r="CP522" s="49"/>
      <c r="CQ522" s="49"/>
      <c r="CR522" s="49"/>
      <c r="CS522" s="49"/>
      <c r="CT522" s="49"/>
      <c r="CU522" s="49"/>
      <c r="CV522" s="49"/>
      <c r="CW522" s="49"/>
      <c r="CX522" s="49"/>
      <c r="CY522" s="49"/>
      <c r="CZ522" s="49"/>
      <c r="DA522" s="49"/>
      <c r="DB522" s="49"/>
      <c r="DC522" s="49"/>
      <c r="DD522" s="49"/>
      <c r="DE522" s="49"/>
      <c r="DF522" s="49"/>
      <c r="DG522" s="49"/>
      <c r="DH522" s="49"/>
      <c r="DI522" s="49"/>
      <c r="DJ522" s="49"/>
      <c r="DK522" s="49"/>
      <c r="DL522" s="49"/>
      <c r="DM522" s="49"/>
      <c r="DN522" s="49"/>
      <c r="DO522" s="49"/>
      <c r="DP522" s="49"/>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c r="IW522"/>
      <c r="IX522"/>
      <c r="IY522"/>
      <c r="IZ522"/>
      <c r="JA522"/>
      <c r="JB522"/>
      <c r="JC522"/>
      <c r="JD522"/>
      <c r="JE522"/>
      <c r="JF522"/>
      <c r="JG522"/>
      <c r="JH522"/>
      <c r="JI522"/>
      <c r="JJ522"/>
      <c r="JK522"/>
      <c r="JL522"/>
      <c r="JM522"/>
      <c r="JN522"/>
      <c r="JO522"/>
      <c r="JP522"/>
      <c r="JQ522"/>
      <c r="JR522"/>
      <c r="JS522"/>
      <c r="JT522"/>
      <c r="JU522"/>
      <c r="JV522"/>
      <c r="JW522"/>
      <c r="JX522"/>
      <c r="JY522"/>
      <c r="JZ522"/>
      <c r="KA522"/>
      <c r="KB522"/>
      <c r="KC522"/>
      <c r="KD522"/>
      <c r="KE522"/>
      <c r="KF522"/>
      <c r="KG522"/>
      <c r="KH522"/>
      <c r="KI522"/>
      <c r="KJ522"/>
      <c r="KK522"/>
      <c r="KL522"/>
      <c r="KM522"/>
      <c r="KN522"/>
      <c r="KO522"/>
      <c r="KP522"/>
      <c r="KQ522"/>
      <c r="KR522"/>
      <c r="KS522"/>
      <c r="KT522"/>
      <c r="KU522"/>
      <c r="KV522"/>
      <c r="KW522"/>
      <c r="KX522"/>
      <c r="KY522"/>
      <c r="KZ522"/>
      <c r="LA522"/>
      <c r="LB522"/>
      <c r="LC522"/>
      <c r="LD522"/>
      <c r="LE522"/>
      <c r="LF522"/>
      <c r="LG522"/>
      <c r="LH522"/>
      <c r="LI522"/>
      <c r="LJ522"/>
      <c r="LK522"/>
      <c r="LL522"/>
      <c r="LM522"/>
      <c r="LN522"/>
      <c r="LO522"/>
      <c r="LP522"/>
      <c r="LQ522"/>
      <c r="LR522"/>
      <c r="LS522"/>
      <c r="LT522"/>
      <c r="LU522"/>
      <c r="LV522"/>
      <c r="LW522"/>
      <c r="LX522"/>
      <c r="LY522"/>
      <c r="LZ522"/>
      <c r="MA522"/>
      <c r="MB522"/>
      <c r="MC522"/>
      <c r="MD522"/>
      <c r="ME522"/>
      <c r="MF522"/>
      <c r="MG522"/>
      <c r="MH522"/>
      <c r="MI522"/>
      <c r="MJ522"/>
      <c r="MK522"/>
      <c r="ML522"/>
      <c r="MM522"/>
      <c r="MN522"/>
      <c r="MO522"/>
      <c r="MP522"/>
      <c r="MQ522"/>
      <c r="MR522"/>
      <c r="MS522"/>
      <c r="MT522"/>
      <c r="MU522"/>
      <c r="MV522"/>
      <c r="MW522"/>
      <c r="MX522"/>
      <c r="MY522"/>
      <c r="MZ522"/>
      <c r="NA522"/>
      <c r="NB522"/>
      <c r="NC522"/>
      <c r="ND522"/>
      <c r="NE522"/>
      <c r="NF522"/>
      <c r="NG522"/>
      <c r="NH522"/>
      <c r="NI522"/>
      <c r="NJ522"/>
      <c r="NK522"/>
      <c r="NL522"/>
      <c r="NM522"/>
      <c r="NN522"/>
      <c r="NO522"/>
      <c r="NP522"/>
      <c r="NQ522"/>
      <c r="NR522"/>
      <c r="NS522"/>
      <c r="NT522"/>
      <c r="NU522"/>
      <c r="NV522"/>
      <c r="NW522"/>
      <c r="NX522"/>
      <c r="NY522"/>
      <c r="NZ522"/>
      <c r="OA522"/>
      <c r="OB522"/>
      <c r="OC522"/>
      <c r="OD522"/>
      <c r="OE522"/>
      <c r="OF522"/>
      <c r="OG522"/>
      <c r="OH522"/>
      <c r="OI522"/>
      <c r="OJ522"/>
      <c r="OK522"/>
      <c r="OL522"/>
      <c r="OM522"/>
      <c r="ON522"/>
      <c r="OO522"/>
      <c r="OP522"/>
      <c r="OQ522"/>
      <c r="OR522"/>
      <c r="OS522"/>
      <c r="OT522"/>
      <c r="OU522"/>
      <c r="OV522"/>
      <c r="OW522"/>
      <c r="OX522"/>
      <c r="OY522"/>
      <c r="OZ522"/>
      <c r="PA522"/>
      <c r="PB522"/>
      <c r="PC522"/>
      <c r="PD522"/>
      <c r="PE522"/>
      <c r="PF522"/>
      <c r="PG522"/>
      <c r="PH522"/>
      <c r="PI522"/>
      <c r="PJ522"/>
      <c r="PK522"/>
      <c r="PL522"/>
      <c r="PM522"/>
      <c r="PN522"/>
      <c r="PO522"/>
      <c r="PP522"/>
      <c r="PQ522"/>
      <c r="PR522"/>
      <c r="PS522"/>
      <c r="PT522"/>
      <c r="PU522"/>
      <c r="PV522"/>
      <c r="PW522"/>
      <c r="PX522"/>
      <c r="PY522"/>
      <c r="PZ522"/>
      <c r="QA522"/>
      <c r="QB522"/>
      <c r="QC522"/>
      <c r="QD522"/>
      <c r="QE522"/>
      <c r="QF522"/>
      <c r="QG522"/>
      <c r="QH522"/>
      <c r="QI522"/>
      <c r="QJ522"/>
      <c r="QK522"/>
      <c r="QL522"/>
      <c r="QM522"/>
      <c r="QN522"/>
      <c r="QO522"/>
      <c r="QP522"/>
      <c r="QQ522"/>
      <c r="QR522"/>
      <c r="QS522"/>
      <c r="QT522"/>
      <c r="QU522"/>
      <c r="QV522"/>
      <c r="QW522"/>
      <c r="QX522"/>
      <c r="QY522"/>
      <c r="QZ522"/>
      <c r="RA522"/>
      <c r="RB522"/>
      <c r="RC522"/>
      <c r="RD522"/>
      <c r="RE522"/>
      <c r="RF522"/>
      <c r="RG522"/>
      <c r="RH522"/>
      <c r="RI522"/>
      <c r="RJ522"/>
      <c r="RK522"/>
      <c r="RL522"/>
      <c r="RM522"/>
      <c r="RN522"/>
      <c r="RO522"/>
      <c r="RP522"/>
      <c r="RQ522"/>
      <c r="RR522"/>
      <c r="RS522"/>
      <c r="RT522"/>
      <c r="RU522"/>
      <c r="RV522"/>
      <c r="RW522"/>
      <c r="RX522"/>
      <c r="RY522"/>
      <c r="RZ522"/>
      <c r="SA522"/>
      <c r="SB522"/>
      <c r="SC522"/>
      <c r="SD522"/>
      <c r="SE522"/>
      <c r="SF522"/>
      <c r="SG522"/>
      <c r="SH522"/>
      <c r="SI522"/>
      <c r="SJ522"/>
      <c r="SK522"/>
      <c r="SL522"/>
      <c r="SM522"/>
      <c r="SN522"/>
      <c r="SO522"/>
      <c r="SP522"/>
      <c r="SQ522"/>
      <c r="SR522"/>
      <c r="SS522"/>
      <c r="ST522"/>
      <c r="SU522"/>
      <c r="SV522"/>
      <c r="SW522"/>
      <c r="SX522"/>
      <c r="SY522"/>
      <c r="SZ522"/>
      <c r="TA522"/>
      <c r="TB522"/>
      <c r="TC522"/>
      <c r="TD522"/>
      <c r="TE522"/>
      <c r="TF522"/>
      <c r="TG522"/>
      <c r="TH522"/>
      <c r="TI522"/>
      <c r="TJ522"/>
      <c r="TK522"/>
      <c r="TL522"/>
      <c r="TM522"/>
      <c r="TN522"/>
      <c r="TO522"/>
      <c r="TP522"/>
      <c r="TQ522"/>
      <c r="TR522"/>
      <c r="TS522"/>
      <c r="TT522"/>
      <c r="TU522"/>
      <c r="TV522"/>
      <c r="TW522"/>
      <c r="TX522"/>
      <c r="TY522"/>
      <c r="TZ522"/>
      <c r="UA522"/>
      <c r="UB522"/>
      <c r="UC522"/>
      <c r="UD522"/>
      <c r="UE522"/>
      <c r="UF522"/>
      <c r="UG522"/>
      <c r="UH522"/>
      <c r="UI522"/>
      <c r="UJ522"/>
      <c r="UK522"/>
      <c r="UL522"/>
      <c r="UM522"/>
      <c r="UN522"/>
      <c r="UO522"/>
      <c r="UP522"/>
      <c r="UQ522"/>
      <c r="UR522"/>
      <c r="US522"/>
      <c r="UT522"/>
      <c r="UU522"/>
      <c r="UV522"/>
      <c r="UW522"/>
      <c r="UX522"/>
      <c r="UY522"/>
      <c r="UZ522"/>
      <c r="VA522"/>
      <c r="VB522"/>
      <c r="VC522"/>
      <c r="VD522"/>
      <c r="VE522"/>
      <c r="VF522"/>
      <c r="VG522"/>
      <c r="VH522"/>
      <c r="VI522"/>
      <c r="VJ522"/>
      <c r="VK522"/>
      <c r="VL522"/>
      <c r="VM522"/>
      <c r="VN522"/>
      <c r="VO522"/>
      <c r="VP522"/>
      <c r="VQ522"/>
      <c r="VR522"/>
      <c r="VS522"/>
      <c r="VT522"/>
      <c r="VU522"/>
      <c r="VV522"/>
      <c r="VW522"/>
      <c r="VX522"/>
      <c r="VY522"/>
      <c r="VZ522"/>
      <c r="WA522"/>
      <c r="WB522"/>
      <c r="WC522"/>
      <c r="WD522"/>
      <c r="WE522"/>
      <c r="WF522"/>
      <c r="WG522"/>
      <c r="WH522"/>
      <c r="WI522"/>
      <c r="WJ522"/>
      <c r="WK522"/>
      <c r="WL522"/>
      <c r="WM522"/>
      <c r="WN522"/>
      <c r="WO522"/>
      <c r="WP522"/>
      <c r="WQ522"/>
      <c r="WR522"/>
      <c r="WS522"/>
      <c r="WT522"/>
      <c r="WU522"/>
      <c r="WV522"/>
      <c r="WW522"/>
      <c r="WX522"/>
      <c r="WY522"/>
      <c r="WZ522"/>
      <c r="XA522"/>
      <c r="XB522"/>
      <c r="XC522"/>
      <c r="XD522"/>
      <c r="XE522"/>
      <c r="XF522"/>
      <c r="XG522"/>
      <c r="XH522"/>
      <c r="XI522"/>
      <c r="XJ522"/>
      <c r="XK522"/>
      <c r="XL522"/>
      <c r="XM522"/>
      <c r="XN522"/>
      <c r="XO522"/>
      <c r="XP522"/>
      <c r="XQ522"/>
      <c r="XR522"/>
      <c r="XS522"/>
      <c r="XT522"/>
      <c r="XU522"/>
      <c r="XV522"/>
      <c r="XW522"/>
      <c r="XX522"/>
      <c r="XY522"/>
      <c r="XZ522"/>
      <c r="YA522"/>
      <c r="YB522"/>
      <c r="YC522"/>
      <c r="YD522"/>
      <c r="YE522"/>
      <c r="YF522"/>
      <c r="YG522"/>
      <c r="YH522"/>
      <c r="YI522"/>
      <c r="YJ522"/>
      <c r="YK522"/>
      <c r="YL522"/>
      <c r="YM522"/>
      <c r="YN522"/>
      <c r="YO522"/>
      <c r="YP522"/>
      <c r="YQ522"/>
      <c r="YR522"/>
      <c r="YS522"/>
      <c r="YT522"/>
      <c r="YU522"/>
      <c r="YV522"/>
      <c r="YW522"/>
      <c r="YX522"/>
      <c r="YY522"/>
      <c r="YZ522"/>
      <c r="ZA522"/>
      <c r="ZB522"/>
      <c r="ZC522"/>
      <c r="ZD522"/>
      <c r="ZE522"/>
      <c r="ZF522"/>
      <c r="ZG522"/>
      <c r="ZH522"/>
      <c r="ZI522"/>
      <c r="ZJ522"/>
      <c r="ZK522"/>
      <c r="ZL522"/>
      <c r="ZM522"/>
      <c r="ZN522"/>
      <c r="ZO522"/>
      <c r="ZP522"/>
      <c r="ZQ522"/>
      <c r="ZR522"/>
      <c r="ZS522"/>
      <c r="ZT522"/>
      <c r="ZU522"/>
      <c r="ZV522"/>
      <c r="ZW522"/>
      <c r="ZX522"/>
      <c r="ZY522"/>
      <c r="ZZ522" s="52"/>
      <c r="AAA522" s="192"/>
      <c r="AAD522" s="90"/>
      <c r="AAE522" s="519">
        <f t="shared" ref="AAE522:AAE537" si="423">IF(S.Notice.Involved="Y",1,0)</f>
        <v>1</v>
      </c>
      <c r="AAF522" s="190" t="s">
        <v>52</v>
      </c>
      <c r="AAG522" s="71"/>
      <c r="AAH522" s="71"/>
      <c r="AAI522" s="72"/>
      <c r="AAJ522" s="72"/>
      <c r="AAK522" s="254" t="str">
        <f>S.Staff.DivisionRulesCoordinator&amp;":"</f>
        <v>AndreaDRC:</v>
      </c>
      <c r="AAL522" s="90"/>
    </row>
    <row r="523" spans="1:715" ht="15" customHeight="1" outlineLevel="1">
      <c r="A523" s="171"/>
      <c r="B523" s="396" t="s">
        <v>293</v>
      </c>
      <c r="C523" s="376" t="s">
        <v>0</v>
      </c>
      <c r="D523" s="863" t="s">
        <v>294</v>
      </c>
      <c r="E523" s="863"/>
      <c r="F523" s="863"/>
      <c r="G523" s="864"/>
      <c r="H523" s="351">
        <f>AAH523</f>
        <v>41621</v>
      </c>
      <c r="I523" s="244"/>
      <c r="J523" s="194"/>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9"/>
      <c r="CD523" s="49"/>
      <c r="CE523" s="49"/>
      <c r="CF523" s="49"/>
      <c r="CG523" s="49"/>
      <c r="CH523" s="49"/>
      <c r="CI523" s="49"/>
      <c r="CJ523" s="49"/>
      <c r="CK523" s="49"/>
      <c r="CL523" s="49"/>
      <c r="CM523" s="49"/>
      <c r="CN523" s="49"/>
      <c r="CO523" s="49"/>
      <c r="CP523" s="49"/>
      <c r="CQ523" s="49"/>
      <c r="CR523" s="49"/>
      <c r="CS523" s="49"/>
      <c r="CT523" s="49"/>
      <c r="CU523" s="49"/>
      <c r="CV523" s="49"/>
      <c r="CW523" s="49"/>
      <c r="CX523" s="49"/>
      <c r="CY523" s="49"/>
      <c r="CZ523" s="49"/>
      <c r="DA523" s="49"/>
      <c r="DB523" s="49"/>
      <c r="DC523" s="49"/>
      <c r="DD523" s="49"/>
      <c r="DE523" s="49"/>
      <c r="DF523" s="49"/>
      <c r="DG523" s="49"/>
      <c r="DH523" s="49"/>
      <c r="DI523" s="49"/>
      <c r="DJ523" s="49"/>
      <c r="DK523" s="49"/>
      <c r="DL523" s="49"/>
      <c r="DM523" s="49"/>
      <c r="DN523" s="49"/>
      <c r="DO523" s="49"/>
      <c r="DP523" s="49"/>
      <c r="AAA523" s="192" t="s">
        <v>0</v>
      </c>
      <c r="AAD523" s="90"/>
      <c r="AAE523" s="519">
        <f t="shared" si="423"/>
        <v>1</v>
      </c>
      <c r="AAF523" s="90"/>
      <c r="AAG523" s="72"/>
      <c r="AAH523" s="73">
        <f>IF(AAE523=0,,S.Notice.OpenComment)</f>
        <v>41621</v>
      </c>
      <c r="AAI523" s="72"/>
      <c r="AAJ523" s="72"/>
      <c r="AAK523" s="87"/>
      <c r="AAL523" s="90"/>
      <c r="AAM523"/>
    </row>
    <row r="524" spans="1:715" s="23" customFormat="1" ht="15" customHeight="1" outlineLevel="1">
      <c r="A524" s="171"/>
      <c r="B524" s="624" t="s">
        <v>237</v>
      </c>
      <c r="C524" s="376" t="s">
        <v>0</v>
      </c>
      <c r="D524" s="380"/>
      <c r="E524" s="397">
        <f t="shared" ref="E524" si="424">NETWORKDAYS(G524,H524,S.DDL_DEQClosed)</f>
        <v>1</v>
      </c>
      <c r="F524" s="457">
        <f t="shared" ref="F524:F527" ca="1" si="425">IF(YEAR(H524)&gt;2000,NETWORKDAYS(TODAY(),H524,S.DDL_DEQClosed),0)</f>
        <v>33</v>
      </c>
      <c r="G524" s="400">
        <f t="shared" ref="G524:G527" si="426">AAG524</f>
        <v>41621</v>
      </c>
      <c r="H524" s="487">
        <f t="shared" ref="H524:H527" si="427">AAG524</f>
        <v>41621</v>
      </c>
      <c r="I524" s="244"/>
      <c r="J524" s="194"/>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9"/>
      <c r="CD524" s="49"/>
      <c r="CE524" s="49"/>
      <c r="CF524" s="49"/>
      <c r="CG524" s="49"/>
      <c r="CH524" s="49"/>
      <c r="CI524" s="49"/>
      <c r="CJ524" s="49"/>
      <c r="CK524" s="49"/>
      <c r="CL524" s="49"/>
      <c r="CM524" s="49"/>
      <c r="CN524" s="49"/>
      <c r="CO524" s="49"/>
      <c r="CP524" s="49"/>
      <c r="CQ524" s="49"/>
      <c r="CR524" s="49"/>
      <c r="CS524" s="49"/>
      <c r="CT524" s="49"/>
      <c r="CU524" s="49"/>
      <c r="CV524" s="49"/>
      <c r="CW524" s="49"/>
      <c r="CX524" s="49"/>
      <c r="CY524" s="49"/>
      <c r="CZ524" s="49"/>
      <c r="DA524" s="49"/>
      <c r="DB524" s="49"/>
      <c r="DC524" s="49"/>
      <c r="DD524" s="49"/>
      <c r="DE524" s="49"/>
      <c r="DF524" s="49"/>
      <c r="DG524" s="49"/>
      <c r="DH524" s="49"/>
      <c r="DI524" s="49"/>
      <c r="DJ524" s="49"/>
      <c r="DK524" s="49"/>
      <c r="DL524" s="49"/>
      <c r="DM524" s="49"/>
      <c r="DN524" s="49"/>
      <c r="DO524" s="49"/>
      <c r="DP524" s="49"/>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c r="IW524"/>
      <c r="IX524"/>
      <c r="IY524"/>
      <c r="IZ524"/>
      <c r="JA524"/>
      <c r="JB524"/>
      <c r="JC524"/>
      <c r="JD524"/>
      <c r="JE524"/>
      <c r="JF524"/>
      <c r="JG524"/>
      <c r="JH524"/>
      <c r="JI524"/>
      <c r="JJ524"/>
      <c r="JK524"/>
      <c r="JL524"/>
      <c r="JM524"/>
      <c r="JN524"/>
      <c r="JO524"/>
      <c r="JP524"/>
      <c r="JQ524"/>
      <c r="JR524"/>
      <c r="JS524"/>
      <c r="JT524"/>
      <c r="JU524"/>
      <c r="JV524"/>
      <c r="JW524"/>
      <c r="JX524"/>
      <c r="JY524"/>
      <c r="JZ524"/>
      <c r="KA524"/>
      <c r="KB524"/>
      <c r="KC524"/>
      <c r="KD524"/>
      <c r="KE524"/>
      <c r="KF524"/>
      <c r="KG524"/>
      <c r="KH524"/>
      <c r="KI524"/>
      <c r="KJ524"/>
      <c r="KK524"/>
      <c r="KL524"/>
      <c r="KM524"/>
      <c r="KN524"/>
      <c r="KO524"/>
      <c r="KP524"/>
      <c r="KQ524"/>
      <c r="KR524"/>
      <c r="KS524"/>
      <c r="KT524"/>
      <c r="KU524"/>
      <c r="KV524"/>
      <c r="KW524"/>
      <c r="KX524"/>
      <c r="KY524"/>
      <c r="KZ524"/>
      <c r="LA524"/>
      <c r="LB524"/>
      <c r="LC524"/>
      <c r="LD524"/>
      <c r="LE524"/>
      <c r="LF524"/>
      <c r="LG524"/>
      <c r="LH524"/>
      <c r="LI524"/>
      <c r="LJ524"/>
      <c r="LK524"/>
      <c r="LL524"/>
      <c r="LM524"/>
      <c r="LN524"/>
      <c r="LO524"/>
      <c r="LP524"/>
      <c r="LQ524"/>
      <c r="LR524"/>
      <c r="LS524"/>
      <c r="LT524"/>
      <c r="LU524"/>
      <c r="LV524"/>
      <c r="LW524"/>
      <c r="LX524"/>
      <c r="LY524"/>
      <c r="LZ524"/>
      <c r="MA524"/>
      <c r="MB524"/>
      <c r="MC524"/>
      <c r="MD524"/>
      <c r="ME524"/>
      <c r="MF524"/>
      <c r="MG524"/>
      <c r="MH524"/>
      <c r="MI524"/>
      <c r="MJ524"/>
      <c r="MK524"/>
      <c r="ML524"/>
      <c r="MM524"/>
      <c r="MN524"/>
      <c r="MO524"/>
      <c r="MP524"/>
      <c r="MQ524"/>
      <c r="MR524"/>
      <c r="MS524"/>
      <c r="MT524"/>
      <c r="MU524"/>
      <c r="MV524"/>
      <c r="MW524"/>
      <c r="MX524"/>
      <c r="MY524"/>
      <c r="MZ524"/>
      <c r="NA524"/>
      <c r="NB524"/>
      <c r="NC524"/>
      <c r="ND524"/>
      <c r="NE524"/>
      <c r="NF524"/>
      <c r="NG524"/>
      <c r="NH524"/>
      <c r="NI524"/>
      <c r="NJ524"/>
      <c r="NK524"/>
      <c r="NL524"/>
      <c r="NM524"/>
      <c r="NN524"/>
      <c r="NO524"/>
      <c r="NP524"/>
      <c r="NQ524"/>
      <c r="NR524"/>
      <c r="NS524"/>
      <c r="NT524"/>
      <c r="NU524"/>
      <c r="NV524"/>
      <c r="NW524"/>
      <c r="NX524"/>
      <c r="NY524"/>
      <c r="NZ524"/>
      <c r="OA524"/>
      <c r="OB524"/>
      <c r="OC524"/>
      <c r="OD524"/>
      <c r="OE524"/>
      <c r="OF524"/>
      <c r="OG524"/>
      <c r="OH524"/>
      <c r="OI524"/>
      <c r="OJ524"/>
      <c r="OK524"/>
      <c r="OL524"/>
      <c r="OM524"/>
      <c r="ON524"/>
      <c r="OO524"/>
      <c r="OP524"/>
      <c r="OQ524"/>
      <c r="OR524"/>
      <c r="OS524"/>
      <c r="OT524"/>
      <c r="OU524"/>
      <c r="OV524"/>
      <c r="OW524"/>
      <c r="OX524"/>
      <c r="OY524"/>
      <c r="OZ524"/>
      <c r="PA524"/>
      <c r="PB524"/>
      <c r="PC524"/>
      <c r="PD524"/>
      <c r="PE524"/>
      <c r="PF524"/>
      <c r="PG524"/>
      <c r="PH524"/>
      <c r="PI524"/>
      <c r="PJ524"/>
      <c r="PK524"/>
      <c r="PL524"/>
      <c r="PM524"/>
      <c r="PN524"/>
      <c r="PO524"/>
      <c r="PP524"/>
      <c r="PQ524"/>
      <c r="PR524"/>
      <c r="PS524"/>
      <c r="PT524"/>
      <c r="PU524"/>
      <c r="PV524"/>
      <c r="PW524"/>
      <c r="PX524"/>
      <c r="PY524"/>
      <c r="PZ524"/>
      <c r="QA524"/>
      <c r="QB524"/>
      <c r="QC524"/>
      <c r="QD524"/>
      <c r="QE524"/>
      <c r="QF524"/>
      <c r="QG524"/>
      <c r="QH524"/>
      <c r="QI524"/>
      <c r="QJ524"/>
      <c r="QK524"/>
      <c r="QL524"/>
      <c r="QM524"/>
      <c r="QN524"/>
      <c r="QO524"/>
      <c r="QP524"/>
      <c r="QQ524"/>
      <c r="QR524"/>
      <c r="QS524"/>
      <c r="QT524"/>
      <c r="QU524"/>
      <c r="QV524"/>
      <c r="QW524"/>
      <c r="QX524"/>
      <c r="QY524"/>
      <c r="QZ524"/>
      <c r="RA524"/>
      <c r="RB524"/>
      <c r="RC524"/>
      <c r="RD524"/>
      <c r="RE524"/>
      <c r="RF524"/>
      <c r="RG524"/>
      <c r="RH524"/>
      <c r="RI524"/>
      <c r="RJ524"/>
      <c r="RK524"/>
      <c r="RL524"/>
      <c r="RM524"/>
      <c r="RN524"/>
      <c r="RO524"/>
      <c r="RP524"/>
      <c r="RQ524"/>
      <c r="RR524"/>
      <c r="RS524"/>
      <c r="RT524"/>
      <c r="RU524"/>
      <c r="RV524"/>
      <c r="RW524"/>
      <c r="RX524"/>
      <c r="RY524"/>
      <c r="RZ524"/>
      <c r="SA524"/>
      <c r="SB524"/>
      <c r="SC524"/>
      <c r="SD524"/>
      <c r="SE524"/>
      <c r="SF524"/>
      <c r="SG524"/>
      <c r="SH524"/>
      <c r="SI524"/>
      <c r="SJ524"/>
      <c r="SK524"/>
      <c r="SL524"/>
      <c r="SM524"/>
      <c r="SN524"/>
      <c r="SO524"/>
      <c r="SP524"/>
      <c r="SQ524"/>
      <c r="SR524"/>
      <c r="SS524"/>
      <c r="ST524"/>
      <c r="SU524"/>
      <c r="SV524"/>
      <c r="SW524"/>
      <c r="SX524"/>
      <c r="SY524"/>
      <c r="SZ524"/>
      <c r="TA524"/>
      <c r="TB524"/>
      <c r="TC524"/>
      <c r="TD524"/>
      <c r="TE524"/>
      <c r="TF524"/>
      <c r="TG524"/>
      <c r="TH524"/>
      <c r="TI524"/>
      <c r="TJ524"/>
      <c r="TK524"/>
      <c r="TL524"/>
      <c r="TM524"/>
      <c r="TN524"/>
      <c r="TO524"/>
      <c r="TP524"/>
      <c r="TQ524"/>
      <c r="TR524"/>
      <c r="TS524"/>
      <c r="TT524"/>
      <c r="TU524"/>
      <c r="TV524"/>
      <c r="TW524"/>
      <c r="TX524"/>
      <c r="TY524"/>
      <c r="TZ524"/>
      <c r="UA524"/>
      <c r="UB524"/>
      <c r="UC524"/>
      <c r="UD524"/>
      <c r="UE524"/>
      <c r="UF524"/>
      <c r="UG524"/>
      <c r="UH524"/>
      <c r="UI524"/>
      <c r="UJ524"/>
      <c r="UK524"/>
      <c r="UL524"/>
      <c r="UM524"/>
      <c r="UN524"/>
      <c r="UO524"/>
      <c r="UP524"/>
      <c r="UQ524"/>
      <c r="UR524"/>
      <c r="US524"/>
      <c r="UT524"/>
      <c r="UU524"/>
      <c r="UV524"/>
      <c r="UW524"/>
      <c r="UX524"/>
      <c r="UY524"/>
      <c r="UZ524"/>
      <c r="VA524"/>
      <c r="VB524"/>
      <c r="VC524"/>
      <c r="VD524"/>
      <c r="VE524"/>
      <c r="VF524"/>
      <c r="VG524"/>
      <c r="VH524"/>
      <c r="VI524"/>
      <c r="VJ524"/>
      <c r="VK524"/>
      <c r="VL524"/>
      <c r="VM524"/>
      <c r="VN524"/>
      <c r="VO524"/>
      <c r="VP524"/>
      <c r="VQ524"/>
      <c r="VR524"/>
      <c r="VS524"/>
      <c r="VT524"/>
      <c r="VU524"/>
      <c r="VV524"/>
      <c r="VW524"/>
      <c r="VX524"/>
      <c r="VY524"/>
      <c r="VZ524"/>
      <c r="WA524"/>
      <c r="WB524"/>
      <c r="WC524"/>
      <c r="WD524"/>
      <c r="WE524"/>
      <c r="WF524"/>
      <c r="WG524"/>
      <c r="WH524"/>
      <c r="WI524"/>
      <c r="WJ524"/>
      <c r="WK524"/>
      <c r="WL524"/>
      <c r="WM524"/>
      <c r="WN524"/>
      <c r="WO524"/>
      <c r="WP524"/>
      <c r="WQ524"/>
      <c r="WR524"/>
      <c r="WS524"/>
      <c r="WT524"/>
      <c r="WU524"/>
      <c r="WV524"/>
      <c r="WW524"/>
      <c r="WX524"/>
      <c r="WY524"/>
      <c r="WZ524"/>
      <c r="XA524"/>
      <c r="XB524"/>
      <c r="XC524"/>
      <c r="XD524"/>
      <c r="XE524"/>
      <c r="XF524"/>
      <c r="XG524"/>
      <c r="XH524"/>
      <c r="XI524"/>
      <c r="XJ524"/>
      <c r="XK524"/>
      <c r="XL524"/>
      <c r="XM524"/>
      <c r="XN524"/>
      <c r="XO524"/>
      <c r="XP524"/>
      <c r="XQ524"/>
      <c r="XR524"/>
      <c r="XS524"/>
      <c r="XT524"/>
      <c r="XU524"/>
      <c r="XV524"/>
      <c r="XW524"/>
      <c r="XX524"/>
      <c r="XY524"/>
      <c r="XZ524"/>
      <c r="YA524"/>
      <c r="YB524"/>
      <c r="YC524"/>
      <c r="YD524"/>
      <c r="YE524"/>
      <c r="YF524"/>
      <c r="YG524"/>
      <c r="YH524"/>
      <c r="YI524"/>
      <c r="YJ524"/>
      <c r="YK524"/>
      <c r="YL524"/>
      <c r="YM524"/>
      <c r="YN524"/>
      <c r="YO524"/>
      <c r="YP524"/>
      <c r="YQ524"/>
      <c r="YR524"/>
      <c r="YS524"/>
      <c r="YT524"/>
      <c r="YU524"/>
      <c r="YV524"/>
      <c r="YW524"/>
      <c r="YX524"/>
      <c r="YY524"/>
      <c r="YZ524"/>
      <c r="ZA524"/>
      <c r="ZB524"/>
      <c r="ZC524"/>
      <c r="ZD524"/>
      <c r="ZE524"/>
      <c r="ZF524"/>
      <c r="ZG524"/>
      <c r="ZH524"/>
      <c r="ZI524"/>
      <c r="ZJ524"/>
      <c r="ZK524"/>
      <c r="ZL524"/>
      <c r="ZM524"/>
      <c r="ZN524"/>
      <c r="ZO524"/>
      <c r="ZP524"/>
      <c r="ZQ524"/>
      <c r="ZR524"/>
      <c r="ZS524"/>
      <c r="ZT524"/>
      <c r="ZU524"/>
      <c r="ZV524"/>
      <c r="ZW524"/>
      <c r="ZX524"/>
      <c r="ZY524"/>
      <c r="ZZ524" s="52"/>
      <c r="AAA524" s="192"/>
      <c r="AAD524" s="90"/>
      <c r="AAE524" s="519">
        <f t="shared" si="423"/>
        <v>1</v>
      </c>
      <c r="AAF524" s="90"/>
      <c r="AAG524" s="73">
        <f>IF(AAE524=0,,S.Notice.OpenComment)</f>
        <v>41621</v>
      </c>
      <c r="AAH524" s="73">
        <f>IF(AAE524=0,,G524)</f>
        <v>41621</v>
      </c>
      <c r="AAI524" s="72"/>
      <c r="AAJ524" s="72"/>
      <c r="AAK524" s="185" t="s">
        <v>0</v>
      </c>
      <c r="AAL524" s="90"/>
    </row>
    <row r="525" spans="1:715" s="23" customFormat="1" ht="15" customHeight="1" outlineLevel="1">
      <c r="A525" s="171"/>
      <c r="B525" s="624" t="s">
        <v>250</v>
      </c>
      <c r="C525" s="376" t="s">
        <v>0</v>
      </c>
      <c r="D525" s="380"/>
      <c r="E525" s="397">
        <f t="shared" ref="E525" si="428">NETWORKDAYS(G525,H525,S.DDL_DEQClosed)</f>
        <v>1</v>
      </c>
      <c r="F525" s="457">
        <f t="shared" ca="1" si="425"/>
        <v>33</v>
      </c>
      <c r="G525" s="400">
        <f t="shared" si="426"/>
        <v>41621</v>
      </c>
      <c r="H525" s="487">
        <f t="shared" si="427"/>
        <v>41621</v>
      </c>
      <c r="I525" s="244"/>
      <c r="J525" s="194"/>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9"/>
      <c r="CD525" s="49"/>
      <c r="CE525" s="49"/>
      <c r="CF525" s="49"/>
      <c r="CG525" s="49"/>
      <c r="CH525" s="49"/>
      <c r="CI525" s="49"/>
      <c r="CJ525" s="49"/>
      <c r="CK525" s="49"/>
      <c r="CL525" s="49"/>
      <c r="CM525" s="49"/>
      <c r="CN525" s="49"/>
      <c r="CO525" s="49"/>
      <c r="CP525" s="49"/>
      <c r="CQ525" s="49"/>
      <c r="CR525" s="49"/>
      <c r="CS525" s="49"/>
      <c r="CT525" s="49"/>
      <c r="CU525" s="49"/>
      <c r="CV525" s="49"/>
      <c r="CW525" s="49"/>
      <c r="CX525" s="49"/>
      <c r="CY525" s="49"/>
      <c r="CZ525" s="49"/>
      <c r="DA525" s="49"/>
      <c r="DB525" s="49"/>
      <c r="DC525" s="49"/>
      <c r="DD525" s="49"/>
      <c r="DE525" s="49"/>
      <c r="DF525" s="49"/>
      <c r="DG525" s="49"/>
      <c r="DH525" s="49"/>
      <c r="DI525" s="49"/>
      <c r="DJ525" s="49"/>
      <c r="DK525" s="49"/>
      <c r="DL525" s="49"/>
      <c r="DM525" s="49"/>
      <c r="DN525" s="49"/>
      <c r="DO525" s="49"/>
      <c r="DP525" s="49"/>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c r="IW525"/>
      <c r="IX525"/>
      <c r="IY525"/>
      <c r="IZ525"/>
      <c r="JA525"/>
      <c r="JB525"/>
      <c r="JC525"/>
      <c r="JD525"/>
      <c r="JE525"/>
      <c r="JF525"/>
      <c r="JG525"/>
      <c r="JH525"/>
      <c r="JI525"/>
      <c r="JJ525"/>
      <c r="JK525"/>
      <c r="JL525"/>
      <c r="JM525"/>
      <c r="JN525"/>
      <c r="JO525"/>
      <c r="JP525"/>
      <c r="JQ525"/>
      <c r="JR525"/>
      <c r="JS525"/>
      <c r="JT525"/>
      <c r="JU525"/>
      <c r="JV525"/>
      <c r="JW525"/>
      <c r="JX525"/>
      <c r="JY525"/>
      <c r="JZ525"/>
      <c r="KA525"/>
      <c r="KB525"/>
      <c r="KC525"/>
      <c r="KD525"/>
      <c r="KE525"/>
      <c r="KF525"/>
      <c r="KG525"/>
      <c r="KH525"/>
      <c r="KI525"/>
      <c r="KJ525"/>
      <c r="KK525"/>
      <c r="KL525"/>
      <c r="KM525"/>
      <c r="KN525"/>
      <c r="KO525"/>
      <c r="KP525"/>
      <c r="KQ525"/>
      <c r="KR525"/>
      <c r="KS525"/>
      <c r="KT525"/>
      <c r="KU525"/>
      <c r="KV525"/>
      <c r="KW525"/>
      <c r="KX525"/>
      <c r="KY525"/>
      <c r="KZ525"/>
      <c r="LA525"/>
      <c r="LB525"/>
      <c r="LC525"/>
      <c r="LD525"/>
      <c r="LE525"/>
      <c r="LF525"/>
      <c r="LG525"/>
      <c r="LH525"/>
      <c r="LI525"/>
      <c r="LJ525"/>
      <c r="LK525"/>
      <c r="LL525"/>
      <c r="LM525"/>
      <c r="LN525"/>
      <c r="LO525"/>
      <c r="LP525"/>
      <c r="LQ525"/>
      <c r="LR525"/>
      <c r="LS525"/>
      <c r="LT525"/>
      <c r="LU525"/>
      <c r="LV525"/>
      <c r="LW525"/>
      <c r="LX525"/>
      <c r="LY525"/>
      <c r="LZ525"/>
      <c r="MA525"/>
      <c r="MB525"/>
      <c r="MC525"/>
      <c r="MD525"/>
      <c r="ME525"/>
      <c r="MF525"/>
      <c r="MG525"/>
      <c r="MH525"/>
      <c r="MI525"/>
      <c r="MJ525"/>
      <c r="MK525"/>
      <c r="ML525"/>
      <c r="MM525"/>
      <c r="MN525"/>
      <c r="MO525"/>
      <c r="MP525"/>
      <c r="MQ525"/>
      <c r="MR525"/>
      <c r="MS525"/>
      <c r="MT525"/>
      <c r="MU525"/>
      <c r="MV525"/>
      <c r="MW525"/>
      <c r="MX525"/>
      <c r="MY525"/>
      <c r="MZ525"/>
      <c r="NA525"/>
      <c r="NB525"/>
      <c r="NC525"/>
      <c r="ND525"/>
      <c r="NE525"/>
      <c r="NF525"/>
      <c r="NG525"/>
      <c r="NH525"/>
      <c r="NI525"/>
      <c r="NJ525"/>
      <c r="NK525"/>
      <c r="NL525"/>
      <c r="NM525"/>
      <c r="NN525"/>
      <c r="NO525"/>
      <c r="NP525"/>
      <c r="NQ525"/>
      <c r="NR525"/>
      <c r="NS525"/>
      <c r="NT525"/>
      <c r="NU525"/>
      <c r="NV525"/>
      <c r="NW525"/>
      <c r="NX525"/>
      <c r="NY525"/>
      <c r="NZ525"/>
      <c r="OA525"/>
      <c r="OB525"/>
      <c r="OC525"/>
      <c r="OD525"/>
      <c r="OE525"/>
      <c r="OF525"/>
      <c r="OG525"/>
      <c r="OH525"/>
      <c r="OI525"/>
      <c r="OJ525"/>
      <c r="OK525"/>
      <c r="OL525"/>
      <c r="OM525"/>
      <c r="ON525"/>
      <c r="OO525"/>
      <c r="OP525"/>
      <c r="OQ525"/>
      <c r="OR525"/>
      <c r="OS525"/>
      <c r="OT525"/>
      <c r="OU525"/>
      <c r="OV525"/>
      <c r="OW525"/>
      <c r="OX525"/>
      <c r="OY525"/>
      <c r="OZ525"/>
      <c r="PA525"/>
      <c r="PB525"/>
      <c r="PC525"/>
      <c r="PD525"/>
      <c r="PE525"/>
      <c r="PF525"/>
      <c r="PG525"/>
      <c r="PH525"/>
      <c r="PI525"/>
      <c r="PJ525"/>
      <c r="PK525"/>
      <c r="PL525"/>
      <c r="PM525"/>
      <c r="PN525"/>
      <c r="PO525"/>
      <c r="PP525"/>
      <c r="PQ525"/>
      <c r="PR525"/>
      <c r="PS525"/>
      <c r="PT525"/>
      <c r="PU525"/>
      <c r="PV525"/>
      <c r="PW525"/>
      <c r="PX525"/>
      <c r="PY525"/>
      <c r="PZ525"/>
      <c r="QA525"/>
      <c r="QB525"/>
      <c r="QC525"/>
      <c r="QD525"/>
      <c r="QE525"/>
      <c r="QF525"/>
      <c r="QG525"/>
      <c r="QH525"/>
      <c r="QI525"/>
      <c r="QJ525"/>
      <c r="QK525"/>
      <c r="QL525"/>
      <c r="QM525"/>
      <c r="QN525"/>
      <c r="QO525"/>
      <c r="QP525"/>
      <c r="QQ525"/>
      <c r="QR525"/>
      <c r="QS525"/>
      <c r="QT525"/>
      <c r="QU525"/>
      <c r="QV525"/>
      <c r="QW525"/>
      <c r="QX525"/>
      <c r="QY525"/>
      <c r="QZ525"/>
      <c r="RA525"/>
      <c r="RB525"/>
      <c r="RC525"/>
      <c r="RD525"/>
      <c r="RE525"/>
      <c r="RF525"/>
      <c r="RG525"/>
      <c r="RH525"/>
      <c r="RI525"/>
      <c r="RJ525"/>
      <c r="RK525"/>
      <c r="RL525"/>
      <c r="RM525"/>
      <c r="RN525"/>
      <c r="RO525"/>
      <c r="RP525"/>
      <c r="RQ525"/>
      <c r="RR525"/>
      <c r="RS525"/>
      <c r="RT525"/>
      <c r="RU525"/>
      <c r="RV525"/>
      <c r="RW525"/>
      <c r="RX525"/>
      <c r="RY525"/>
      <c r="RZ525"/>
      <c r="SA525"/>
      <c r="SB525"/>
      <c r="SC525"/>
      <c r="SD525"/>
      <c r="SE525"/>
      <c r="SF525"/>
      <c r="SG525"/>
      <c r="SH525"/>
      <c r="SI525"/>
      <c r="SJ525"/>
      <c r="SK525"/>
      <c r="SL525"/>
      <c r="SM525"/>
      <c r="SN525"/>
      <c r="SO525"/>
      <c r="SP525"/>
      <c r="SQ525"/>
      <c r="SR525"/>
      <c r="SS525"/>
      <c r="ST525"/>
      <c r="SU525"/>
      <c r="SV525"/>
      <c r="SW525"/>
      <c r="SX525"/>
      <c r="SY525"/>
      <c r="SZ525"/>
      <c r="TA525"/>
      <c r="TB525"/>
      <c r="TC525"/>
      <c r="TD525"/>
      <c r="TE525"/>
      <c r="TF525"/>
      <c r="TG525"/>
      <c r="TH525"/>
      <c r="TI525"/>
      <c r="TJ525"/>
      <c r="TK525"/>
      <c r="TL525"/>
      <c r="TM525"/>
      <c r="TN525"/>
      <c r="TO525"/>
      <c r="TP525"/>
      <c r="TQ525"/>
      <c r="TR525"/>
      <c r="TS525"/>
      <c r="TT525"/>
      <c r="TU525"/>
      <c r="TV525"/>
      <c r="TW525"/>
      <c r="TX525"/>
      <c r="TY525"/>
      <c r="TZ525"/>
      <c r="UA525"/>
      <c r="UB525"/>
      <c r="UC525"/>
      <c r="UD525"/>
      <c r="UE525"/>
      <c r="UF525"/>
      <c r="UG525"/>
      <c r="UH525"/>
      <c r="UI525"/>
      <c r="UJ525"/>
      <c r="UK525"/>
      <c r="UL525"/>
      <c r="UM525"/>
      <c r="UN525"/>
      <c r="UO525"/>
      <c r="UP525"/>
      <c r="UQ525"/>
      <c r="UR525"/>
      <c r="US525"/>
      <c r="UT525"/>
      <c r="UU525"/>
      <c r="UV525"/>
      <c r="UW525"/>
      <c r="UX525"/>
      <c r="UY525"/>
      <c r="UZ525"/>
      <c r="VA525"/>
      <c r="VB525"/>
      <c r="VC525"/>
      <c r="VD525"/>
      <c r="VE525"/>
      <c r="VF525"/>
      <c r="VG525"/>
      <c r="VH525"/>
      <c r="VI525"/>
      <c r="VJ525"/>
      <c r="VK525"/>
      <c r="VL525"/>
      <c r="VM525"/>
      <c r="VN525"/>
      <c r="VO525"/>
      <c r="VP525"/>
      <c r="VQ525"/>
      <c r="VR525"/>
      <c r="VS525"/>
      <c r="VT525"/>
      <c r="VU525"/>
      <c r="VV525"/>
      <c r="VW525"/>
      <c r="VX525"/>
      <c r="VY525"/>
      <c r="VZ525"/>
      <c r="WA525"/>
      <c r="WB525"/>
      <c r="WC525"/>
      <c r="WD525"/>
      <c r="WE525"/>
      <c r="WF525"/>
      <c r="WG525"/>
      <c r="WH525"/>
      <c r="WI525"/>
      <c r="WJ525"/>
      <c r="WK525"/>
      <c r="WL525"/>
      <c r="WM525"/>
      <c r="WN525"/>
      <c r="WO525"/>
      <c r="WP525"/>
      <c r="WQ525"/>
      <c r="WR525"/>
      <c r="WS525"/>
      <c r="WT525"/>
      <c r="WU525"/>
      <c r="WV525"/>
      <c r="WW525"/>
      <c r="WX525"/>
      <c r="WY525"/>
      <c r="WZ525"/>
      <c r="XA525"/>
      <c r="XB525"/>
      <c r="XC525"/>
      <c r="XD525"/>
      <c r="XE525"/>
      <c r="XF525"/>
      <c r="XG525"/>
      <c r="XH525"/>
      <c r="XI525"/>
      <c r="XJ525"/>
      <c r="XK525"/>
      <c r="XL525"/>
      <c r="XM525"/>
      <c r="XN525"/>
      <c r="XO525"/>
      <c r="XP525"/>
      <c r="XQ525"/>
      <c r="XR525"/>
      <c r="XS525"/>
      <c r="XT525"/>
      <c r="XU525"/>
      <c r="XV525"/>
      <c r="XW525"/>
      <c r="XX525"/>
      <c r="XY525"/>
      <c r="XZ525"/>
      <c r="YA525"/>
      <c r="YB525"/>
      <c r="YC525"/>
      <c r="YD525"/>
      <c r="YE525"/>
      <c r="YF525"/>
      <c r="YG525"/>
      <c r="YH525"/>
      <c r="YI525"/>
      <c r="YJ525"/>
      <c r="YK525"/>
      <c r="YL525"/>
      <c r="YM525"/>
      <c r="YN525"/>
      <c r="YO525"/>
      <c r="YP525"/>
      <c r="YQ525"/>
      <c r="YR525"/>
      <c r="YS525"/>
      <c r="YT525"/>
      <c r="YU525"/>
      <c r="YV525"/>
      <c r="YW525"/>
      <c r="YX525"/>
      <c r="YY525"/>
      <c r="YZ525"/>
      <c r="ZA525"/>
      <c r="ZB525"/>
      <c r="ZC525"/>
      <c r="ZD525"/>
      <c r="ZE525"/>
      <c r="ZF525"/>
      <c r="ZG525"/>
      <c r="ZH525"/>
      <c r="ZI525"/>
      <c r="ZJ525"/>
      <c r="ZK525"/>
      <c r="ZL525"/>
      <c r="ZM525"/>
      <c r="ZN525"/>
      <c r="ZO525"/>
      <c r="ZP525"/>
      <c r="ZQ525"/>
      <c r="ZR525"/>
      <c r="ZS525"/>
      <c r="ZT525"/>
      <c r="ZU525"/>
      <c r="ZV525"/>
      <c r="ZW525"/>
      <c r="ZX525"/>
      <c r="ZY525"/>
      <c r="ZZ525" s="52"/>
      <c r="AAA525" s="192"/>
      <c r="AAD525" s="90"/>
      <c r="AAE525" s="519">
        <f t="shared" si="423"/>
        <v>1</v>
      </c>
      <c r="AAF525" s="90"/>
      <c r="AAG525" s="73">
        <f>IF(AAE525=0,,S.Notice.OpenComment)</f>
        <v>41621</v>
      </c>
      <c r="AAH525" s="73">
        <f t="shared" ref="AAH525:AAH528" si="429">IF(AAE525=0,,G525)</f>
        <v>41621</v>
      </c>
      <c r="AAI525" s="72"/>
      <c r="AAJ525" s="72"/>
      <c r="AAK525" s="185" t="s">
        <v>0</v>
      </c>
      <c r="AAL525" s="90"/>
    </row>
    <row r="526" spans="1:715" s="23" customFormat="1" ht="15" customHeight="1" outlineLevel="1">
      <c r="A526" s="171"/>
      <c r="B526" s="624" t="s">
        <v>251</v>
      </c>
      <c r="C526" s="376" t="s">
        <v>0</v>
      </c>
      <c r="D526" s="380"/>
      <c r="E526" s="397">
        <f t="shared" ref="E526:E527" si="430">NETWORKDAYS(G526,H526,S.DDL_DEQClosed)</f>
        <v>1</v>
      </c>
      <c r="F526" s="457">
        <f t="shared" ca="1" si="425"/>
        <v>33</v>
      </c>
      <c r="G526" s="400">
        <f t="shared" si="426"/>
        <v>41621</v>
      </c>
      <c r="H526" s="487">
        <f t="shared" si="427"/>
        <v>41621</v>
      </c>
      <c r="I526" s="244"/>
      <c r="J526" s="194"/>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9"/>
      <c r="CH526" s="49"/>
      <c r="CI526" s="49"/>
      <c r="CJ526" s="49"/>
      <c r="CK526" s="49"/>
      <c r="CL526" s="49"/>
      <c r="CM526" s="49"/>
      <c r="CN526" s="49"/>
      <c r="CO526" s="49"/>
      <c r="CP526" s="49"/>
      <c r="CQ526" s="49"/>
      <c r="CR526" s="49"/>
      <c r="CS526" s="49"/>
      <c r="CT526" s="49"/>
      <c r="CU526" s="49"/>
      <c r="CV526" s="49"/>
      <c r="CW526" s="49"/>
      <c r="CX526" s="49"/>
      <c r="CY526" s="49"/>
      <c r="CZ526" s="49"/>
      <c r="DA526" s="49"/>
      <c r="DB526" s="49"/>
      <c r="DC526" s="49"/>
      <c r="DD526" s="49"/>
      <c r="DE526" s="49"/>
      <c r="DF526" s="49"/>
      <c r="DG526" s="49"/>
      <c r="DH526" s="49"/>
      <c r="DI526" s="49"/>
      <c r="DJ526" s="49"/>
      <c r="DK526" s="49"/>
      <c r="DL526" s="49"/>
      <c r="DM526" s="49"/>
      <c r="DN526" s="49"/>
      <c r="DO526" s="49"/>
      <c r="DP526" s="49"/>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c r="WP526"/>
      <c r="WQ526"/>
      <c r="WR526"/>
      <c r="WS526"/>
      <c r="WT526"/>
      <c r="WU526"/>
      <c r="WV526"/>
      <c r="WW526"/>
      <c r="WX526"/>
      <c r="WY526"/>
      <c r="WZ526"/>
      <c r="XA526"/>
      <c r="XB526"/>
      <c r="XC526"/>
      <c r="XD526"/>
      <c r="XE526"/>
      <c r="XF526"/>
      <c r="XG526"/>
      <c r="XH526"/>
      <c r="XI526"/>
      <c r="XJ526"/>
      <c r="XK526"/>
      <c r="XL526"/>
      <c r="XM526"/>
      <c r="XN526"/>
      <c r="XO526"/>
      <c r="XP526"/>
      <c r="XQ526"/>
      <c r="XR526"/>
      <c r="XS526"/>
      <c r="XT526"/>
      <c r="XU526"/>
      <c r="XV526"/>
      <c r="XW526"/>
      <c r="XX526"/>
      <c r="XY526"/>
      <c r="XZ526"/>
      <c r="YA526"/>
      <c r="YB526"/>
      <c r="YC526"/>
      <c r="YD526"/>
      <c r="YE526"/>
      <c r="YF526"/>
      <c r="YG526"/>
      <c r="YH526"/>
      <c r="YI526"/>
      <c r="YJ526"/>
      <c r="YK526"/>
      <c r="YL526"/>
      <c r="YM526"/>
      <c r="YN526"/>
      <c r="YO526"/>
      <c r="YP526"/>
      <c r="YQ526"/>
      <c r="YR526"/>
      <c r="YS526"/>
      <c r="YT526"/>
      <c r="YU526"/>
      <c r="YV526"/>
      <c r="YW526"/>
      <c r="YX526"/>
      <c r="YY526"/>
      <c r="YZ526"/>
      <c r="ZA526"/>
      <c r="ZB526"/>
      <c r="ZC526"/>
      <c r="ZD526"/>
      <c r="ZE526"/>
      <c r="ZF526"/>
      <c r="ZG526"/>
      <c r="ZH526"/>
      <c r="ZI526"/>
      <c r="ZJ526"/>
      <c r="ZK526"/>
      <c r="ZL526"/>
      <c r="ZM526"/>
      <c r="ZN526"/>
      <c r="ZO526"/>
      <c r="ZP526"/>
      <c r="ZQ526"/>
      <c r="ZR526"/>
      <c r="ZS526"/>
      <c r="ZT526"/>
      <c r="ZU526"/>
      <c r="ZV526"/>
      <c r="ZW526"/>
      <c r="ZX526"/>
      <c r="ZY526"/>
      <c r="ZZ526" s="52"/>
      <c r="AAA526" s="192"/>
      <c r="AAD526" s="90"/>
      <c r="AAE526" s="519">
        <f t="shared" si="423"/>
        <v>1</v>
      </c>
      <c r="AAF526" s="90"/>
      <c r="AAG526" s="73">
        <f>IF(AAE526=0,,S.Notice.OpenComment)</f>
        <v>41621</v>
      </c>
      <c r="AAH526" s="73">
        <f t="shared" si="429"/>
        <v>41621</v>
      </c>
      <c r="AAI526" s="72"/>
      <c r="AAJ526" s="72"/>
      <c r="AAK526" s="185" t="s">
        <v>0</v>
      </c>
      <c r="AAL526" s="90"/>
    </row>
    <row r="527" spans="1:715" s="23" customFormat="1" ht="15" customHeight="1" outlineLevel="1" thickBot="1">
      <c r="A527" s="171"/>
      <c r="B527" s="396" t="s">
        <v>408</v>
      </c>
      <c r="C527" s="376" t="s">
        <v>0</v>
      </c>
      <c r="D527" s="380"/>
      <c r="E527" s="397">
        <f t="shared" si="430"/>
        <v>1</v>
      </c>
      <c r="F527" s="457">
        <f t="shared" ca="1" si="425"/>
        <v>33</v>
      </c>
      <c r="G527" s="400">
        <f t="shared" si="426"/>
        <v>41621</v>
      </c>
      <c r="H527" s="487">
        <f t="shared" si="427"/>
        <v>41621</v>
      </c>
      <c r="I527" s="244"/>
      <c r="J527" s="194"/>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9"/>
      <c r="CD527" s="49"/>
      <c r="CE527" s="49"/>
      <c r="CF527" s="49"/>
      <c r="CG527" s="49"/>
      <c r="CH527" s="49"/>
      <c r="CI527" s="49"/>
      <c r="CJ527" s="49"/>
      <c r="CK527" s="49"/>
      <c r="CL527" s="49"/>
      <c r="CM527" s="49"/>
      <c r="CN527" s="49"/>
      <c r="CO527" s="49"/>
      <c r="CP527" s="49"/>
      <c r="CQ527" s="49"/>
      <c r="CR527" s="49"/>
      <c r="CS527" s="49"/>
      <c r="CT527" s="49"/>
      <c r="CU527" s="49"/>
      <c r="CV527" s="49"/>
      <c r="CW527" s="49"/>
      <c r="CX527" s="49"/>
      <c r="CY527" s="49"/>
      <c r="CZ527" s="49"/>
      <c r="DA527" s="49"/>
      <c r="DB527" s="49"/>
      <c r="DC527" s="49"/>
      <c r="DD527" s="49"/>
      <c r="DE527" s="49"/>
      <c r="DF527" s="49"/>
      <c r="DG527" s="49"/>
      <c r="DH527" s="49"/>
      <c r="DI527" s="49"/>
      <c r="DJ527" s="49"/>
      <c r="DK527" s="49"/>
      <c r="DL527" s="49"/>
      <c r="DM527" s="49"/>
      <c r="DN527" s="49"/>
      <c r="DO527" s="49"/>
      <c r="DP527" s="49"/>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c r="WP527"/>
      <c r="WQ527"/>
      <c r="WR527"/>
      <c r="WS527"/>
      <c r="WT527"/>
      <c r="WU527"/>
      <c r="WV527"/>
      <c r="WW527"/>
      <c r="WX527"/>
      <c r="WY527"/>
      <c r="WZ527"/>
      <c r="XA527"/>
      <c r="XB527"/>
      <c r="XC527"/>
      <c r="XD527"/>
      <c r="XE527"/>
      <c r="XF527"/>
      <c r="XG527"/>
      <c r="XH527"/>
      <c r="XI527"/>
      <c r="XJ527"/>
      <c r="XK527"/>
      <c r="XL527"/>
      <c r="XM527"/>
      <c r="XN527"/>
      <c r="XO527"/>
      <c r="XP527"/>
      <c r="XQ527"/>
      <c r="XR527"/>
      <c r="XS527"/>
      <c r="XT527"/>
      <c r="XU527"/>
      <c r="XV527"/>
      <c r="XW527"/>
      <c r="XX527"/>
      <c r="XY527"/>
      <c r="XZ527"/>
      <c r="YA527"/>
      <c r="YB527"/>
      <c r="YC527"/>
      <c r="YD527"/>
      <c r="YE527"/>
      <c r="YF527"/>
      <c r="YG527"/>
      <c r="YH527"/>
      <c r="YI527"/>
      <c r="YJ527"/>
      <c r="YK527"/>
      <c r="YL527"/>
      <c r="YM527"/>
      <c r="YN527"/>
      <c r="YO527"/>
      <c r="YP527"/>
      <c r="YQ527"/>
      <c r="YR527"/>
      <c r="YS527"/>
      <c r="YT527"/>
      <c r="YU527"/>
      <c r="YV527"/>
      <c r="YW527"/>
      <c r="YX527"/>
      <c r="YY527"/>
      <c r="YZ527"/>
      <c r="ZA527"/>
      <c r="ZB527"/>
      <c r="ZC527"/>
      <c r="ZD527"/>
      <c r="ZE527"/>
      <c r="ZF527"/>
      <c r="ZG527"/>
      <c r="ZH527"/>
      <c r="ZI527"/>
      <c r="ZJ527"/>
      <c r="ZK527"/>
      <c r="ZL527"/>
      <c r="ZM527"/>
      <c r="ZN527"/>
      <c r="ZO527"/>
      <c r="ZP527"/>
      <c r="ZQ527"/>
      <c r="ZR527"/>
      <c r="ZS527"/>
      <c r="ZT527"/>
      <c r="ZU527"/>
      <c r="ZV527"/>
      <c r="ZW527"/>
      <c r="ZX527"/>
      <c r="ZY527"/>
      <c r="ZZ527" s="52"/>
      <c r="AAA527" s="192" t="s">
        <v>0</v>
      </c>
      <c r="AAD527" s="90"/>
      <c r="AAE527" s="519">
        <f t="shared" si="423"/>
        <v>1</v>
      </c>
      <c r="AAF527" s="90"/>
      <c r="AAG527" s="73">
        <f>IF(AAE527=0,,S.Notice.OpenComment)</f>
        <v>41621</v>
      </c>
      <c r="AAH527" s="73">
        <f t="shared" si="429"/>
        <v>41621</v>
      </c>
      <c r="AAI527" s="72"/>
      <c r="AAJ527" s="72"/>
      <c r="AAK527" s="185" t="s">
        <v>0</v>
      </c>
      <c r="AAL527" s="90"/>
    </row>
    <row r="528" spans="1:715" s="23" customFormat="1" ht="15" customHeight="1" outlineLevel="1" thickBot="1">
      <c r="A528" s="171"/>
      <c r="B528" s="624" t="s">
        <v>409</v>
      </c>
      <c r="C528" s="513" t="s">
        <v>53</v>
      </c>
      <c r="D528" s="380"/>
      <c r="E528" s="397">
        <f t="shared" ref="E528" si="431">NETWORKDAYS(G528,H528,S.DDL_DEQClosed)</f>
        <v>1</v>
      </c>
      <c r="F528" s="457">
        <f t="shared" ref="F528" ca="1" si="432">IF(YEAR(H528)&gt;2000,NETWORKDAYS(TODAY(),H528,S.DDL_DEQClosed),0)</f>
        <v>33</v>
      </c>
      <c r="G528" s="400">
        <f t="shared" ref="G528" si="433">AAG528</f>
        <v>41621</v>
      </c>
      <c r="H528" s="487">
        <f t="shared" ref="H528" si="434">AAG528</f>
        <v>41621</v>
      </c>
      <c r="I528" s="244"/>
      <c r="J528" s="194"/>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9"/>
      <c r="CD528" s="49"/>
      <c r="CE528" s="49"/>
      <c r="CF528" s="49"/>
      <c r="CG528" s="49"/>
      <c r="CH528" s="49"/>
      <c r="CI528" s="49"/>
      <c r="CJ528" s="49"/>
      <c r="CK528" s="49"/>
      <c r="CL528" s="49"/>
      <c r="CM528" s="49"/>
      <c r="CN528" s="49"/>
      <c r="CO528" s="49"/>
      <c r="CP528" s="49"/>
      <c r="CQ528" s="49"/>
      <c r="CR528" s="49"/>
      <c r="CS528" s="49"/>
      <c r="CT528" s="49"/>
      <c r="CU528" s="49"/>
      <c r="CV528" s="49"/>
      <c r="CW528" s="49"/>
      <c r="CX528" s="49"/>
      <c r="CY528" s="49"/>
      <c r="CZ528" s="49"/>
      <c r="DA528" s="49"/>
      <c r="DB528" s="49"/>
      <c r="DC528" s="49"/>
      <c r="DD528" s="49"/>
      <c r="DE528" s="49"/>
      <c r="DF528" s="49"/>
      <c r="DG528" s="49"/>
      <c r="DH528" s="49"/>
      <c r="DI528" s="49"/>
      <c r="DJ528" s="49"/>
      <c r="DK528" s="49"/>
      <c r="DL528" s="49"/>
      <c r="DM528" s="49"/>
      <c r="DN528" s="49"/>
      <c r="DO528" s="49"/>
      <c r="DP528" s="49"/>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c r="WP528"/>
      <c r="WQ528"/>
      <c r="WR528"/>
      <c r="WS528"/>
      <c r="WT528"/>
      <c r="WU528"/>
      <c r="WV528"/>
      <c r="WW528"/>
      <c r="WX528"/>
      <c r="WY528"/>
      <c r="WZ528"/>
      <c r="XA528"/>
      <c r="XB528"/>
      <c r="XC528"/>
      <c r="XD528"/>
      <c r="XE528"/>
      <c r="XF528"/>
      <c r="XG528"/>
      <c r="XH528"/>
      <c r="XI528"/>
      <c r="XJ528"/>
      <c r="XK528"/>
      <c r="XL528"/>
      <c r="XM528"/>
      <c r="XN528"/>
      <c r="XO528"/>
      <c r="XP528"/>
      <c r="XQ528"/>
      <c r="XR528"/>
      <c r="XS528"/>
      <c r="XT528"/>
      <c r="XU528"/>
      <c r="XV528"/>
      <c r="XW528"/>
      <c r="XX528"/>
      <c r="XY528"/>
      <c r="XZ528"/>
      <c r="YA528"/>
      <c r="YB528"/>
      <c r="YC528"/>
      <c r="YD528"/>
      <c r="YE528"/>
      <c r="YF528"/>
      <c r="YG528"/>
      <c r="YH528"/>
      <c r="YI528"/>
      <c r="YJ528"/>
      <c r="YK528"/>
      <c r="YL528"/>
      <c r="YM528"/>
      <c r="YN528"/>
      <c r="YO528"/>
      <c r="YP528"/>
      <c r="YQ528"/>
      <c r="YR528"/>
      <c r="YS528"/>
      <c r="YT528"/>
      <c r="YU528"/>
      <c r="YV528"/>
      <c r="YW528"/>
      <c r="YX528"/>
      <c r="YY528"/>
      <c r="YZ528"/>
      <c r="ZA528"/>
      <c r="ZB528"/>
      <c r="ZC528"/>
      <c r="ZD528"/>
      <c r="ZE528"/>
      <c r="ZF528"/>
      <c r="ZG528"/>
      <c r="ZH528"/>
      <c r="ZI528"/>
      <c r="ZJ528"/>
      <c r="ZK528"/>
      <c r="ZL528"/>
      <c r="ZM528"/>
      <c r="ZN528"/>
      <c r="ZO528"/>
      <c r="ZP528"/>
      <c r="ZQ528"/>
      <c r="ZR528"/>
      <c r="ZS528"/>
      <c r="ZT528"/>
      <c r="ZU528"/>
      <c r="ZV528"/>
      <c r="ZW528"/>
      <c r="ZX528"/>
      <c r="ZY528"/>
      <c r="ZZ528" s="52"/>
      <c r="AAA528" s="192"/>
      <c r="AAD528" s="90"/>
      <c r="AAE528" s="519">
        <f t="shared" si="423"/>
        <v>1</v>
      </c>
      <c r="AAF528" s="90"/>
      <c r="AAG528" s="73">
        <f>IF(AAE528=0,,S.Notice.OpenComment)</f>
        <v>41621</v>
      </c>
      <c r="AAH528" s="73">
        <f t="shared" si="429"/>
        <v>41621</v>
      </c>
      <c r="AAI528" s="72"/>
      <c r="AAJ528" s="72"/>
      <c r="AAK528" s="185" t="s">
        <v>0</v>
      </c>
      <c r="AAL528" s="90"/>
    </row>
    <row r="529" spans="1:715" ht="15" customHeight="1" outlineLevel="1">
      <c r="A529" s="171"/>
      <c r="B529" s="612" t="s">
        <v>338</v>
      </c>
      <c r="C529" s="346"/>
      <c r="D529" s="357"/>
      <c r="E529" s="350"/>
      <c r="F529" s="350"/>
      <c r="G529" s="346"/>
      <c r="H529" s="346"/>
      <c r="I529" s="244"/>
      <c r="J529" s="194"/>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9"/>
      <c r="CD529" s="49"/>
      <c r="CE529" s="49"/>
      <c r="CF529" s="49"/>
      <c r="CG529" s="49"/>
      <c r="CH529" s="49"/>
      <c r="CI529" s="49"/>
      <c r="CJ529" s="49"/>
      <c r="CK529" s="49"/>
      <c r="CL529" s="49"/>
      <c r="CM529" s="49"/>
      <c r="CN529" s="49"/>
      <c r="CO529" s="49"/>
      <c r="CP529" s="49"/>
      <c r="CQ529" s="49"/>
      <c r="CR529" s="49"/>
      <c r="CS529" s="49"/>
      <c r="CT529" s="49"/>
      <c r="CU529" s="49"/>
      <c r="CV529" s="49"/>
      <c r="CW529" s="49"/>
      <c r="CX529" s="49"/>
      <c r="CY529" s="49"/>
      <c r="CZ529" s="49"/>
      <c r="DA529" s="49"/>
      <c r="DB529" s="49"/>
      <c r="DC529" s="49"/>
      <c r="DD529" s="49"/>
      <c r="DE529" s="49"/>
      <c r="DF529" s="49"/>
      <c r="DG529" s="49"/>
      <c r="DH529" s="49"/>
      <c r="DI529" s="49"/>
      <c r="DJ529" s="49"/>
      <c r="DK529" s="49"/>
      <c r="DL529" s="49"/>
      <c r="DM529" s="49"/>
      <c r="DN529" s="49"/>
      <c r="DO529" s="49"/>
      <c r="DP529" s="49"/>
      <c r="AAA529" s="192"/>
      <c r="AAD529" s="90"/>
      <c r="AAE529" s="519">
        <f t="shared" si="423"/>
        <v>1</v>
      </c>
      <c r="AAF529" s="190" t="s">
        <v>52</v>
      </c>
      <c r="AAG529" s="71"/>
      <c r="AAH529" s="71"/>
      <c r="AAI529" s="72"/>
      <c r="AAJ529" s="72"/>
      <c r="AAK529" s="491"/>
      <c r="AAL529" s="90"/>
      <c r="AAM529"/>
    </row>
    <row r="530" spans="1:715" ht="15" customHeight="1" outlineLevel="1">
      <c r="A530" s="171"/>
      <c r="B530" s="612" t="s">
        <v>339</v>
      </c>
      <c r="C530" s="346"/>
      <c r="D530" s="357"/>
      <c r="E530" s="350"/>
      <c r="F530" s="350"/>
      <c r="G530" s="346"/>
      <c r="H530" s="346"/>
      <c r="I530" s="244"/>
      <c r="J530" s="194"/>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9"/>
      <c r="CD530" s="49"/>
      <c r="CE530" s="49"/>
      <c r="CF530" s="49"/>
      <c r="CG530" s="49"/>
      <c r="CH530" s="49"/>
      <c r="CI530" s="49"/>
      <c r="CJ530" s="49"/>
      <c r="CK530" s="49"/>
      <c r="CL530" s="49"/>
      <c r="CM530" s="49"/>
      <c r="CN530" s="49"/>
      <c r="CO530" s="49"/>
      <c r="CP530" s="49"/>
      <c r="CQ530" s="49"/>
      <c r="CR530" s="49"/>
      <c r="CS530" s="49"/>
      <c r="CT530" s="49"/>
      <c r="CU530" s="49"/>
      <c r="CV530" s="49"/>
      <c r="CW530" s="49"/>
      <c r="CX530" s="49"/>
      <c r="CY530" s="49"/>
      <c r="CZ530" s="49"/>
      <c r="DA530" s="49"/>
      <c r="DB530" s="49"/>
      <c r="DC530" s="49"/>
      <c r="DD530" s="49"/>
      <c r="DE530" s="49"/>
      <c r="DF530" s="49"/>
      <c r="DG530" s="49"/>
      <c r="DH530" s="49"/>
      <c r="DI530" s="49"/>
      <c r="DJ530" s="49"/>
      <c r="DK530" s="49"/>
      <c r="DL530" s="49"/>
      <c r="DM530" s="49"/>
      <c r="DN530" s="49"/>
      <c r="DO530" s="49"/>
      <c r="DP530" s="49"/>
      <c r="AAA530" s="192"/>
      <c r="AAD530" s="90"/>
      <c r="AAE530" s="519">
        <f t="shared" si="423"/>
        <v>1</v>
      </c>
      <c r="AAF530" s="190" t="s">
        <v>52</v>
      </c>
      <c r="AAG530" s="71"/>
      <c r="AAH530" s="71"/>
      <c r="AAI530" s="72"/>
      <c r="AAJ530" s="72"/>
      <c r="AAK530" s="491"/>
      <c r="AAL530" s="90"/>
      <c r="AAM530"/>
    </row>
    <row r="531" spans="1:715" ht="15" customHeight="1" outlineLevel="1">
      <c r="A531" s="171"/>
      <c r="B531" s="612" t="s">
        <v>365</v>
      </c>
      <c r="C531" s="346"/>
      <c r="D531" s="357"/>
      <c r="E531" s="350"/>
      <c r="F531" s="350"/>
      <c r="G531" s="346"/>
      <c r="H531" s="346"/>
      <c r="I531" s="244"/>
      <c r="J531" s="194"/>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9"/>
      <c r="CD531" s="49"/>
      <c r="CE531" s="49"/>
      <c r="CF531" s="49"/>
      <c r="CG531" s="49"/>
      <c r="CH531" s="49"/>
      <c r="CI531" s="49"/>
      <c r="CJ531" s="49"/>
      <c r="CK531" s="49"/>
      <c r="CL531" s="49"/>
      <c r="CM531" s="49"/>
      <c r="CN531" s="49"/>
      <c r="CO531" s="49"/>
      <c r="CP531" s="49"/>
      <c r="CQ531" s="49"/>
      <c r="CR531" s="49"/>
      <c r="CS531" s="49"/>
      <c r="CT531" s="49"/>
      <c r="CU531" s="49"/>
      <c r="CV531" s="49"/>
      <c r="CW531" s="49"/>
      <c r="CX531" s="49"/>
      <c r="CY531" s="49"/>
      <c r="CZ531" s="49"/>
      <c r="DA531" s="49"/>
      <c r="DB531" s="49"/>
      <c r="DC531" s="49"/>
      <c r="DD531" s="49"/>
      <c r="DE531" s="49"/>
      <c r="DF531" s="49"/>
      <c r="DG531" s="49"/>
      <c r="DH531" s="49"/>
      <c r="DI531" s="49"/>
      <c r="DJ531" s="49"/>
      <c r="DK531" s="49"/>
      <c r="DL531" s="49"/>
      <c r="DM531" s="49"/>
      <c r="DN531" s="49"/>
      <c r="DO531" s="49"/>
      <c r="DP531" s="49"/>
      <c r="AAA531" s="192"/>
      <c r="AAD531" s="90"/>
      <c r="AAE531" s="519">
        <f t="shared" si="423"/>
        <v>1</v>
      </c>
      <c r="AAF531" s="190" t="s">
        <v>52</v>
      </c>
      <c r="AAG531" s="71"/>
      <c r="AAH531" s="71"/>
      <c r="AAI531" s="72"/>
      <c r="AAJ531" s="72"/>
      <c r="AAK531" s="491"/>
      <c r="AAL531" s="90"/>
      <c r="AAM531"/>
    </row>
    <row r="532" spans="1:715" s="23" customFormat="1" ht="15" customHeight="1" outlineLevel="1">
      <c r="A532" s="171"/>
      <c r="B532" s="641" t="str">
        <f>AAK532</f>
        <v>AndreaDRC:</v>
      </c>
      <c r="C532" s="346"/>
      <c r="D532" s="357"/>
      <c r="E532" s="350"/>
      <c r="F532" s="350"/>
      <c r="G532" s="346"/>
      <c r="H532" s="346"/>
      <c r="I532" s="244"/>
      <c r="J532" s="194"/>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9"/>
      <c r="CD532" s="49"/>
      <c r="CE532" s="49"/>
      <c r="CF532" s="49"/>
      <c r="CG532" s="49"/>
      <c r="CH532" s="49"/>
      <c r="CI532" s="49"/>
      <c r="CJ532" s="49"/>
      <c r="CK532" s="49"/>
      <c r="CL532" s="49"/>
      <c r="CM532" s="49"/>
      <c r="CN532" s="49"/>
      <c r="CO532" s="49"/>
      <c r="CP532" s="49"/>
      <c r="CQ532" s="49"/>
      <c r="CR532" s="49"/>
      <c r="CS532" s="49"/>
      <c r="CT532" s="49"/>
      <c r="CU532" s="49"/>
      <c r="CV532" s="49"/>
      <c r="CW532" s="49"/>
      <c r="CX532" s="49"/>
      <c r="CY532" s="49"/>
      <c r="CZ532" s="49"/>
      <c r="DA532" s="49"/>
      <c r="DB532" s="49"/>
      <c r="DC532" s="49"/>
      <c r="DD532" s="49"/>
      <c r="DE532" s="49"/>
      <c r="DF532" s="49"/>
      <c r="DG532" s="49"/>
      <c r="DH532" s="49"/>
      <c r="DI532" s="49"/>
      <c r="DJ532" s="49"/>
      <c r="DK532" s="49"/>
      <c r="DL532" s="49"/>
      <c r="DM532" s="49"/>
      <c r="DN532" s="49"/>
      <c r="DO532" s="49"/>
      <c r="DP532" s="49"/>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c r="IW532"/>
      <c r="IX532"/>
      <c r="IY532"/>
      <c r="IZ532"/>
      <c r="JA532"/>
      <c r="JB532"/>
      <c r="JC532"/>
      <c r="JD532"/>
      <c r="JE532"/>
      <c r="JF532"/>
      <c r="JG532"/>
      <c r="JH532"/>
      <c r="JI532"/>
      <c r="JJ532"/>
      <c r="JK532"/>
      <c r="JL532"/>
      <c r="JM532"/>
      <c r="JN532"/>
      <c r="JO532"/>
      <c r="JP532"/>
      <c r="JQ532"/>
      <c r="JR532"/>
      <c r="JS532"/>
      <c r="JT532"/>
      <c r="JU532"/>
      <c r="JV532"/>
      <c r="JW532"/>
      <c r="JX532"/>
      <c r="JY532"/>
      <c r="JZ532"/>
      <c r="KA532"/>
      <c r="KB532"/>
      <c r="KC532"/>
      <c r="KD532"/>
      <c r="KE532"/>
      <c r="KF532"/>
      <c r="KG532"/>
      <c r="KH532"/>
      <c r="KI532"/>
      <c r="KJ532"/>
      <c r="KK532"/>
      <c r="KL532"/>
      <c r="KM532"/>
      <c r="KN532"/>
      <c r="KO532"/>
      <c r="KP532"/>
      <c r="KQ532"/>
      <c r="KR532"/>
      <c r="KS532"/>
      <c r="KT532"/>
      <c r="KU532"/>
      <c r="KV532"/>
      <c r="KW532"/>
      <c r="KX532"/>
      <c r="KY532"/>
      <c r="KZ532"/>
      <c r="LA532"/>
      <c r="LB532"/>
      <c r="LC532"/>
      <c r="LD532"/>
      <c r="LE532"/>
      <c r="LF532"/>
      <c r="LG532"/>
      <c r="LH532"/>
      <c r="LI532"/>
      <c r="LJ532"/>
      <c r="LK532"/>
      <c r="LL532"/>
      <c r="LM532"/>
      <c r="LN532"/>
      <c r="LO532"/>
      <c r="LP532"/>
      <c r="LQ532"/>
      <c r="LR532"/>
      <c r="LS532"/>
      <c r="LT532"/>
      <c r="LU532"/>
      <c r="LV532"/>
      <c r="LW532"/>
      <c r="LX532"/>
      <c r="LY532"/>
      <c r="LZ532"/>
      <c r="MA532"/>
      <c r="MB532"/>
      <c r="MC532"/>
      <c r="MD532"/>
      <c r="ME532"/>
      <c r="MF532"/>
      <c r="MG532"/>
      <c r="MH532"/>
      <c r="MI532"/>
      <c r="MJ532"/>
      <c r="MK532"/>
      <c r="ML532"/>
      <c r="MM532"/>
      <c r="MN532"/>
      <c r="MO532"/>
      <c r="MP532"/>
      <c r="MQ532"/>
      <c r="MR532"/>
      <c r="MS532"/>
      <c r="MT532"/>
      <c r="MU532"/>
      <c r="MV532"/>
      <c r="MW532"/>
      <c r="MX532"/>
      <c r="MY532"/>
      <c r="MZ532"/>
      <c r="NA532"/>
      <c r="NB532"/>
      <c r="NC532"/>
      <c r="ND532"/>
      <c r="NE532"/>
      <c r="NF532"/>
      <c r="NG532"/>
      <c r="NH532"/>
      <c r="NI532"/>
      <c r="NJ532"/>
      <c r="NK532"/>
      <c r="NL532"/>
      <c r="NM532"/>
      <c r="NN532"/>
      <c r="NO532"/>
      <c r="NP532"/>
      <c r="NQ532"/>
      <c r="NR532"/>
      <c r="NS532"/>
      <c r="NT532"/>
      <c r="NU532"/>
      <c r="NV532"/>
      <c r="NW532"/>
      <c r="NX532"/>
      <c r="NY532"/>
      <c r="NZ532"/>
      <c r="OA532"/>
      <c r="OB532"/>
      <c r="OC532"/>
      <c r="OD532"/>
      <c r="OE532"/>
      <c r="OF532"/>
      <c r="OG532"/>
      <c r="OH532"/>
      <c r="OI532"/>
      <c r="OJ532"/>
      <c r="OK532"/>
      <c r="OL532"/>
      <c r="OM532"/>
      <c r="ON532"/>
      <c r="OO532"/>
      <c r="OP532"/>
      <c r="OQ532"/>
      <c r="OR532"/>
      <c r="OS532"/>
      <c r="OT532"/>
      <c r="OU532"/>
      <c r="OV532"/>
      <c r="OW532"/>
      <c r="OX532"/>
      <c r="OY532"/>
      <c r="OZ532"/>
      <c r="PA532"/>
      <c r="PB532"/>
      <c r="PC532"/>
      <c r="PD532"/>
      <c r="PE532"/>
      <c r="PF532"/>
      <c r="PG532"/>
      <c r="PH532"/>
      <c r="PI532"/>
      <c r="PJ532"/>
      <c r="PK532"/>
      <c r="PL532"/>
      <c r="PM532"/>
      <c r="PN532"/>
      <c r="PO532"/>
      <c r="PP532"/>
      <c r="PQ532"/>
      <c r="PR532"/>
      <c r="PS532"/>
      <c r="PT532"/>
      <c r="PU532"/>
      <c r="PV532"/>
      <c r="PW532"/>
      <c r="PX532"/>
      <c r="PY532"/>
      <c r="PZ532"/>
      <c r="QA532"/>
      <c r="QB532"/>
      <c r="QC532"/>
      <c r="QD532"/>
      <c r="QE532"/>
      <c r="QF532"/>
      <c r="QG532"/>
      <c r="QH532"/>
      <c r="QI532"/>
      <c r="QJ532"/>
      <c r="QK532"/>
      <c r="QL532"/>
      <c r="QM532"/>
      <c r="QN532"/>
      <c r="QO532"/>
      <c r="QP532"/>
      <c r="QQ532"/>
      <c r="QR532"/>
      <c r="QS532"/>
      <c r="QT532"/>
      <c r="QU532"/>
      <c r="QV532"/>
      <c r="QW532"/>
      <c r="QX532"/>
      <c r="QY532"/>
      <c r="QZ532"/>
      <c r="RA532"/>
      <c r="RB532"/>
      <c r="RC532"/>
      <c r="RD532"/>
      <c r="RE532"/>
      <c r="RF532"/>
      <c r="RG532"/>
      <c r="RH532"/>
      <c r="RI532"/>
      <c r="RJ532"/>
      <c r="RK532"/>
      <c r="RL532"/>
      <c r="RM532"/>
      <c r="RN532"/>
      <c r="RO532"/>
      <c r="RP532"/>
      <c r="RQ532"/>
      <c r="RR532"/>
      <c r="RS532"/>
      <c r="RT532"/>
      <c r="RU532"/>
      <c r="RV532"/>
      <c r="RW532"/>
      <c r="RX532"/>
      <c r="RY532"/>
      <c r="RZ532"/>
      <c r="SA532"/>
      <c r="SB532"/>
      <c r="SC532"/>
      <c r="SD532"/>
      <c r="SE532"/>
      <c r="SF532"/>
      <c r="SG532"/>
      <c r="SH532"/>
      <c r="SI532"/>
      <c r="SJ532"/>
      <c r="SK532"/>
      <c r="SL532"/>
      <c r="SM532"/>
      <c r="SN532"/>
      <c r="SO532"/>
      <c r="SP532"/>
      <c r="SQ532"/>
      <c r="SR532"/>
      <c r="SS532"/>
      <c r="ST532"/>
      <c r="SU532"/>
      <c r="SV532"/>
      <c r="SW532"/>
      <c r="SX532"/>
      <c r="SY532"/>
      <c r="SZ532"/>
      <c r="TA532"/>
      <c r="TB532"/>
      <c r="TC532"/>
      <c r="TD532"/>
      <c r="TE532"/>
      <c r="TF532"/>
      <c r="TG532"/>
      <c r="TH532"/>
      <c r="TI532"/>
      <c r="TJ532"/>
      <c r="TK532"/>
      <c r="TL532"/>
      <c r="TM532"/>
      <c r="TN532"/>
      <c r="TO532"/>
      <c r="TP532"/>
      <c r="TQ532"/>
      <c r="TR532"/>
      <c r="TS532"/>
      <c r="TT532"/>
      <c r="TU532"/>
      <c r="TV532"/>
      <c r="TW532"/>
      <c r="TX532"/>
      <c r="TY532"/>
      <c r="TZ532"/>
      <c r="UA532"/>
      <c r="UB532"/>
      <c r="UC532"/>
      <c r="UD532"/>
      <c r="UE532"/>
      <c r="UF532"/>
      <c r="UG532"/>
      <c r="UH532"/>
      <c r="UI532"/>
      <c r="UJ532"/>
      <c r="UK532"/>
      <c r="UL532"/>
      <c r="UM532"/>
      <c r="UN532"/>
      <c r="UO532"/>
      <c r="UP532"/>
      <c r="UQ532"/>
      <c r="UR532"/>
      <c r="US532"/>
      <c r="UT532"/>
      <c r="UU532"/>
      <c r="UV532"/>
      <c r="UW532"/>
      <c r="UX532"/>
      <c r="UY532"/>
      <c r="UZ532"/>
      <c r="VA532"/>
      <c r="VB532"/>
      <c r="VC532"/>
      <c r="VD532"/>
      <c r="VE532"/>
      <c r="VF532"/>
      <c r="VG532"/>
      <c r="VH532"/>
      <c r="VI532"/>
      <c r="VJ532"/>
      <c r="VK532"/>
      <c r="VL532"/>
      <c r="VM532"/>
      <c r="VN532"/>
      <c r="VO532"/>
      <c r="VP532"/>
      <c r="VQ532"/>
      <c r="VR532"/>
      <c r="VS532"/>
      <c r="VT532"/>
      <c r="VU532"/>
      <c r="VV532"/>
      <c r="VW532"/>
      <c r="VX532"/>
      <c r="VY532"/>
      <c r="VZ532"/>
      <c r="WA532"/>
      <c r="WB532"/>
      <c r="WC532"/>
      <c r="WD532"/>
      <c r="WE532"/>
      <c r="WF532"/>
      <c r="WG532"/>
      <c r="WH532"/>
      <c r="WI532"/>
      <c r="WJ532"/>
      <c r="WK532"/>
      <c r="WL532"/>
      <c r="WM532"/>
      <c r="WN532"/>
      <c r="WO532"/>
      <c r="WP532"/>
      <c r="WQ532"/>
      <c r="WR532"/>
      <c r="WS532"/>
      <c r="WT532"/>
      <c r="WU532"/>
      <c r="WV532"/>
      <c r="WW532"/>
      <c r="WX532"/>
      <c r="WY532"/>
      <c r="WZ532"/>
      <c r="XA532"/>
      <c r="XB532"/>
      <c r="XC532"/>
      <c r="XD532"/>
      <c r="XE532"/>
      <c r="XF532"/>
      <c r="XG532"/>
      <c r="XH532"/>
      <c r="XI532"/>
      <c r="XJ532"/>
      <c r="XK532"/>
      <c r="XL532"/>
      <c r="XM532"/>
      <c r="XN532"/>
      <c r="XO532"/>
      <c r="XP532"/>
      <c r="XQ532"/>
      <c r="XR532"/>
      <c r="XS532"/>
      <c r="XT532"/>
      <c r="XU532"/>
      <c r="XV532"/>
      <c r="XW532"/>
      <c r="XX532"/>
      <c r="XY532"/>
      <c r="XZ532"/>
      <c r="YA532"/>
      <c r="YB532"/>
      <c r="YC532"/>
      <c r="YD532"/>
      <c r="YE532"/>
      <c r="YF532"/>
      <c r="YG532"/>
      <c r="YH532"/>
      <c r="YI532"/>
      <c r="YJ532"/>
      <c r="YK532"/>
      <c r="YL532"/>
      <c r="YM532"/>
      <c r="YN532"/>
      <c r="YO532"/>
      <c r="YP532"/>
      <c r="YQ532"/>
      <c r="YR532"/>
      <c r="YS532"/>
      <c r="YT532"/>
      <c r="YU532"/>
      <c r="YV532"/>
      <c r="YW532"/>
      <c r="YX532"/>
      <c r="YY532"/>
      <c r="YZ532"/>
      <c r="ZA532"/>
      <c r="ZB532"/>
      <c r="ZC532"/>
      <c r="ZD532"/>
      <c r="ZE532"/>
      <c r="ZF532"/>
      <c r="ZG532"/>
      <c r="ZH532"/>
      <c r="ZI532"/>
      <c r="ZJ532"/>
      <c r="ZK532"/>
      <c r="ZL532"/>
      <c r="ZM532"/>
      <c r="ZN532"/>
      <c r="ZO532"/>
      <c r="ZP532"/>
      <c r="ZQ532"/>
      <c r="ZR532"/>
      <c r="ZS532"/>
      <c r="ZT532"/>
      <c r="ZU532"/>
      <c r="ZV532"/>
      <c r="ZW532"/>
      <c r="ZX532"/>
      <c r="ZY532"/>
      <c r="ZZ532" s="52"/>
      <c r="AAA532" s="192"/>
      <c r="AAD532" s="90"/>
      <c r="AAE532" s="519">
        <f t="shared" si="423"/>
        <v>1</v>
      </c>
      <c r="AAF532" s="190" t="s">
        <v>52</v>
      </c>
      <c r="AAG532" s="71"/>
      <c r="AAH532" s="71"/>
      <c r="AAI532" s="72"/>
      <c r="AAJ532" s="72"/>
      <c r="AAK532" s="254" t="str">
        <f>S.Staff.DivisionRulesCoordinator&amp;":"</f>
        <v>AndreaDRC:</v>
      </c>
      <c r="AAL532" s="90"/>
    </row>
    <row r="533" spans="1:715" ht="15" customHeight="1" outlineLevel="1">
      <c r="A533" s="171"/>
      <c r="B533" s="304" t="s">
        <v>353</v>
      </c>
      <c r="C533" s="376" t="s">
        <v>0</v>
      </c>
      <c r="D533" s="380"/>
      <c r="E533" s="644">
        <f t="shared" ref="E533" si="435">NETWORKDAYS(G533,H533,S.DDL_DEQClosed)</f>
        <v>1</v>
      </c>
      <c r="F533" s="575">
        <f t="shared" ref="F533" ca="1" si="436">IF(YEAR(H533)&gt;2000,NETWORKDAYS(TODAY(),H533,S.DDL_DEQClosed),0)</f>
        <v>33</v>
      </c>
      <c r="G533" s="400">
        <f t="shared" ref="G533" si="437">AAG533</f>
        <v>41621</v>
      </c>
      <c r="H533" s="645">
        <f t="shared" ref="H533" si="438">AAH533</f>
        <v>41621</v>
      </c>
      <c r="I533" s="244"/>
      <c r="J533" s="194"/>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c r="DL533" s="49"/>
      <c r="DM533" s="49"/>
      <c r="DN533" s="49"/>
      <c r="DO533" s="49"/>
      <c r="DP533" s="49"/>
      <c r="AAA533" s="192"/>
      <c r="AAD533" s="90"/>
      <c r="AAE533" s="519">
        <f t="shared" si="423"/>
        <v>1</v>
      </c>
      <c r="AAF533" s="90"/>
      <c r="AAG533" s="73">
        <f>IF(AAE533=0,,S.Notice.OpenComment)</f>
        <v>41621</v>
      </c>
      <c r="AAH533" s="73">
        <f t="shared" ref="AAH533" si="439">IF(AAE533=0,,G533)</f>
        <v>41621</v>
      </c>
      <c r="AAI533" s="72"/>
      <c r="AAJ533" s="72"/>
      <c r="AAK533" s="491"/>
      <c r="AAL533" s="90"/>
      <c r="AAM533"/>
    </row>
    <row r="534" spans="1:715" s="23" customFormat="1" ht="15" customHeight="1" outlineLevel="1" thickBot="1">
      <c r="A534" s="171"/>
      <c r="B534" s="304" t="str">
        <f>AAK534</f>
        <v>* copies AndreaRW</v>
      </c>
      <c r="C534" s="376" t="s">
        <v>0</v>
      </c>
      <c r="D534" s="380"/>
      <c r="E534"/>
      <c r="F534"/>
      <c r="G534"/>
      <c r="H534"/>
      <c r="I534" s="244"/>
      <c r="J534" s="194"/>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9"/>
      <c r="CD534" s="49"/>
      <c r="CE534" s="49"/>
      <c r="CF534" s="49"/>
      <c r="CG534" s="49"/>
      <c r="CH534" s="49"/>
      <c r="CI534" s="49"/>
      <c r="CJ534" s="49"/>
      <c r="CK534" s="49"/>
      <c r="CL534" s="49"/>
      <c r="CM534" s="49"/>
      <c r="CN534" s="49"/>
      <c r="CO534" s="49"/>
      <c r="CP534" s="49"/>
      <c r="CQ534" s="49"/>
      <c r="CR534" s="49"/>
      <c r="CS534" s="49"/>
      <c r="CT534" s="49"/>
      <c r="CU534" s="49"/>
      <c r="CV534" s="49"/>
      <c r="CW534" s="49"/>
      <c r="CX534" s="49"/>
      <c r="CY534" s="49"/>
      <c r="CZ534" s="49"/>
      <c r="DA534" s="49"/>
      <c r="DB534" s="49"/>
      <c r="DC534" s="49"/>
      <c r="DD534" s="49"/>
      <c r="DE534" s="49"/>
      <c r="DF534" s="49"/>
      <c r="DG534" s="49"/>
      <c r="DH534" s="49"/>
      <c r="DI534" s="49"/>
      <c r="DJ534" s="49"/>
      <c r="DK534" s="49"/>
      <c r="DL534" s="49"/>
      <c r="DM534" s="49"/>
      <c r="DN534" s="49"/>
      <c r="DO534" s="49"/>
      <c r="DP534" s="49"/>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c r="IW534"/>
      <c r="IX534"/>
      <c r="IY534"/>
      <c r="IZ534"/>
      <c r="JA534"/>
      <c r="JB534"/>
      <c r="JC534"/>
      <c r="JD534"/>
      <c r="JE534"/>
      <c r="JF534"/>
      <c r="JG534"/>
      <c r="JH534"/>
      <c r="JI534"/>
      <c r="JJ534"/>
      <c r="JK534"/>
      <c r="JL534"/>
      <c r="JM534"/>
      <c r="JN534"/>
      <c r="JO534"/>
      <c r="JP534"/>
      <c r="JQ534"/>
      <c r="JR534"/>
      <c r="JS534"/>
      <c r="JT534"/>
      <c r="JU534"/>
      <c r="JV534"/>
      <c r="JW534"/>
      <c r="JX534"/>
      <c r="JY534"/>
      <c r="JZ534"/>
      <c r="KA534"/>
      <c r="KB534"/>
      <c r="KC534"/>
      <c r="KD534"/>
      <c r="KE534"/>
      <c r="KF534"/>
      <c r="KG534"/>
      <c r="KH534"/>
      <c r="KI534"/>
      <c r="KJ534"/>
      <c r="KK534"/>
      <c r="KL534"/>
      <c r="KM534"/>
      <c r="KN534"/>
      <c r="KO534"/>
      <c r="KP534"/>
      <c r="KQ534"/>
      <c r="KR534"/>
      <c r="KS534"/>
      <c r="KT534"/>
      <c r="KU534"/>
      <c r="KV534"/>
      <c r="KW534"/>
      <c r="KX534"/>
      <c r="KY534"/>
      <c r="KZ534"/>
      <c r="LA534"/>
      <c r="LB534"/>
      <c r="LC534"/>
      <c r="LD534"/>
      <c r="LE534"/>
      <c r="LF534"/>
      <c r="LG534"/>
      <c r="LH534"/>
      <c r="LI534"/>
      <c r="LJ534"/>
      <c r="LK534"/>
      <c r="LL534"/>
      <c r="LM534"/>
      <c r="LN534"/>
      <c r="LO534"/>
      <c r="LP534"/>
      <c r="LQ534"/>
      <c r="LR534"/>
      <c r="LS534"/>
      <c r="LT534"/>
      <c r="LU534"/>
      <c r="LV534"/>
      <c r="LW534"/>
      <c r="LX534"/>
      <c r="LY534"/>
      <c r="LZ534"/>
      <c r="MA534"/>
      <c r="MB534"/>
      <c r="MC534"/>
      <c r="MD534"/>
      <c r="ME534"/>
      <c r="MF534"/>
      <c r="MG534"/>
      <c r="MH534"/>
      <c r="MI534"/>
      <c r="MJ534"/>
      <c r="MK534"/>
      <c r="ML534"/>
      <c r="MM534"/>
      <c r="MN534"/>
      <c r="MO534"/>
      <c r="MP534"/>
      <c r="MQ534"/>
      <c r="MR534"/>
      <c r="MS534"/>
      <c r="MT534"/>
      <c r="MU534"/>
      <c r="MV534"/>
      <c r="MW534"/>
      <c r="MX534"/>
      <c r="MY534"/>
      <c r="MZ534"/>
      <c r="NA534"/>
      <c r="NB534"/>
      <c r="NC534"/>
      <c r="ND534"/>
      <c r="NE534"/>
      <c r="NF534"/>
      <c r="NG534"/>
      <c r="NH534"/>
      <c r="NI534"/>
      <c r="NJ534"/>
      <c r="NK534"/>
      <c r="NL534"/>
      <c r="NM534"/>
      <c r="NN534"/>
      <c r="NO534"/>
      <c r="NP534"/>
      <c r="NQ534"/>
      <c r="NR534"/>
      <c r="NS534"/>
      <c r="NT534"/>
      <c r="NU534"/>
      <c r="NV534"/>
      <c r="NW534"/>
      <c r="NX534"/>
      <c r="NY534"/>
      <c r="NZ534"/>
      <c r="OA534"/>
      <c r="OB534"/>
      <c r="OC534"/>
      <c r="OD534"/>
      <c r="OE534"/>
      <c r="OF534"/>
      <c r="OG534"/>
      <c r="OH534"/>
      <c r="OI534"/>
      <c r="OJ534"/>
      <c r="OK534"/>
      <c r="OL534"/>
      <c r="OM534"/>
      <c r="ON534"/>
      <c r="OO534"/>
      <c r="OP534"/>
      <c r="OQ534"/>
      <c r="OR534"/>
      <c r="OS534"/>
      <c r="OT534"/>
      <c r="OU534"/>
      <c r="OV534"/>
      <c r="OW534"/>
      <c r="OX534"/>
      <c r="OY534"/>
      <c r="OZ534"/>
      <c r="PA534"/>
      <c r="PB534"/>
      <c r="PC534"/>
      <c r="PD534"/>
      <c r="PE534"/>
      <c r="PF534"/>
      <c r="PG534"/>
      <c r="PH534"/>
      <c r="PI534"/>
      <c r="PJ534"/>
      <c r="PK534"/>
      <c r="PL534"/>
      <c r="PM534"/>
      <c r="PN534"/>
      <c r="PO534"/>
      <c r="PP534"/>
      <c r="PQ534"/>
      <c r="PR534"/>
      <c r="PS534"/>
      <c r="PT534"/>
      <c r="PU534"/>
      <c r="PV534"/>
      <c r="PW534"/>
      <c r="PX534"/>
      <c r="PY534"/>
      <c r="PZ534"/>
      <c r="QA534"/>
      <c r="QB534"/>
      <c r="QC534"/>
      <c r="QD534"/>
      <c r="QE534"/>
      <c r="QF534"/>
      <c r="QG534"/>
      <c r="QH534"/>
      <c r="QI534"/>
      <c r="QJ534"/>
      <c r="QK534"/>
      <c r="QL534"/>
      <c r="QM534"/>
      <c r="QN534"/>
      <c r="QO534"/>
      <c r="QP534"/>
      <c r="QQ534"/>
      <c r="QR534"/>
      <c r="QS534"/>
      <c r="QT534"/>
      <c r="QU534"/>
      <c r="QV534"/>
      <c r="QW534"/>
      <c r="QX534"/>
      <c r="QY534"/>
      <c r="QZ534"/>
      <c r="RA534"/>
      <c r="RB534"/>
      <c r="RC534"/>
      <c r="RD534"/>
      <c r="RE534"/>
      <c r="RF534"/>
      <c r="RG534"/>
      <c r="RH534"/>
      <c r="RI534"/>
      <c r="RJ534"/>
      <c r="RK534"/>
      <c r="RL534"/>
      <c r="RM534"/>
      <c r="RN534"/>
      <c r="RO534"/>
      <c r="RP534"/>
      <c r="RQ534"/>
      <c r="RR534"/>
      <c r="RS534"/>
      <c r="RT534"/>
      <c r="RU534"/>
      <c r="RV534"/>
      <c r="RW534"/>
      <c r="RX534"/>
      <c r="RY534"/>
      <c r="RZ534"/>
      <c r="SA534"/>
      <c r="SB534"/>
      <c r="SC534"/>
      <c r="SD534"/>
      <c r="SE534"/>
      <c r="SF534"/>
      <c r="SG534"/>
      <c r="SH534"/>
      <c r="SI534"/>
      <c r="SJ534"/>
      <c r="SK534"/>
      <c r="SL534"/>
      <c r="SM534"/>
      <c r="SN534"/>
      <c r="SO534"/>
      <c r="SP534"/>
      <c r="SQ534"/>
      <c r="SR534"/>
      <c r="SS534"/>
      <c r="ST534"/>
      <c r="SU534"/>
      <c r="SV534"/>
      <c r="SW534"/>
      <c r="SX534"/>
      <c r="SY534"/>
      <c r="SZ534"/>
      <c r="TA534"/>
      <c r="TB534"/>
      <c r="TC534"/>
      <c r="TD534"/>
      <c r="TE534"/>
      <c r="TF534"/>
      <c r="TG534"/>
      <c r="TH534"/>
      <c r="TI534"/>
      <c r="TJ534"/>
      <c r="TK534"/>
      <c r="TL534"/>
      <c r="TM534"/>
      <c r="TN534"/>
      <c r="TO534"/>
      <c r="TP534"/>
      <c r="TQ534"/>
      <c r="TR534"/>
      <c r="TS534"/>
      <c r="TT534"/>
      <c r="TU534"/>
      <c r="TV534"/>
      <c r="TW534"/>
      <c r="TX534"/>
      <c r="TY534"/>
      <c r="TZ534"/>
      <c r="UA534"/>
      <c r="UB534"/>
      <c r="UC534"/>
      <c r="UD534"/>
      <c r="UE534"/>
      <c r="UF534"/>
      <c r="UG534"/>
      <c r="UH534"/>
      <c r="UI534"/>
      <c r="UJ534"/>
      <c r="UK534"/>
      <c r="UL534"/>
      <c r="UM534"/>
      <c r="UN534"/>
      <c r="UO534"/>
      <c r="UP534"/>
      <c r="UQ534"/>
      <c r="UR534"/>
      <c r="US534"/>
      <c r="UT534"/>
      <c r="UU534"/>
      <c r="UV534"/>
      <c r="UW534"/>
      <c r="UX534"/>
      <c r="UY534"/>
      <c r="UZ534"/>
      <c r="VA534"/>
      <c r="VB534"/>
      <c r="VC534"/>
      <c r="VD534"/>
      <c r="VE534"/>
      <c r="VF534"/>
      <c r="VG534"/>
      <c r="VH534"/>
      <c r="VI534"/>
      <c r="VJ534"/>
      <c r="VK534"/>
      <c r="VL534"/>
      <c r="VM534"/>
      <c r="VN534"/>
      <c r="VO534"/>
      <c r="VP534"/>
      <c r="VQ534"/>
      <c r="VR534"/>
      <c r="VS534"/>
      <c r="VT534"/>
      <c r="VU534"/>
      <c r="VV534"/>
      <c r="VW534"/>
      <c r="VX534"/>
      <c r="VY534"/>
      <c r="VZ534"/>
      <c r="WA534"/>
      <c r="WB534"/>
      <c r="WC534"/>
      <c r="WD534"/>
      <c r="WE534"/>
      <c r="WF534"/>
      <c r="WG534"/>
      <c r="WH534"/>
      <c r="WI534"/>
      <c r="WJ534"/>
      <c r="WK534"/>
      <c r="WL534"/>
      <c r="WM534"/>
      <c r="WN534"/>
      <c r="WO534"/>
      <c r="WP534"/>
      <c r="WQ534"/>
      <c r="WR534"/>
      <c r="WS534"/>
      <c r="WT534"/>
      <c r="WU534"/>
      <c r="WV534"/>
      <c r="WW534"/>
      <c r="WX534"/>
      <c r="WY534"/>
      <c r="WZ534"/>
      <c r="XA534"/>
      <c r="XB534"/>
      <c r="XC534"/>
      <c r="XD534"/>
      <c r="XE534"/>
      <c r="XF534"/>
      <c r="XG534"/>
      <c r="XH534"/>
      <c r="XI534"/>
      <c r="XJ534"/>
      <c r="XK534"/>
      <c r="XL534"/>
      <c r="XM534"/>
      <c r="XN534"/>
      <c r="XO534"/>
      <c r="XP534"/>
      <c r="XQ534"/>
      <c r="XR534"/>
      <c r="XS534"/>
      <c r="XT534"/>
      <c r="XU534"/>
      <c r="XV534"/>
      <c r="XW534"/>
      <c r="XX534"/>
      <c r="XY534"/>
      <c r="XZ534"/>
      <c r="YA534"/>
      <c r="YB534"/>
      <c r="YC534"/>
      <c r="YD534"/>
      <c r="YE534"/>
      <c r="YF534"/>
      <c r="YG534"/>
      <c r="YH534"/>
      <c r="YI534"/>
      <c r="YJ534"/>
      <c r="YK534"/>
      <c r="YL534"/>
      <c r="YM534"/>
      <c r="YN534"/>
      <c r="YO534"/>
      <c r="YP534"/>
      <c r="YQ534"/>
      <c r="YR534"/>
      <c r="YS534"/>
      <c r="YT534"/>
      <c r="YU534"/>
      <c r="YV534"/>
      <c r="YW534"/>
      <c r="YX534"/>
      <c r="YY534"/>
      <c r="YZ534"/>
      <c r="ZA534"/>
      <c r="ZB534"/>
      <c r="ZC534"/>
      <c r="ZD534"/>
      <c r="ZE534"/>
      <c r="ZF534"/>
      <c r="ZG534"/>
      <c r="ZH534"/>
      <c r="ZI534"/>
      <c r="ZJ534"/>
      <c r="ZK534"/>
      <c r="ZL534"/>
      <c r="ZM534"/>
      <c r="ZN534"/>
      <c r="ZO534"/>
      <c r="ZP534"/>
      <c r="ZQ534"/>
      <c r="ZR534"/>
      <c r="ZS534"/>
      <c r="ZT534"/>
      <c r="ZU534"/>
      <c r="ZV534"/>
      <c r="ZW534"/>
      <c r="ZX534"/>
      <c r="ZY534"/>
      <c r="ZZ534" s="52"/>
      <c r="AAA534" s="192"/>
      <c r="AAD534" s="90"/>
      <c r="AAE534" s="519">
        <f t="shared" si="423"/>
        <v>1</v>
      </c>
      <c r="AAF534" s="90"/>
      <c r="AAG534" s="71"/>
      <c r="AAH534" s="71"/>
      <c r="AAI534" s="72"/>
      <c r="AAJ534" s="72"/>
      <c r="AAK534" s="254" t="str">
        <f>"* copies "&amp;S.Staff.Lead</f>
        <v>* copies AndreaRW</v>
      </c>
      <c r="AAL534" s="90"/>
    </row>
    <row r="535" spans="1:715" s="23" customFormat="1" ht="15" customHeight="1" outlineLevel="1" thickBot="1">
      <c r="A535" s="171"/>
      <c r="B535" s="304" t="s">
        <v>291</v>
      </c>
      <c r="C535" s="607" t="s">
        <v>53</v>
      </c>
      <c r="D535" s="380"/>
      <c r="E535"/>
      <c r="F535"/>
      <c r="G535"/>
      <c r="H535"/>
      <c r="I535" s="244"/>
      <c r="J535" s="194"/>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49"/>
      <c r="CN535" s="49"/>
      <c r="CO535" s="49"/>
      <c r="CP535" s="49"/>
      <c r="CQ535" s="49"/>
      <c r="CR535" s="49"/>
      <c r="CS535" s="49"/>
      <c r="CT535" s="49"/>
      <c r="CU535" s="49"/>
      <c r="CV535" s="49"/>
      <c r="CW535" s="49"/>
      <c r="CX535" s="49"/>
      <c r="CY535" s="49"/>
      <c r="CZ535" s="49"/>
      <c r="DA535" s="49"/>
      <c r="DB535" s="49"/>
      <c r="DC535" s="49"/>
      <c r="DD535" s="49"/>
      <c r="DE535" s="49"/>
      <c r="DF535" s="49"/>
      <c r="DG535" s="49"/>
      <c r="DH535" s="49"/>
      <c r="DI535" s="49"/>
      <c r="DJ535" s="49"/>
      <c r="DK535" s="49"/>
      <c r="DL535" s="49"/>
      <c r="DM535" s="49"/>
      <c r="DN535" s="49"/>
      <c r="DO535" s="49"/>
      <c r="DP535" s="49"/>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c r="IW535"/>
      <c r="IX535"/>
      <c r="IY535"/>
      <c r="IZ535"/>
      <c r="JA535"/>
      <c r="JB535"/>
      <c r="JC535"/>
      <c r="JD535"/>
      <c r="JE535"/>
      <c r="JF535"/>
      <c r="JG535"/>
      <c r="JH535"/>
      <c r="JI535"/>
      <c r="JJ535"/>
      <c r="JK535"/>
      <c r="JL535"/>
      <c r="JM535"/>
      <c r="JN535"/>
      <c r="JO535"/>
      <c r="JP535"/>
      <c r="JQ535"/>
      <c r="JR535"/>
      <c r="JS535"/>
      <c r="JT535"/>
      <c r="JU535"/>
      <c r="JV535"/>
      <c r="JW535"/>
      <c r="JX535"/>
      <c r="JY535"/>
      <c r="JZ535"/>
      <c r="KA535"/>
      <c r="KB535"/>
      <c r="KC535"/>
      <c r="KD535"/>
      <c r="KE535"/>
      <c r="KF535"/>
      <c r="KG535"/>
      <c r="KH535"/>
      <c r="KI535"/>
      <c r="KJ535"/>
      <c r="KK535"/>
      <c r="KL535"/>
      <c r="KM535"/>
      <c r="KN535"/>
      <c r="KO535"/>
      <c r="KP535"/>
      <c r="KQ535"/>
      <c r="KR535"/>
      <c r="KS535"/>
      <c r="KT535"/>
      <c r="KU535"/>
      <c r="KV535"/>
      <c r="KW535"/>
      <c r="KX535"/>
      <c r="KY535"/>
      <c r="KZ535"/>
      <c r="LA535"/>
      <c r="LB535"/>
      <c r="LC535"/>
      <c r="LD535"/>
      <c r="LE535"/>
      <c r="LF535"/>
      <c r="LG535"/>
      <c r="LH535"/>
      <c r="LI535"/>
      <c r="LJ535"/>
      <c r="LK535"/>
      <c r="LL535"/>
      <c r="LM535"/>
      <c r="LN535"/>
      <c r="LO535"/>
      <c r="LP535"/>
      <c r="LQ535"/>
      <c r="LR535"/>
      <c r="LS535"/>
      <c r="LT535"/>
      <c r="LU535"/>
      <c r="LV535"/>
      <c r="LW535"/>
      <c r="LX535"/>
      <c r="LY535"/>
      <c r="LZ535"/>
      <c r="MA535"/>
      <c r="MB535"/>
      <c r="MC535"/>
      <c r="MD535"/>
      <c r="ME535"/>
      <c r="MF535"/>
      <c r="MG535"/>
      <c r="MH535"/>
      <c r="MI535"/>
      <c r="MJ535"/>
      <c r="MK535"/>
      <c r="ML535"/>
      <c r="MM535"/>
      <c r="MN535"/>
      <c r="MO535"/>
      <c r="MP535"/>
      <c r="MQ535"/>
      <c r="MR535"/>
      <c r="MS535"/>
      <c r="MT535"/>
      <c r="MU535"/>
      <c r="MV535"/>
      <c r="MW535"/>
      <c r="MX535"/>
      <c r="MY535"/>
      <c r="MZ535"/>
      <c r="NA535"/>
      <c r="NB535"/>
      <c r="NC535"/>
      <c r="ND535"/>
      <c r="NE535"/>
      <c r="NF535"/>
      <c r="NG535"/>
      <c r="NH535"/>
      <c r="NI535"/>
      <c r="NJ535"/>
      <c r="NK535"/>
      <c r="NL535"/>
      <c r="NM535"/>
      <c r="NN535"/>
      <c r="NO535"/>
      <c r="NP535"/>
      <c r="NQ535"/>
      <c r="NR535"/>
      <c r="NS535"/>
      <c r="NT535"/>
      <c r="NU535"/>
      <c r="NV535"/>
      <c r="NW535"/>
      <c r="NX535"/>
      <c r="NY535"/>
      <c r="NZ535"/>
      <c r="OA535"/>
      <c r="OB535"/>
      <c r="OC535"/>
      <c r="OD535"/>
      <c r="OE535"/>
      <c r="OF535"/>
      <c r="OG535"/>
      <c r="OH535"/>
      <c r="OI535"/>
      <c r="OJ535"/>
      <c r="OK535"/>
      <c r="OL535"/>
      <c r="OM535"/>
      <c r="ON535"/>
      <c r="OO535"/>
      <c r="OP535"/>
      <c r="OQ535"/>
      <c r="OR535"/>
      <c r="OS535"/>
      <c r="OT535"/>
      <c r="OU535"/>
      <c r="OV535"/>
      <c r="OW535"/>
      <c r="OX535"/>
      <c r="OY535"/>
      <c r="OZ535"/>
      <c r="PA535"/>
      <c r="PB535"/>
      <c r="PC535"/>
      <c r="PD535"/>
      <c r="PE535"/>
      <c r="PF535"/>
      <c r="PG535"/>
      <c r="PH535"/>
      <c r="PI535"/>
      <c r="PJ535"/>
      <c r="PK535"/>
      <c r="PL535"/>
      <c r="PM535"/>
      <c r="PN535"/>
      <c r="PO535"/>
      <c r="PP535"/>
      <c r="PQ535"/>
      <c r="PR535"/>
      <c r="PS535"/>
      <c r="PT535"/>
      <c r="PU535"/>
      <c r="PV535"/>
      <c r="PW535"/>
      <c r="PX535"/>
      <c r="PY535"/>
      <c r="PZ535"/>
      <c r="QA535"/>
      <c r="QB535"/>
      <c r="QC535"/>
      <c r="QD535"/>
      <c r="QE535"/>
      <c r="QF535"/>
      <c r="QG535"/>
      <c r="QH535"/>
      <c r="QI535"/>
      <c r="QJ535"/>
      <c r="QK535"/>
      <c r="QL535"/>
      <c r="QM535"/>
      <c r="QN535"/>
      <c r="QO535"/>
      <c r="QP535"/>
      <c r="QQ535"/>
      <c r="QR535"/>
      <c r="QS535"/>
      <c r="QT535"/>
      <c r="QU535"/>
      <c r="QV535"/>
      <c r="QW535"/>
      <c r="QX535"/>
      <c r="QY535"/>
      <c r="QZ535"/>
      <c r="RA535"/>
      <c r="RB535"/>
      <c r="RC535"/>
      <c r="RD535"/>
      <c r="RE535"/>
      <c r="RF535"/>
      <c r="RG535"/>
      <c r="RH535"/>
      <c r="RI535"/>
      <c r="RJ535"/>
      <c r="RK535"/>
      <c r="RL535"/>
      <c r="RM535"/>
      <c r="RN535"/>
      <c r="RO535"/>
      <c r="RP535"/>
      <c r="RQ535"/>
      <c r="RR535"/>
      <c r="RS535"/>
      <c r="RT535"/>
      <c r="RU535"/>
      <c r="RV535"/>
      <c r="RW535"/>
      <c r="RX535"/>
      <c r="RY535"/>
      <c r="RZ535"/>
      <c r="SA535"/>
      <c r="SB535"/>
      <c r="SC535"/>
      <c r="SD535"/>
      <c r="SE535"/>
      <c r="SF535"/>
      <c r="SG535"/>
      <c r="SH535"/>
      <c r="SI535"/>
      <c r="SJ535"/>
      <c r="SK535"/>
      <c r="SL535"/>
      <c r="SM535"/>
      <c r="SN535"/>
      <c r="SO535"/>
      <c r="SP535"/>
      <c r="SQ535"/>
      <c r="SR535"/>
      <c r="SS535"/>
      <c r="ST535"/>
      <c r="SU535"/>
      <c r="SV535"/>
      <c r="SW535"/>
      <c r="SX535"/>
      <c r="SY535"/>
      <c r="SZ535"/>
      <c r="TA535"/>
      <c r="TB535"/>
      <c r="TC535"/>
      <c r="TD535"/>
      <c r="TE535"/>
      <c r="TF535"/>
      <c r="TG535"/>
      <c r="TH535"/>
      <c r="TI535"/>
      <c r="TJ535"/>
      <c r="TK535"/>
      <c r="TL535"/>
      <c r="TM535"/>
      <c r="TN535"/>
      <c r="TO535"/>
      <c r="TP535"/>
      <c r="TQ535"/>
      <c r="TR535"/>
      <c r="TS535"/>
      <c r="TT535"/>
      <c r="TU535"/>
      <c r="TV535"/>
      <c r="TW535"/>
      <c r="TX535"/>
      <c r="TY535"/>
      <c r="TZ535"/>
      <c r="UA535"/>
      <c r="UB535"/>
      <c r="UC535"/>
      <c r="UD535"/>
      <c r="UE535"/>
      <c r="UF535"/>
      <c r="UG535"/>
      <c r="UH535"/>
      <c r="UI535"/>
      <c r="UJ535"/>
      <c r="UK535"/>
      <c r="UL535"/>
      <c r="UM535"/>
      <c r="UN535"/>
      <c r="UO535"/>
      <c r="UP535"/>
      <c r="UQ535"/>
      <c r="UR535"/>
      <c r="US535"/>
      <c r="UT535"/>
      <c r="UU535"/>
      <c r="UV535"/>
      <c r="UW535"/>
      <c r="UX535"/>
      <c r="UY535"/>
      <c r="UZ535"/>
      <c r="VA535"/>
      <c r="VB535"/>
      <c r="VC535"/>
      <c r="VD535"/>
      <c r="VE535"/>
      <c r="VF535"/>
      <c r="VG535"/>
      <c r="VH535"/>
      <c r="VI535"/>
      <c r="VJ535"/>
      <c r="VK535"/>
      <c r="VL535"/>
      <c r="VM535"/>
      <c r="VN535"/>
      <c r="VO535"/>
      <c r="VP535"/>
      <c r="VQ535"/>
      <c r="VR535"/>
      <c r="VS535"/>
      <c r="VT535"/>
      <c r="VU535"/>
      <c r="VV535"/>
      <c r="VW535"/>
      <c r="VX535"/>
      <c r="VY535"/>
      <c r="VZ535"/>
      <c r="WA535"/>
      <c r="WB535"/>
      <c r="WC535"/>
      <c r="WD535"/>
      <c r="WE535"/>
      <c r="WF535"/>
      <c r="WG535"/>
      <c r="WH535"/>
      <c r="WI535"/>
      <c r="WJ535"/>
      <c r="WK535"/>
      <c r="WL535"/>
      <c r="WM535"/>
      <c r="WN535"/>
      <c r="WO535"/>
      <c r="WP535"/>
      <c r="WQ535"/>
      <c r="WR535"/>
      <c r="WS535"/>
      <c r="WT535"/>
      <c r="WU535"/>
      <c r="WV535"/>
      <c r="WW535"/>
      <c r="WX535"/>
      <c r="WY535"/>
      <c r="WZ535"/>
      <c r="XA535"/>
      <c r="XB535"/>
      <c r="XC535"/>
      <c r="XD535"/>
      <c r="XE535"/>
      <c r="XF535"/>
      <c r="XG535"/>
      <c r="XH535"/>
      <c r="XI535"/>
      <c r="XJ535"/>
      <c r="XK535"/>
      <c r="XL535"/>
      <c r="XM535"/>
      <c r="XN535"/>
      <c r="XO535"/>
      <c r="XP535"/>
      <c r="XQ535"/>
      <c r="XR535"/>
      <c r="XS535"/>
      <c r="XT535"/>
      <c r="XU535"/>
      <c r="XV535"/>
      <c r="XW535"/>
      <c r="XX535"/>
      <c r="XY535"/>
      <c r="XZ535"/>
      <c r="YA535"/>
      <c r="YB535"/>
      <c r="YC535"/>
      <c r="YD535"/>
      <c r="YE535"/>
      <c r="YF535"/>
      <c r="YG535"/>
      <c r="YH535"/>
      <c r="YI535"/>
      <c r="YJ535"/>
      <c r="YK535"/>
      <c r="YL535"/>
      <c r="YM535"/>
      <c r="YN535"/>
      <c r="YO535"/>
      <c r="YP535"/>
      <c r="YQ535"/>
      <c r="YR535"/>
      <c r="YS535"/>
      <c r="YT535"/>
      <c r="YU535"/>
      <c r="YV535"/>
      <c r="YW535"/>
      <c r="YX535"/>
      <c r="YY535"/>
      <c r="YZ535"/>
      <c r="ZA535"/>
      <c r="ZB535"/>
      <c r="ZC535"/>
      <c r="ZD535"/>
      <c r="ZE535"/>
      <c r="ZF535"/>
      <c r="ZG535"/>
      <c r="ZH535"/>
      <c r="ZI535"/>
      <c r="ZJ535"/>
      <c r="ZK535"/>
      <c r="ZL535"/>
      <c r="ZM535"/>
      <c r="ZN535"/>
      <c r="ZO535"/>
      <c r="ZP535"/>
      <c r="ZQ535"/>
      <c r="ZR535"/>
      <c r="ZS535"/>
      <c r="ZT535"/>
      <c r="ZU535"/>
      <c r="ZV535"/>
      <c r="ZW535"/>
      <c r="ZX535"/>
      <c r="ZY535"/>
      <c r="ZZ535" s="52"/>
      <c r="AAA535" s="192"/>
      <c r="AAD535" s="90"/>
      <c r="AAE535" s="519">
        <f t="shared" si="423"/>
        <v>1</v>
      </c>
      <c r="AAF535" s="90"/>
      <c r="AAG535" s="71"/>
      <c r="AAH535" s="71"/>
      <c r="AAI535" s="72"/>
      <c r="AAJ535" s="72"/>
      <c r="AAK535" s="491"/>
      <c r="AAL535" s="90"/>
    </row>
    <row r="536" spans="1:715" s="23" customFormat="1" ht="15" customHeight="1" outlineLevel="1">
      <c r="A536" s="171"/>
      <c r="B536" s="304" t="s">
        <v>292</v>
      </c>
      <c r="C536" s="346"/>
      <c r="D536" s="380"/>
      <c r="E536" s="350"/>
      <c r="F536" s="350"/>
      <c r="G536" s="346"/>
      <c r="H536" s="346"/>
      <c r="I536" s="244"/>
      <c r="J536" s="194"/>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9"/>
      <c r="CD536" s="49"/>
      <c r="CE536" s="49"/>
      <c r="CF536" s="49"/>
      <c r="CG536" s="49"/>
      <c r="CH536" s="49"/>
      <c r="CI536" s="49"/>
      <c r="CJ536" s="49"/>
      <c r="CK536" s="49"/>
      <c r="CL536" s="49"/>
      <c r="CM536" s="49"/>
      <c r="CN536" s="49"/>
      <c r="CO536" s="49"/>
      <c r="CP536" s="49"/>
      <c r="CQ536" s="49"/>
      <c r="CR536" s="49"/>
      <c r="CS536" s="49"/>
      <c r="CT536" s="49"/>
      <c r="CU536" s="49"/>
      <c r="CV536" s="49"/>
      <c r="CW536" s="49"/>
      <c r="CX536" s="49"/>
      <c r="CY536" s="49"/>
      <c r="CZ536" s="49"/>
      <c r="DA536" s="49"/>
      <c r="DB536" s="49"/>
      <c r="DC536" s="49"/>
      <c r="DD536" s="49"/>
      <c r="DE536" s="49"/>
      <c r="DF536" s="49"/>
      <c r="DG536" s="49"/>
      <c r="DH536" s="49"/>
      <c r="DI536" s="49"/>
      <c r="DJ536" s="49"/>
      <c r="DK536" s="49"/>
      <c r="DL536" s="49"/>
      <c r="DM536" s="49"/>
      <c r="DN536" s="49"/>
      <c r="DO536" s="49"/>
      <c r="DP536" s="49"/>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c r="LP536"/>
      <c r="LQ536"/>
      <c r="LR536"/>
      <c r="LS536"/>
      <c r="LT536"/>
      <c r="LU536"/>
      <c r="LV536"/>
      <c r="LW536"/>
      <c r="LX536"/>
      <c r="LY536"/>
      <c r="LZ536"/>
      <c r="MA536"/>
      <c r="MB536"/>
      <c r="MC536"/>
      <c r="MD536"/>
      <c r="ME536"/>
      <c r="MF536"/>
      <c r="MG536"/>
      <c r="MH536"/>
      <c r="MI536"/>
      <c r="MJ536"/>
      <c r="MK536"/>
      <c r="ML536"/>
      <c r="MM536"/>
      <c r="MN536"/>
      <c r="MO536"/>
      <c r="MP536"/>
      <c r="MQ536"/>
      <c r="MR536"/>
      <c r="MS536"/>
      <c r="MT536"/>
      <c r="MU536"/>
      <c r="MV536"/>
      <c r="MW536"/>
      <c r="MX536"/>
      <c r="MY536"/>
      <c r="MZ536"/>
      <c r="NA536"/>
      <c r="NB536"/>
      <c r="NC536"/>
      <c r="ND536"/>
      <c r="NE536"/>
      <c r="NF536"/>
      <c r="NG536"/>
      <c r="NH536"/>
      <c r="NI536"/>
      <c r="NJ536"/>
      <c r="NK536"/>
      <c r="NL536"/>
      <c r="NM536"/>
      <c r="NN536"/>
      <c r="NO536"/>
      <c r="NP536"/>
      <c r="NQ536"/>
      <c r="NR536"/>
      <c r="NS536"/>
      <c r="NT536"/>
      <c r="NU536"/>
      <c r="NV536"/>
      <c r="NW536"/>
      <c r="NX536"/>
      <c r="NY536"/>
      <c r="NZ536"/>
      <c r="OA536"/>
      <c r="OB536"/>
      <c r="OC536"/>
      <c r="OD536"/>
      <c r="OE536"/>
      <c r="OF536"/>
      <c r="OG536"/>
      <c r="OH536"/>
      <c r="OI536"/>
      <c r="OJ536"/>
      <c r="OK536"/>
      <c r="OL536"/>
      <c r="OM536"/>
      <c r="ON536"/>
      <c r="OO536"/>
      <c r="OP536"/>
      <c r="OQ536"/>
      <c r="OR536"/>
      <c r="OS536"/>
      <c r="OT536"/>
      <c r="OU536"/>
      <c r="OV536"/>
      <c r="OW536"/>
      <c r="OX536"/>
      <c r="OY536"/>
      <c r="OZ536"/>
      <c r="PA536"/>
      <c r="PB536"/>
      <c r="PC536"/>
      <c r="PD536"/>
      <c r="PE536"/>
      <c r="PF536"/>
      <c r="PG536"/>
      <c r="PH536"/>
      <c r="PI536"/>
      <c r="PJ536"/>
      <c r="PK536"/>
      <c r="PL536"/>
      <c r="PM536"/>
      <c r="PN536"/>
      <c r="PO536"/>
      <c r="PP536"/>
      <c r="PQ536"/>
      <c r="PR536"/>
      <c r="PS536"/>
      <c r="PT536"/>
      <c r="PU536"/>
      <c r="PV536"/>
      <c r="PW536"/>
      <c r="PX536"/>
      <c r="PY536"/>
      <c r="PZ536"/>
      <c r="QA536"/>
      <c r="QB536"/>
      <c r="QC536"/>
      <c r="QD536"/>
      <c r="QE536"/>
      <c r="QF536"/>
      <c r="QG536"/>
      <c r="QH536"/>
      <c r="QI536"/>
      <c r="QJ536"/>
      <c r="QK536"/>
      <c r="QL536"/>
      <c r="QM536"/>
      <c r="QN536"/>
      <c r="QO536"/>
      <c r="QP536"/>
      <c r="QQ536"/>
      <c r="QR536"/>
      <c r="QS536"/>
      <c r="QT536"/>
      <c r="QU536"/>
      <c r="QV536"/>
      <c r="QW536"/>
      <c r="QX536"/>
      <c r="QY536"/>
      <c r="QZ536"/>
      <c r="RA536"/>
      <c r="RB536"/>
      <c r="RC536"/>
      <c r="RD536"/>
      <c r="RE536"/>
      <c r="RF536"/>
      <c r="RG536"/>
      <c r="RH536"/>
      <c r="RI536"/>
      <c r="RJ536"/>
      <c r="RK536"/>
      <c r="RL536"/>
      <c r="RM536"/>
      <c r="RN536"/>
      <c r="RO536"/>
      <c r="RP536"/>
      <c r="RQ536"/>
      <c r="RR536"/>
      <c r="RS536"/>
      <c r="RT536"/>
      <c r="RU536"/>
      <c r="RV536"/>
      <c r="RW536"/>
      <c r="RX536"/>
      <c r="RY536"/>
      <c r="RZ536"/>
      <c r="SA536"/>
      <c r="SB536"/>
      <c r="SC536"/>
      <c r="SD536"/>
      <c r="SE536"/>
      <c r="SF536"/>
      <c r="SG536"/>
      <c r="SH536"/>
      <c r="SI536"/>
      <c r="SJ536"/>
      <c r="SK536"/>
      <c r="SL536"/>
      <c r="SM536"/>
      <c r="SN536"/>
      <c r="SO536"/>
      <c r="SP536"/>
      <c r="SQ536"/>
      <c r="SR536"/>
      <c r="SS536"/>
      <c r="ST536"/>
      <c r="SU536"/>
      <c r="SV536"/>
      <c r="SW536"/>
      <c r="SX536"/>
      <c r="SY536"/>
      <c r="SZ536"/>
      <c r="TA536"/>
      <c r="TB536"/>
      <c r="TC536"/>
      <c r="TD536"/>
      <c r="TE536"/>
      <c r="TF536"/>
      <c r="TG536"/>
      <c r="TH536"/>
      <c r="TI536"/>
      <c r="TJ536"/>
      <c r="TK536"/>
      <c r="TL536"/>
      <c r="TM536"/>
      <c r="TN536"/>
      <c r="TO536"/>
      <c r="TP536"/>
      <c r="TQ536"/>
      <c r="TR536"/>
      <c r="TS536"/>
      <c r="TT536"/>
      <c r="TU536"/>
      <c r="TV536"/>
      <c r="TW536"/>
      <c r="TX536"/>
      <c r="TY536"/>
      <c r="TZ536"/>
      <c r="UA536"/>
      <c r="UB536"/>
      <c r="UC536"/>
      <c r="UD536"/>
      <c r="UE536"/>
      <c r="UF536"/>
      <c r="UG536"/>
      <c r="UH536"/>
      <c r="UI536"/>
      <c r="UJ536"/>
      <c r="UK536"/>
      <c r="UL536"/>
      <c r="UM536"/>
      <c r="UN536"/>
      <c r="UO536"/>
      <c r="UP536"/>
      <c r="UQ536"/>
      <c r="UR536"/>
      <c r="US536"/>
      <c r="UT536"/>
      <c r="UU536"/>
      <c r="UV536"/>
      <c r="UW536"/>
      <c r="UX536"/>
      <c r="UY536"/>
      <c r="UZ536"/>
      <c r="VA536"/>
      <c r="VB536"/>
      <c r="VC536"/>
      <c r="VD536"/>
      <c r="VE536"/>
      <c r="VF536"/>
      <c r="VG536"/>
      <c r="VH536"/>
      <c r="VI536"/>
      <c r="VJ536"/>
      <c r="VK536"/>
      <c r="VL536"/>
      <c r="VM536"/>
      <c r="VN536"/>
      <c r="VO536"/>
      <c r="VP536"/>
      <c r="VQ536"/>
      <c r="VR536"/>
      <c r="VS536"/>
      <c r="VT536"/>
      <c r="VU536"/>
      <c r="VV536"/>
      <c r="VW536"/>
      <c r="VX536"/>
      <c r="VY536"/>
      <c r="VZ536"/>
      <c r="WA536"/>
      <c r="WB536"/>
      <c r="WC536"/>
      <c r="WD536"/>
      <c r="WE536"/>
      <c r="WF536"/>
      <c r="WG536"/>
      <c r="WH536"/>
      <c r="WI536"/>
      <c r="WJ536"/>
      <c r="WK536"/>
      <c r="WL536"/>
      <c r="WM536"/>
      <c r="WN536"/>
      <c r="WO536"/>
      <c r="WP536"/>
      <c r="WQ536"/>
      <c r="WR536"/>
      <c r="WS536"/>
      <c r="WT536"/>
      <c r="WU536"/>
      <c r="WV536"/>
      <c r="WW536"/>
      <c r="WX536"/>
      <c r="WY536"/>
      <c r="WZ536"/>
      <c r="XA536"/>
      <c r="XB536"/>
      <c r="XC536"/>
      <c r="XD536"/>
      <c r="XE536"/>
      <c r="XF536"/>
      <c r="XG536"/>
      <c r="XH536"/>
      <c r="XI536"/>
      <c r="XJ536"/>
      <c r="XK536"/>
      <c r="XL536"/>
      <c r="XM536"/>
      <c r="XN536"/>
      <c r="XO536"/>
      <c r="XP536"/>
      <c r="XQ536"/>
      <c r="XR536"/>
      <c r="XS536"/>
      <c r="XT536"/>
      <c r="XU536"/>
      <c r="XV536"/>
      <c r="XW536"/>
      <c r="XX536"/>
      <c r="XY536"/>
      <c r="XZ536"/>
      <c r="YA536"/>
      <c r="YB536"/>
      <c r="YC536"/>
      <c r="YD536"/>
      <c r="YE536"/>
      <c r="YF536"/>
      <c r="YG536"/>
      <c r="YH536"/>
      <c r="YI536"/>
      <c r="YJ536"/>
      <c r="YK536"/>
      <c r="YL536"/>
      <c r="YM536"/>
      <c r="YN536"/>
      <c r="YO536"/>
      <c r="YP536"/>
      <c r="YQ536"/>
      <c r="YR536"/>
      <c r="YS536"/>
      <c r="YT536"/>
      <c r="YU536"/>
      <c r="YV536"/>
      <c r="YW536"/>
      <c r="YX536"/>
      <c r="YY536"/>
      <c r="YZ536"/>
      <c r="ZA536"/>
      <c r="ZB536"/>
      <c r="ZC536"/>
      <c r="ZD536"/>
      <c r="ZE536"/>
      <c r="ZF536"/>
      <c r="ZG536"/>
      <c r="ZH536"/>
      <c r="ZI536"/>
      <c r="ZJ536"/>
      <c r="ZK536"/>
      <c r="ZL536"/>
      <c r="ZM536"/>
      <c r="ZN536"/>
      <c r="ZO536"/>
      <c r="ZP536"/>
      <c r="ZQ536"/>
      <c r="ZR536"/>
      <c r="ZS536"/>
      <c r="ZT536"/>
      <c r="ZU536"/>
      <c r="ZV536"/>
      <c r="ZW536"/>
      <c r="ZX536"/>
      <c r="ZY536"/>
      <c r="ZZ536" s="52"/>
      <c r="AAA536" s="192"/>
      <c r="AAD536" s="90"/>
      <c r="AAE536" s="519">
        <f t="shared" si="423"/>
        <v>1</v>
      </c>
      <c r="AAF536" s="190" t="s">
        <v>52</v>
      </c>
      <c r="AAG536" s="71"/>
      <c r="AAH536" s="71"/>
      <c r="AAI536" s="72"/>
      <c r="AAJ536" s="72"/>
      <c r="AAK536" s="491"/>
      <c r="AAL536" s="90"/>
    </row>
    <row r="537" spans="1:715" ht="15" customHeight="1" outlineLevel="1">
      <c r="A537" s="171"/>
      <c r="B537" s="289" t="s">
        <v>286</v>
      </c>
      <c r="C537" s="346"/>
      <c r="D537" s="399"/>
      <c r="E537" s="350"/>
      <c r="F537" s="350"/>
      <c r="G537" s="346"/>
      <c r="H537" s="346"/>
      <c r="I537" s="244"/>
      <c r="J537" s="194"/>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9"/>
      <c r="CD537" s="49"/>
      <c r="CE537" s="49"/>
      <c r="CF537" s="49"/>
      <c r="CG537" s="49"/>
      <c r="CH537" s="49"/>
      <c r="CI537" s="49"/>
      <c r="CJ537" s="49"/>
      <c r="CK537" s="49"/>
      <c r="CL537" s="49"/>
      <c r="CM537" s="49"/>
      <c r="CN537" s="49"/>
      <c r="CO537" s="49"/>
      <c r="CP537" s="49"/>
      <c r="CQ537" s="49"/>
      <c r="CR537" s="49"/>
      <c r="CS537" s="49"/>
      <c r="CT537" s="49"/>
      <c r="CU537" s="49"/>
      <c r="CV537" s="49"/>
      <c r="CW537" s="49"/>
      <c r="CX537" s="49"/>
      <c r="CY537" s="49"/>
      <c r="CZ537" s="49"/>
      <c r="DA537" s="49"/>
      <c r="DB537" s="49"/>
      <c r="DC537" s="49"/>
      <c r="DD537" s="49"/>
      <c r="DE537" s="49"/>
      <c r="DF537" s="49"/>
      <c r="DG537" s="49"/>
      <c r="DH537" s="49"/>
      <c r="DI537" s="49"/>
      <c r="DJ537" s="49"/>
      <c r="DK537" s="49"/>
      <c r="DL537" s="49"/>
      <c r="DM537" s="49"/>
      <c r="DN537" s="49"/>
      <c r="DO537" s="49"/>
      <c r="DP537" s="49"/>
      <c r="AAA537" s="192"/>
      <c r="AAD537" s="90"/>
      <c r="AAE537" s="519">
        <f t="shared" si="423"/>
        <v>1</v>
      </c>
      <c r="AAF537" s="190" t="s">
        <v>52</v>
      </c>
      <c r="AAG537" s="71"/>
      <c r="AAH537" s="71"/>
      <c r="AAI537" s="72"/>
      <c r="AAJ537" s="72"/>
      <c r="AAK537" s="491"/>
      <c r="AAL537" s="90"/>
      <c r="AAM537"/>
    </row>
    <row r="538" spans="1:715" s="23" customFormat="1" ht="15" customHeight="1" outlineLevel="1">
      <c r="A538" s="171"/>
      <c r="B538" s="398" t="str">
        <f>AAK538</f>
        <v>AndreaRW:</v>
      </c>
      <c r="C538" s="346"/>
      <c r="D538" s="357"/>
      <c r="E538" s="350"/>
      <c r="F538" s="350"/>
      <c r="G538" s="346"/>
      <c r="H538" s="346"/>
      <c r="I538" s="244"/>
      <c r="J538" s="194"/>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9"/>
      <c r="CD538" s="49"/>
      <c r="CE538" s="49"/>
      <c r="CF538" s="49"/>
      <c r="CG538" s="49"/>
      <c r="CH538" s="49"/>
      <c r="CI538" s="49"/>
      <c r="CJ538" s="49"/>
      <c r="CK538" s="49"/>
      <c r="CL538" s="49"/>
      <c r="CM538" s="49"/>
      <c r="CN538" s="49"/>
      <c r="CO538" s="49"/>
      <c r="CP538" s="49"/>
      <c r="CQ538" s="49"/>
      <c r="CR538" s="49"/>
      <c r="CS538" s="49"/>
      <c r="CT538" s="49"/>
      <c r="CU538" s="49"/>
      <c r="CV538" s="49"/>
      <c r="CW538" s="49"/>
      <c r="CX538" s="49"/>
      <c r="CY538" s="49"/>
      <c r="CZ538" s="49"/>
      <c r="DA538" s="49"/>
      <c r="DB538" s="49"/>
      <c r="DC538" s="49"/>
      <c r="DD538" s="49"/>
      <c r="DE538" s="49"/>
      <c r="DF538" s="49"/>
      <c r="DG538" s="49"/>
      <c r="DH538" s="49"/>
      <c r="DI538" s="49"/>
      <c r="DJ538" s="49"/>
      <c r="DK538" s="49"/>
      <c r="DL538" s="49"/>
      <c r="DM538" s="49"/>
      <c r="DN538" s="49"/>
      <c r="DO538" s="49"/>
      <c r="DP538" s="49"/>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c r="LP538"/>
      <c r="LQ538"/>
      <c r="LR538"/>
      <c r="LS538"/>
      <c r="LT538"/>
      <c r="LU538"/>
      <c r="LV538"/>
      <c r="LW538"/>
      <c r="LX538"/>
      <c r="LY538"/>
      <c r="LZ538"/>
      <c r="MA538"/>
      <c r="MB538"/>
      <c r="MC538"/>
      <c r="MD538"/>
      <c r="ME538"/>
      <c r="MF538"/>
      <c r="MG538"/>
      <c r="MH538"/>
      <c r="MI538"/>
      <c r="MJ538"/>
      <c r="MK538"/>
      <c r="ML538"/>
      <c r="MM538"/>
      <c r="MN538"/>
      <c r="MO538"/>
      <c r="MP538"/>
      <c r="MQ538"/>
      <c r="MR538"/>
      <c r="MS538"/>
      <c r="MT538"/>
      <c r="MU538"/>
      <c r="MV538"/>
      <c r="MW538"/>
      <c r="MX538"/>
      <c r="MY538"/>
      <c r="MZ538"/>
      <c r="NA538"/>
      <c r="NB538"/>
      <c r="NC538"/>
      <c r="ND538"/>
      <c r="NE538"/>
      <c r="NF538"/>
      <c r="NG538"/>
      <c r="NH538"/>
      <c r="NI538"/>
      <c r="NJ538"/>
      <c r="NK538"/>
      <c r="NL538"/>
      <c r="NM538"/>
      <c r="NN538"/>
      <c r="NO538"/>
      <c r="NP538"/>
      <c r="NQ538"/>
      <c r="NR538"/>
      <c r="NS538"/>
      <c r="NT538"/>
      <c r="NU538"/>
      <c r="NV538"/>
      <c r="NW538"/>
      <c r="NX538"/>
      <c r="NY538"/>
      <c r="NZ538"/>
      <c r="OA538"/>
      <c r="OB538"/>
      <c r="OC538"/>
      <c r="OD538"/>
      <c r="OE538"/>
      <c r="OF538"/>
      <c r="OG538"/>
      <c r="OH538"/>
      <c r="OI538"/>
      <c r="OJ538"/>
      <c r="OK538"/>
      <c r="OL538"/>
      <c r="OM538"/>
      <c r="ON538"/>
      <c r="OO538"/>
      <c r="OP538"/>
      <c r="OQ538"/>
      <c r="OR538"/>
      <c r="OS538"/>
      <c r="OT538"/>
      <c r="OU538"/>
      <c r="OV538"/>
      <c r="OW538"/>
      <c r="OX538"/>
      <c r="OY538"/>
      <c r="OZ538"/>
      <c r="PA538"/>
      <c r="PB538"/>
      <c r="PC538"/>
      <c r="PD538"/>
      <c r="PE538"/>
      <c r="PF538"/>
      <c r="PG538"/>
      <c r="PH538"/>
      <c r="PI538"/>
      <c r="PJ538"/>
      <c r="PK538"/>
      <c r="PL538"/>
      <c r="PM538"/>
      <c r="PN538"/>
      <c r="PO538"/>
      <c r="PP538"/>
      <c r="PQ538"/>
      <c r="PR538"/>
      <c r="PS538"/>
      <c r="PT538"/>
      <c r="PU538"/>
      <c r="PV538"/>
      <c r="PW538"/>
      <c r="PX538"/>
      <c r="PY538"/>
      <c r="PZ538"/>
      <c r="QA538"/>
      <c r="QB538"/>
      <c r="QC538"/>
      <c r="QD538"/>
      <c r="QE538"/>
      <c r="QF538"/>
      <c r="QG538"/>
      <c r="QH538"/>
      <c r="QI538"/>
      <c r="QJ538"/>
      <c r="QK538"/>
      <c r="QL538"/>
      <c r="QM538"/>
      <c r="QN538"/>
      <c r="QO538"/>
      <c r="QP538"/>
      <c r="QQ538"/>
      <c r="QR538"/>
      <c r="QS538"/>
      <c r="QT538"/>
      <c r="QU538"/>
      <c r="QV538"/>
      <c r="QW538"/>
      <c r="QX538"/>
      <c r="QY538"/>
      <c r="QZ538"/>
      <c r="RA538"/>
      <c r="RB538"/>
      <c r="RC538"/>
      <c r="RD538"/>
      <c r="RE538"/>
      <c r="RF538"/>
      <c r="RG538"/>
      <c r="RH538"/>
      <c r="RI538"/>
      <c r="RJ538"/>
      <c r="RK538"/>
      <c r="RL538"/>
      <c r="RM538"/>
      <c r="RN538"/>
      <c r="RO538"/>
      <c r="RP538"/>
      <c r="RQ538"/>
      <c r="RR538"/>
      <c r="RS538"/>
      <c r="RT538"/>
      <c r="RU538"/>
      <c r="RV538"/>
      <c r="RW538"/>
      <c r="RX538"/>
      <c r="RY538"/>
      <c r="RZ538"/>
      <c r="SA538"/>
      <c r="SB538"/>
      <c r="SC538"/>
      <c r="SD538"/>
      <c r="SE538"/>
      <c r="SF538"/>
      <c r="SG538"/>
      <c r="SH538"/>
      <c r="SI538"/>
      <c r="SJ538"/>
      <c r="SK538"/>
      <c r="SL538"/>
      <c r="SM538"/>
      <c r="SN538"/>
      <c r="SO538"/>
      <c r="SP538"/>
      <c r="SQ538"/>
      <c r="SR538"/>
      <c r="SS538"/>
      <c r="ST538"/>
      <c r="SU538"/>
      <c r="SV538"/>
      <c r="SW538"/>
      <c r="SX538"/>
      <c r="SY538"/>
      <c r="SZ538"/>
      <c r="TA538"/>
      <c r="TB538"/>
      <c r="TC538"/>
      <c r="TD538"/>
      <c r="TE538"/>
      <c r="TF538"/>
      <c r="TG538"/>
      <c r="TH538"/>
      <c r="TI538"/>
      <c r="TJ538"/>
      <c r="TK538"/>
      <c r="TL538"/>
      <c r="TM538"/>
      <c r="TN538"/>
      <c r="TO538"/>
      <c r="TP538"/>
      <c r="TQ538"/>
      <c r="TR538"/>
      <c r="TS538"/>
      <c r="TT538"/>
      <c r="TU538"/>
      <c r="TV538"/>
      <c r="TW538"/>
      <c r="TX538"/>
      <c r="TY538"/>
      <c r="TZ538"/>
      <c r="UA538"/>
      <c r="UB538"/>
      <c r="UC538"/>
      <c r="UD538"/>
      <c r="UE538"/>
      <c r="UF538"/>
      <c r="UG538"/>
      <c r="UH538"/>
      <c r="UI538"/>
      <c r="UJ538"/>
      <c r="UK538"/>
      <c r="UL538"/>
      <c r="UM538"/>
      <c r="UN538"/>
      <c r="UO538"/>
      <c r="UP538"/>
      <c r="UQ538"/>
      <c r="UR538"/>
      <c r="US538"/>
      <c r="UT538"/>
      <c r="UU538"/>
      <c r="UV538"/>
      <c r="UW538"/>
      <c r="UX538"/>
      <c r="UY538"/>
      <c r="UZ538"/>
      <c r="VA538"/>
      <c r="VB538"/>
      <c r="VC538"/>
      <c r="VD538"/>
      <c r="VE538"/>
      <c r="VF538"/>
      <c r="VG538"/>
      <c r="VH538"/>
      <c r="VI538"/>
      <c r="VJ538"/>
      <c r="VK538"/>
      <c r="VL538"/>
      <c r="VM538"/>
      <c r="VN538"/>
      <c r="VO538"/>
      <c r="VP538"/>
      <c r="VQ538"/>
      <c r="VR538"/>
      <c r="VS538"/>
      <c r="VT538"/>
      <c r="VU538"/>
      <c r="VV538"/>
      <c r="VW538"/>
      <c r="VX538"/>
      <c r="VY538"/>
      <c r="VZ538"/>
      <c r="WA538"/>
      <c r="WB538"/>
      <c r="WC538"/>
      <c r="WD538"/>
      <c r="WE538"/>
      <c r="WF538"/>
      <c r="WG538"/>
      <c r="WH538"/>
      <c r="WI538"/>
      <c r="WJ538"/>
      <c r="WK538"/>
      <c r="WL538"/>
      <c r="WM538"/>
      <c r="WN538"/>
      <c r="WO538"/>
      <c r="WP538"/>
      <c r="WQ538"/>
      <c r="WR538"/>
      <c r="WS538"/>
      <c r="WT538"/>
      <c r="WU538"/>
      <c r="WV538"/>
      <c r="WW538"/>
      <c r="WX538"/>
      <c r="WY538"/>
      <c r="WZ538"/>
      <c r="XA538"/>
      <c r="XB538"/>
      <c r="XC538"/>
      <c r="XD538"/>
      <c r="XE538"/>
      <c r="XF538"/>
      <c r="XG538"/>
      <c r="XH538"/>
      <c r="XI538"/>
      <c r="XJ538"/>
      <c r="XK538"/>
      <c r="XL538"/>
      <c r="XM538"/>
      <c r="XN538"/>
      <c r="XO538"/>
      <c r="XP538"/>
      <c r="XQ538"/>
      <c r="XR538"/>
      <c r="XS538"/>
      <c r="XT538"/>
      <c r="XU538"/>
      <c r="XV538"/>
      <c r="XW538"/>
      <c r="XX538"/>
      <c r="XY538"/>
      <c r="XZ538"/>
      <c r="YA538"/>
      <c r="YB538"/>
      <c r="YC538"/>
      <c r="YD538"/>
      <c r="YE538"/>
      <c r="YF538"/>
      <c r="YG538"/>
      <c r="YH538"/>
      <c r="YI538"/>
      <c r="YJ538"/>
      <c r="YK538"/>
      <c r="YL538"/>
      <c r="YM538"/>
      <c r="YN538"/>
      <c r="YO538"/>
      <c r="YP538"/>
      <c r="YQ538"/>
      <c r="YR538"/>
      <c r="YS538"/>
      <c r="YT538"/>
      <c r="YU538"/>
      <c r="YV538"/>
      <c r="YW538"/>
      <c r="YX538"/>
      <c r="YY538"/>
      <c r="YZ538"/>
      <c r="ZA538"/>
      <c r="ZB538"/>
      <c r="ZC538"/>
      <c r="ZD538"/>
      <c r="ZE538"/>
      <c r="ZF538"/>
      <c r="ZG538"/>
      <c r="ZH538"/>
      <c r="ZI538"/>
      <c r="ZJ538"/>
      <c r="ZK538"/>
      <c r="ZL538"/>
      <c r="ZM538"/>
      <c r="ZN538"/>
      <c r="ZO538"/>
      <c r="ZP538"/>
      <c r="ZQ538"/>
      <c r="ZR538"/>
      <c r="ZS538"/>
      <c r="ZT538"/>
      <c r="ZU538"/>
      <c r="ZV538"/>
      <c r="ZW538"/>
      <c r="ZX538"/>
      <c r="ZY538"/>
      <c r="ZZ538" s="52"/>
      <c r="AAA538" s="192"/>
      <c r="AAD538" s="90"/>
      <c r="AAE538" s="519">
        <f>IF(AND(S.Notice.Involved="Y",S.Notice.AD.Involved="Y"),1,0)</f>
        <v>1</v>
      </c>
      <c r="AAF538" s="190" t="s">
        <v>52</v>
      </c>
      <c r="AAG538" s="71"/>
      <c r="AAH538" s="71"/>
      <c r="AAI538" s="72"/>
      <c r="AAJ538" s="72"/>
      <c r="AAK538" s="80" t="str">
        <f>S.Staff.Lead&amp;":"</f>
        <v>AndreaRW:</v>
      </c>
      <c r="AAL538" s="90"/>
    </row>
    <row r="539" spans="1:715" s="23" customFormat="1" ht="15" customHeight="1" outlineLevel="1">
      <c r="A539" s="171"/>
      <c r="B539" s="396" t="s">
        <v>287</v>
      </c>
      <c r="C539" s="376" t="s">
        <v>0</v>
      </c>
      <c r="D539" s="380"/>
      <c r="E539" s="397">
        <f t="shared" ref="E539" si="440">NETWORKDAYS(G539,H539,S.DDL_DEQClosed)</f>
        <v>1</v>
      </c>
      <c r="F539" s="457">
        <f ca="1">IF(YEAR(H539)&gt;2000,NETWORKDAYS(TODAY(),H539,S.DDL_DEQClosed),0)</f>
        <v>33</v>
      </c>
      <c r="G539" s="400">
        <f t="shared" ref="G539:G540" si="441">AAG539</f>
        <v>41621</v>
      </c>
      <c r="H539" s="343">
        <f t="shared" ref="H539" si="442">AAH539</f>
        <v>41621</v>
      </c>
      <c r="I539" s="244"/>
      <c r="J539" s="194"/>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9"/>
      <c r="CD539" s="49"/>
      <c r="CE539" s="49"/>
      <c r="CF539" s="49"/>
      <c r="CG539" s="49"/>
      <c r="CH539" s="49"/>
      <c r="CI539" s="49"/>
      <c r="CJ539" s="49"/>
      <c r="CK539" s="49"/>
      <c r="CL539" s="49"/>
      <c r="CM539" s="49"/>
      <c r="CN539" s="49"/>
      <c r="CO539" s="49"/>
      <c r="CP539" s="49"/>
      <c r="CQ539" s="49"/>
      <c r="CR539" s="49"/>
      <c r="CS539" s="49"/>
      <c r="CT539" s="49"/>
      <c r="CU539" s="49"/>
      <c r="CV539" s="49"/>
      <c r="CW539" s="49"/>
      <c r="CX539" s="49"/>
      <c r="CY539" s="49"/>
      <c r="CZ539" s="49"/>
      <c r="DA539" s="49"/>
      <c r="DB539" s="49"/>
      <c r="DC539" s="49"/>
      <c r="DD539" s="49"/>
      <c r="DE539" s="49"/>
      <c r="DF539" s="49"/>
      <c r="DG539" s="49"/>
      <c r="DH539" s="49"/>
      <c r="DI539" s="49"/>
      <c r="DJ539" s="49"/>
      <c r="DK539" s="49"/>
      <c r="DL539" s="49"/>
      <c r="DM539" s="49"/>
      <c r="DN539" s="49"/>
      <c r="DO539" s="49"/>
      <c r="DP539" s="4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c r="LP539"/>
      <c r="LQ539"/>
      <c r="LR539"/>
      <c r="LS539"/>
      <c r="LT539"/>
      <c r="LU539"/>
      <c r="LV539"/>
      <c r="LW539"/>
      <c r="LX539"/>
      <c r="LY539"/>
      <c r="LZ539"/>
      <c r="MA539"/>
      <c r="MB539"/>
      <c r="MC539"/>
      <c r="MD539"/>
      <c r="ME539"/>
      <c r="MF539"/>
      <c r="MG539"/>
      <c r="MH539"/>
      <c r="MI539"/>
      <c r="MJ539"/>
      <c r="MK539"/>
      <c r="ML539"/>
      <c r="MM539"/>
      <c r="MN539"/>
      <c r="MO539"/>
      <c r="MP539"/>
      <c r="MQ539"/>
      <c r="MR539"/>
      <c r="MS539"/>
      <c r="MT539"/>
      <c r="MU539"/>
      <c r="MV539"/>
      <c r="MW539"/>
      <c r="MX539"/>
      <c r="MY539"/>
      <c r="MZ539"/>
      <c r="NA539"/>
      <c r="NB539"/>
      <c r="NC539"/>
      <c r="ND539"/>
      <c r="NE539"/>
      <c r="NF539"/>
      <c r="NG539"/>
      <c r="NH539"/>
      <c r="NI539"/>
      <c r="NJ539"/>
      <c r="NK539"/>
      <c r="NL539"/>
      <c r="NM539"/>
      <c r="NN539"/>
      <c r="NO539"/>
      <c r="NP539"/>
      <c r="NQ539"/>
      <c r="NR539"/>
      <c r="NS539"/>
      <c r="NT539"/>
      <c r="NU539"/>
      <c r="NV539"/>
      <c r="NW539"/>
      <c r="NX539"/>
      <c r="NY539"/>
      <c r="NZ539"/>
      <c r="OA539"/>
      <c r="OB539"/>
      <c r="OC539"/>
      <c r="OD539"/>
      <c r="OE539"/>
      <c r="OF539"/>
      <c r="OG539"/>
      <c r="OH539"/>
      <c r="OI539"/>
      <c r="OJ539"/>
      <c r="OK539"/>
      <c r="OL539"/>
      <c r="OM539"/>
      <c r="ON539"/>
      <c r="OO539"/>
      <c r="OP539"/>
      <c r="OQ539"/>
      <c r="OR539"/>
      <c r="OS539"/>
      <c r="OT539"/>
      <c r="OU539"/>
      <c r="OV539"/>
      <c r="OW539"/>
      <c r="OX539"/>
      <c r="OY539"/>
      <c r="OZ539"/>
      <c r="PA539"/>
      <c r="PB539"/>
      <c r="PC539"/>
      <c r="PD539"/>
      <c r="PE539"/>
      <c r="PF539"/>
      <c r="PG539"/>
      <c r="PH539"/>
      <c r="PI539"/>
      <c r="PJ539"/>
      <c r="PK539"/>
      <c r="PL539"/>
      <c r="PM539"/>
      <c r="PN539"/>
      <c r="PO539"/>
      <c r="PP539"/>
      <c r="PQ539"/>
      <c r="PR539"/>
      <c r="PS539"/>
      <c r="PT539"/>
      <c r="PU539"/>
      <c r="PV539"/>
      <c r="PW539"/>
      <c r="PX539"/>
      <c r="PY539"/>
      <c r="PZ539"/>
      <c r="QA539"/>
      <c r="QB539"/>
      <c r="QC539"/>
      <c r="QD539"/>
      <c r="QE539"/>
      <c r="QF539"/>
      <c r="QG539"/>
      <c r="QH539"/>
      <c r="QI539"/>
      <c r="QJ539"/>
      <c r="QK539"/>
      <c r="QL539"/>
      <c r="QM539"/>
      <c r="QN539"/>
      <c r="QO539"/>
      <c r="QP539"/>
      <c r="QQ539"/>
      <c r="QR539"/>
      <c r="QS539"/>
      <c r="QT539"/>
      <c r="QU539"/>
      <c r="QV539"/>
      <c r="QW539"/>
      <c r="QX539"/>
      <c r="QY539"/>
      <c r="QZ539"/>
      <c r="RA539"/>
      <c r="RB539"/>
      <c r="RC539"/>
      <c r="RD539"/>
      <c r="RE539"/>
      <c r="RF539"/>
      <c r="RG539"/>
      <c r="RH539"/>
      <c r="RI539"/>
      <c r="RJ539"/>
      <c r="RK539"/>
      <c r="RL539"/>
      <c r="RM539"/>
      <c r="RN539"/>
      <c r="RO539"/>
      <c r="RP539"/>
      <c r="RQ539"/>
      <c r="RR539"/>
      <c r="RS539"/>
      <c r="RT539"/>
      <c r="RU539"/>
      <c r="RV539"/>
      <c r="RW539"/>
      <c r="RX539"/>
      <c r="RY539"/>
      <c r="RZ539"/>
      <c r="SA539"/>
      <c r="SB539"/>
      <c r="SC539"/>
      <c r="SD539"/>
      <c r="SE539"/>
      <c r="SF539"/>
      <c r="SG539"/>
      <c r="SH539"/>
      <c r="SI539"/>
      <c r="SJ539"/>
      <c r="SK539"/>
      <c r="SL539"/>
      <c r="SM539"/>
      <c r="SN539"/>
      <c r="SO539"/>
      <c r="SP539"/>
      <c r="SQ539"/>
      <c r="SR539"/>
      <c r="SS539"/>
      <c r="ST539"/>
      <c r="SU539"/>
      <c r="SV539"/>
      <c r="SW539"/>
      <c r="SX539"/>
      <c r="SY539"/>
      <c r="SZ539"/>
      <c r="TA539"/>
      <c r="TB539"/>
      <c r="TC539"/>
      <c r="TD539"/>
      <c r="TE539"/>
      <c r="TF539"/>
      <c r="TG539"/>
      <c r="TH539"/>
      <c r="TI539"/>
      <c r="TJ539"/>
      <c r="TK539"/>
      <c r="TL539"/>
      <c r="TM539"/>
      <c r="TN539"/>
      <c r="TO539"/>
      <c r="TP539"/>
      <c r="TQ539"/>
      <c r="TR539"/>
      <c r="TS539"/>
      <c r="TT539"/>
      <c r="TU539"/>
      <c r="TV539"/>
      <c r="TW539"/>
      <c r="TX539"/>
      <c r="TY539"/>
      <c r="TZ539"/>
      <c r="UA539"/>
      <c r="UB539"/>
      <c r="UC539"/>
      <c r="UD539"/>
      <c r="UE539"/>
      <c r="UF539"/>
      <c r="UG539"/>
      <c r="UH539"/>
      <c r="UI539"/>
      <c r="UJ539"/>
      <c r="UK539"/>
      <c r="UL539"/>
      <c r="UM539"/>
      <c r="UN539"/>
      <c r="UO539"/>
      <c r="UP539"/>
      <c r="UQ539"/>
      <c r="UR539"/>
      <c r="US539"/>
      <c r="UT539"/>
      <c r="UU539"/>
      <c r="UV539"/>
      <c r="UW539"/>
      <c r="UX539"/>
      <c r="UY539"/>
      <c r="UZ539"/>
      <c r="VA539"/>
      <c r="VB539"/>
      <c r="VC539"/>
      <c r="VD539"/>
      <c r="VE539"/>
      <c r="VF539"/>
      <c r="VG539"/>
      <c r="VH539"/>
      <c r="VI539"/>
      <c r="VJ539"/>
      <c r="VK539"/>
      <c r="VL539"/>
      <c r="VM539"/>
      <c r="VN539"/>
      <c r="VO539"/>
      <c r="VP539"/>
      <c r="VQ539"/>
      <c r="VR539"/>
      <c r="VS539"/>
      <c r="VT539"/>
      <c r="VU539"/>
      <c r="VV539"/>
      <c r="VW539"/>
      <c r="VX539"/>
      <c r="VY539"/>
      <c r="VZ539"/>
      <c r="WA539"/>
      <c r="WB539"/>
      <c r="WC539"/>
      <c r="WD539"/>
      <c r="WE539"/>
      <c r="WF539"/>
      <c r="WG539"/>
      <c r="WH539"/>
      <c r="WI539"/>
      <c r="WJ539"/>
      <c r="WK539"/>
      <c r="WL539"/>
      <c r="WM539"/>
      <c r="WN539"/>
      <c r="WO539"/>
      <c r="WP539"/>
      <c r="WQ539"/>
      <c r="WR539"/>
      <c r="WS539"/>
      <c r="WT539"/>
      <c r="WU539"/>
      <c r="WV539"/>
      <c r="WW539"/>
      <c r="WX539"/>
      <c r="WY539"/>
      <c r="WZ539"/>
      <c r="XA539"/>
      <c r="XB539"/>
      <c r="XC539"/>
      <c r="XD539"/>
      <c r="XE539"/>
      <c r="XF539"/>
      <c r="XG539"/>
      <c r="XH539"/>
      <c r="XI539"/>
      <c r="XJ539"/>
      <c r="XK539"/>
      <c r="XL539"/>
      <c r="XM539"/>
      <c r="XN539"/>
      <c r="XO539"/>
      <c r="XP539"/>
      <c r="XQ539"/>
      <c r="XR539"/>
      <c r="XS539"/>
      <c r="XT539"/>
      <c r="XU539"/>
      <c r="XV539"/>
      <c r="XW539"/>
      <c r="XX539"/>
      <c r="XY539"/>
      <c r="XZ539"/>
      <c r="YA539"/>
      <c r="YB539"/>
      <c r="YC539"/>
      <c r="YD539"/>
      <c r="YE539"/>
      <c r="YF539"/>
      <c r="YG539"/>
      <c r="YH539"/>
      <c r="YI539"/>
      <c r="YJ539"/>
      <c r="YK539"/>
      <c r="YL539"/>
      <c r="YM539"/>
      <c r="YN539"/>
      <c r="YO539"/>
      <c r="YP539"/>
      <c r="YQ539"/>
      <c r="YR539"/>
      <c r="YS539"/>
      <c r="YT539"/>
      <c r="YU539"/>
      <c r="YV539"/>
      <c r="YW539"/>
      <c r="YX539"/>
      <c r="YY539"/>
      <c r="YZ539"/>
      <c r="ZA539"/>
      <c r="ZB539"/>
      <c r="ZC539"/>
      <c r="ZD539"/>
      <c r="ZE539"/>
      <c r="ZF539"/>
      <c r="ZG539"/>
      <c r="ZH539"/>
      <c r="ZI539"/>
      <c r="ZJ539"/>
      <c r="ZK539"/>
      <c r="ZL539"/>
      <c r="ZM539"/>
      <c r="ZN539"/>
      <c r="ZO539"/>
      <c r="ZP539"/>
      <c r="ZQ539"/>
      <c r="ZR539"/>
      <c r="ZS539"/>
      <c r="ZT539"/>
      <c r="ZU539"/>
      <c r="ZV539"/>
      <c r="ZW539"/>
      <c r="ZX539"/>
      <c r="ZY539"/>
      <c r="ZZ539" s="52"/>
      <c r="AAA539" s="192"/>
      <c r="AAD539" s="90"/>
      <c r="AAE539" s="519">
        <f>IF(AND(S.Notice.AD.Involved="Y",S.Notice.Involved="Y"),1,0)</f>
        <v>1</v>
      </c>
      <c r="AAF539" s="90"/>
      <c r="AAG539" s="73">
        <f>IF(AAE539=0,,IF(S.Notice.AD.Involved="N",,S.Notice.SubmitToSOS))</f>
        <v>41621</v>
      </c>
      <c r="AAH539" s="73">
        <f t="shared" ref="AAH539:AAH541" si="443">IF(AAE539=0,,G539)</f>
        <v>41621</v>
      </c>
      <c r="AAI539" s="72"/>
      <c r="AAJ539" s="72"/>
      <c r="AAK539" s="71" t="s">
        <v>0</v>
      </c>
      <c r="AAL539" s="90"/>
    </row>
    <row r="540" spans="1:715" s="23" customFormat="1" ht="15" customHeight="1" outlineLevel="1">
      <c r="A540" s="171"/>
      <c r="B540" s="396" t="s">
        <v>362</v>
      </c>
      <c r="C540" s="376" t="s">
        <v>0</v>
      </c>
      <c r="D540" s="380"/>
      <c r="E540" s="397">
        <f t="shared" ref="E540" si="444">NETWORKDAYS(G540,H540,S.DDL_DEQClosed)</f>
        <v>1</v>
      </c>
      <c r="F540" s="457">
        <f ca="1">IF(YEAR(H540)&gt;2000,NETWORKDAYS(TODAY(),H540,S.DDL_DEQClosed),0)</f>
        <v>33</v>
      </c>
      <c r="G540" s="400">
        <f t="shared" si="441"/>
        <v>41621</v>
      </c>
      <c r="H540" s="343">
        <f t="shared" ref="H540" si="445">AAH540</f>
        <v>41621</v>
      </c>
      <c r="I540" s="244"/>
      <c r="J540" s="194"/>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9"/>
      <c r="CD540" s="49"/>
      <c r="CE540" s="49"/>
      <c r="CF540" s="49"/>
      <c r="CG540" s="49"/>
      <c r="CH540" s="49"/>
      <c r="CI540" s="49"/>
      <c r="CJ540" s="49"/>
      <c r="CK540" s="49"/>
      <c r="CL540" s="49"/>
      <c r="CM540" s="49"/>
      <c r="CN540" s="49"/>
      <c r="CO540" s="49"/>
      <c r="CP540" s="49"/>
      <c r="CQ540" s="49"/>
      <c r="CR540" s="49"/>
      <c r="CS540" s="49"/>
      <c r="CT540" s="49"/>
      <c r="CU540" s="49"/>
      <c r="CV540" s="49"/>
      <c r="CW540" s="49"/>
      <c r="CX540" s="49"/>
      <c r="CY540" s="49"/>
      <c r="CZ540" s="49"/>
      <c r="DA540" s="49"/>
      <c r="DB540" s="49"/>
      <c r="DC540" s="49"/>
      <c r="DD540" s="49"/>
      <c r="DE540" s="49"/>
      <c r="DF540" s="49"/>
      <c r="DG540" s="49"/>
      <c r="DH540" s="49"/>
      <c r="DI540" s="49"/>
      <c r="DJ540" s="49"/>
      <c r="DK540" s="49"/>
      <c r="DL540" s="49"/>
      <c r="DM540" s="49"/>
      <c r="DN540" s="49"/>
      <c r="DO540" s="49"/>
      <c r="DP540" s="49"/>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c r="LP540"/>
      <c r="LQ540"/>
      <c r="LR540"/>
      <c r="LS540"/>
      <c r="LT540"/>
      <c r="LU540"/>
      <c r="LV540"/>
      <c r="LW540"/>
      <c r="LX540"/>
      <c r="LY540"/>
      <c r="LZ540"/>
      <c r="MA540"/>
      <c r="MB540"/>
      <c r="MC540"/>
      <c r="MD540"/>
      <c r="ME540"/>
      <c r="MF540"/>
      <c r="MG540"/>
      <c r="MH540"/>
      <c r="MI540"/>
      <c r="MJ540"/>
      <c r="MK540"/>
      <c r="ML540"/>
      <c r="MM540"/>
      <c r="MN540"/>
      <c r="MO540"/>
      <c r="MP540"/>
      <c r="MQ540"/>
      <c r="MR540"/>
      <c r="MS540"/>
      <c r="MT540"/>
      <c r="MU540"/>
      <c r="MV540"/>
      <c r="MW540"/>
      <c r="MX540"/>
      <c r="MY540"/>
      <c r="MZ540"/>
      <c r="NA540"/>
      <c r="NB540"/>
      <c r="NC540"/>
      <c r="ND540"/>
      <c r="NE540"/>
      <c r="NF540"/>
      <c r="NG540"/>
      <c r="NH540"/>
      <c r="NI540"/>
      <c r="NJ540"/>
      <c r="NK540"/>
      <c r="NL540"/>
      <c r="NM540"/>
      <c r="NN540"/>
      <c r="NO540"/>
      <c r="NP540"/>
      <c r="NQ540"/>
      <c r="NR540"/>
      <c r="NS540"/>
      <c r="NT540"/>
      <c r="NU540"/>
      <c r="NV540"/>
      <c r="NW540"/>
      <c r="NX540"/>
      <c r="NY540"/>
      <c r="NZ540"/>
      <c r="OA540"/>
      <c r="OB540"/>
      <c r="OC540"/>
      <c r="OD540"/>
      <c r="OE540"/>
      <c r="OF540"/>
      <c r="OG540"/>
      <c r="OH540"/>
      <c r="OI540"/>
      <c r="OJ540"/>
      <c r="OK540"/>
      <c r="OL540"/>
      <c r="OM540"/>
      <c r="ON540"/>
      <c r="OO540"/>
      <c r="OP540"/>
      <c r="OQ540"/>
      <c r="OR540"/>
      <c r="OS540"/>
      <c r="OT540"/>
      <c r="OU540"/>
      <c r="OV540"/>
      <c r="OW540"/>
      <c r="OX540"/>
      <c r="OY540"/>
      <c r="OZ540"/>
      <c r="PA540"/>
      <c r="PB540"/>
      <c r="PC540"/>
      <c r="PD540"/>
      <c r="PE540"/>
      <c r="PF540"/>
      <c r="PG540"/>
      <c r="PH540"/>
      <c r="PI540"/>
      <c r="PJ540"/>
      <c r="PK540"/>
      <c r="PL540"/>
      <c r="PM540"/>
      <c r="PN540"/>
      <c r="PO540"/>
      <c r="PP540"/>
      <c r="PQ540"/>
      <c r="PR540"/>
      <c r="PS540"/>
      <c r="PT540"/>
      <c r="PU540"/>
      <c r="PV540"/>
      <c r="PW540"/>
      <c r="PX540"/>
      <c r="PY540"/>
      <c r="PZ540"/>
      <c r="QA540"/>
      <c r="QB540"/>
      <c r="QC540"/>
      <c r="QD540"/>
      <c r="QE540"/>
      <c r="QF540"/>
      <c r="QG540"/>
      <c r="QH540"/>
      <c r="QI540"/>
      <c r="QJ540"/>
      <c r="QK540"/>
      <c r="QL540"/>
      <c r="QM540"/>
      <c r="QN540"/>
      <c r="QO540"/>
      <c r="QP540"/>
      <c r="QQ540"/>
      <c r="QR540"/>
      <c r="QS540"/>
      <c r="QT540"/>
      <c r="QU540"/>
      <c r="QV540"/>
      <c r="QW540"/>
      <c r="QX540"/>
      <c r="QY540"/>
      <c r="QZ540"/>
      <c r="RA540"/>
      <c r="RB540"/>
      <c r="RC540"/>
      <c r="RD540"/>
      <c r="RE540"/>
      <c r="RF540"/>
      <c r="RG540"/>
      <c r="RH540"/>
      <c r="RI540"/>
      <c r="RJ540"/>
      <c r="RK540"/>
      <c r="RL540"/>
      <c r="RM540"/>
      <c r="RN540"/>
      <c r="RO540"/>
      <c r="RP540"/>
      <c r="RQ540"/>
      <c r="RR540"/>
      <c r="RS540"/>
      <c r="RT540"/>
      <c r="RU540"/>
      <c r="RV540"/>
      <c r="RW540"/>
      <c r="RX540"/>
      <c r="RY540"/>
      <c r="RZ540"/>
      <c r="SA540"/>
      <c r="SB540"/>
      <c r="SC540"/>
      <c r="SD540"/>
      <c r="SE540"/>
      <c r="SF540"/>
      <c r="SG540"/>
      <c r="SH540"/>
      <c r="SI540"/>
      <c r="SJ540"/>
      <c r="SK540"/>
      <c r="SL540"/>
      <c r="SM540"/>
      <c r="SN540"/>
      <c r="SO540"/>
      <c r="SP540"/>
      <c r="SQ540"/>
      <c r="SR540"/>
      <c r="SS540"/>
      <c r="ST540"/>
      <c r="SU540"/>
      <c r="SV540"/>
      <c r="SW540"/>
      <c r="SX540"/>
      <c r="SY540"/>
      <c r="SZ540"/>
      <c r="TA540"/>
      <c r="TB540"/>
      <c r="TC540"/>
      <c r="TD540"/>
      <c r="TE540"/>
      <c r="TF540"/>
      <c r="TG540"/>
      <c r="TH540"/>
      <c r="TI540"/>
      <c r="TJ540"/>
      <c r="TK540"/>
      <c r="TL540"/>
      <c r="TM540"/>
      <c r="TN540"/>
      <c r="TO540"/>
      <c r="TP540"/>
      <c r="TQ540"/>
      <c r="TR540"/>
      <c r="TS540"/>
      <c r="TT540"/>
      <c r="TU540"/>
      <c r="TV540"/>
      <c r="TW540"/>
      <c r="TX540"/>
      <c r="TY540"/>
      <c r="TZ540"/>
      <c r="UA540"/>
      <c r="UB540"/>
      <c r="UC540"/>
      <c r="UD540"/>
      <c r="UE540"/>
      <c r="UF540"/>
      <c r="UG540"/>
      <c r="UH540"/>
      <c r="UI540"/>
      <c r="UJ540"/>
      <c r="UK540"/>
      <c r="UL540"/>
      <c r="UM540"/>
      <c r="UN540"/>
      <c r="UO540"/>
      <c r="UP540"/>
      <c r="UQ540"/>
      <c r="UR540"/>
      <c r="US540"/>
      <c r="UT540"/>
      <c r="UU540"/>
      <c r="UV540"/>
      <c r="UW540"/>
      <c r="UX540"/>
      <c r="UY540"/>
      <c r="UZ540"/>
      <c r="VA540"/>
      <c r="VB540"/>
      <c r="VC540"/>
      <c r="VD540"/>
      <c r="VE540"/>
      <c r="VF540"/>
      <c r="VG540"/>
      <c r="VH540"/>
      <c r="VI540"/>
      <c r="VJ540"/>
      <c r="VK540"/>
      <c r="VL540"/>
      <c r="VM540"/>
      <c r="VN540"/>
      <c r="VO540"/>
      <c r="VP540"/>
      <c r="VQ540"/>
      <c r="VR540"/>
      <c r="VS540"/>
      <c r="VT540"/>
      <c r="VU540"/>
      <c r="VV540"/>
      <c r="VW540"/>
      <c r="VX540"/>
      <c r="VY540"/>
      <c r="VZ540"/>
      <c r="WA540"/>
      <c r="WB540"/>
      <c r="WC540"/>
      <c r="WD540"/>
      <c r="WE540"/>
      <c r="WF540"/>
      <c r="WG540"/>
      <c r="WH540"/>
      <c r="WI540"/>
      <c r="WJ540"/>
      <c r="WK540"/>
      <c r="WL540"/>
      <c r="WM540"/>
      <c r="WN540"/>
      <c r="WO540"/>
      <c r="WP540"/>
      <c r="WQ540"/>
      <c r="WR540"/>
      <c r="WS540"/>
      <c r="WT540"/>
      <c r="WU540"/>
      <c r="WV540"/>
      <c r="WW540"/>
      <c r="WX540"/>
      <c r="WY540"/>
      <c r="WZ540"/>
      <c r="XA540"/>
      <c r="XB540"/>
      <c r="XC540"/>
      <c r="XD540"/>
      <c r="XE540"/>
      <c r="XF540"/>
      <c r="XG540"/>
      <c r="XH540"/>
      <c r="XI540"/>
      <c r="XJ540"/>
      <c r="XK540"/>
      <c r="XL540"/>
      <c r="XM540"/>
      <c r="XN540"/>
      <c r="XO540"/>
      <c r="XP540"/>
      <c r="XQ540"/>
      <c r="XR540"/>
      <c r="XS540"/>
      <c r="XT540"/>
      <c r="XU540"/>
      <c r="XV540"/>
      <c r="XW540"/>
      <c r="XX540"/>
      <c r="XY540"/>
      <c r="XZ540"/>
      <c r="YA540"/>
      <c r="YB540"/>
      <c r="YC540"/>
      <c r="YD540"/>
      <c r="YE540"/>
      <c r="YF540"/>
      <c r="YG540"/>
      <c r="YH540"/>
      <c r="YI540"/>
      <c r="YJ540"/>
      <c r="YK540"/>
      <c r="YL540"/>
      <c r="YM540"/>
      <c r="YN540"/>
      <c r="YO540"/>
      <c r="YP540"/>
      <c r="YQ540"/>
      <c r="YR540"/>
      <c r="YS540"/>
      <c r="YT540"/>
      <c r="YU540"/>
      <c r="YV540"/>
      <c r="YW540"/>
      <c r="YX540"/>
      <c r="YY540"/>
      <c r="YZ540"/>
      <c r="ZA540"/>
      <c r="ZB540"/>
      <c r="ZC540"/>
      <c r="ZD540"/>
      <c r="ZE540"/>
      <c r="ZF540"/>
      <c r="ZG540"/>
      <c r="ZH540"/>
      <c r="ZI540"/>
      <c r="ZJ540"/>
      <c r="ZK540"/>
      <c r="ZL540"/>
      <c r="ZM540"/>
      <c r="ZN540"/>
      <c r="ZO540"/>
      <c r="ZP540"/>
      <c r="ZQ540"/>
      <c r="ZR540"/>
      <c r="ZS540"/>
      <c r="ZT540"/>
      <c r="ZU540"/>
      <c r="ZV540"/>
      <c r="ZW540"/>
      <c r="ZX540"/>
      <c r="ZY540"/>
      <c r="ZZ540" s="52"/>
      <c r="AAA540" s="192"/>
      <c r="AAD540" s="90"/>
      <c r="AAE540" s="519">
        <f>IF(AND(S.Notice.AD.Involved="Y",S.Notice.Involved="Y"),1,0)</f>
        <v>1</v>
      </c>
      <c r="AAF540" s="90"/>
      <c r="AAG540" s="73">
        <f>IF(AAE540=0,,IF(S.Notice.AD.Involved="N",,S.Notice.SubmitToSOS))</f>
        <v>41621</v>
      </c>
      <c r="AAH540" s="73">
        <f t="shared" si="443"/>
        <v>41621</v>
      </c>
      <c r="AAI540" s="72"/>
      <c r="AAJ540" s="72"/>
      <c r="AAK540" s="56"/>
      <c r="AAL540" s="90"/>
    </row>
    <row r="541" spans="1:715" s="23" customFormat="1" ht="15" customHeight="1" outlineLevel="1">
      <c r="A541" s="171"/>
      <c r="B541" s="396" t="s">
        <v>420</v>
      </c>
      <c r="C541" s="376" t="s">
        <v>0</v>
      </c>
      <c r="D541" s="380"/>
      <c r="E541" s="397">
        <f t="shared" ref="E541" si="446">NETWORKDAYS(G541,H541,S.DDL_DEQClosed)</f>
        <v>1</v>
      </c>
      <c r="F541" s="457">
        <f ca="1">IF(YEAR(H541)&gt;2000,NETWORKDAYS(TODAY(),H541,S.DDL_DEQClosed),0)</f>
        <v>33</v>
      </c>
      <c r="G541" s="400">
        <f t="shared" ref="G541" si="447">AAG541</f>
        <v>41621</v>
      </c>
      <c r="H541" s="343">
        <f t="shared" ref="H541" si="448">AAH541</f>
        <v>41621</v>
      </c>
      <c r="I541" s="244"/>
      <c r="J541" s="194"/>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9"/>
      <c r="CD541" s="49"/>
      <c r="CE541" s="49"/>
      <c r="CF541" s="49"/>
      <c r="CG541" s="49"/>
      <c r="CH541" s="49"/>
      <c r="CI541" s="49"/>
      <c r="CJ541" s="49"/>
      <c r="CK541" s="49"/>
      <c r="CL541" s="49"/>
      <c r="CM541" s="49"/>
      <c r="CN541" s="49"/>
      <c r="CO541" s="49"/>
      <c r="CP541" s="49"/>
      <c r="CQ541" s="49"/>
      <c r="CR541" s="49"/>
      <c r="CS541" s="49"/>
      <c r="CT541" s="49"/>
      <c r="CU541" s="49"/>
      <c r="CV541" s="49"/>
      <c r="CW541" s="49"/>
      <c r="CX541" s="49"/>
      <c r="CY541" s="49"/>
      <c r="CZ541" s="49"/>
      <c r="DA541" s="49"/>
      <c r="DB541" s="49"/>
      <c r="DC541" s="49"/>
      <c r="DD541" s="49"/>
      <c r="DE541" s="49"/>
      <c r="DF541" s="49"/>
      <c r="DG541" s="49"/>
      <c r="DH541" s="49"/>
      <c r="DI541" s="49"/>
      <c r="DJ541" s="49"/>
      <c r="DK541" s="49"/>
      <c r="DL541" s="49"/>
      <c r="DM541" s="49"/>
      <c r="DN541" s="49"/>
      <c r="DO541" s="49"/>
      <c r="DP541" s="49"/>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c r="LP541"/>
      <c r="LQ541"/>
      <c r="LR541"/>
      <c r="LS541"/>
      <c r="LT541"/>
      <c r="LU541"/>
      <c r="LV541"/>
      <c r="LW541"/>
      <c r="LX541"/>
      <c r="LY541"/>
      <c r="LZ541"/>
      <c r="MA541"/>
      <c r="MB541"/>
      <c r="MC541"/>
      <c r="MD541"/>
      <c r="ME541"/>
      <c r="MF541"/>
      <c r="MG541"/>
      <c r="MH541"/>
      <c r="MI541"/>
      <c r="MJ541"/>
      <c r="MK541"/>
      <c r="ML541"/>
      <c r="MM541"/>
      <c r="MN541"/>
      <c r="MO541"/>
      <c r="MP541"/>
      <c r="MQ541"/>
      <c r="MR541"/>
      <c r="MS541"/>
      <c r="MT541"/>
      <c r="MU541"/>
      <c r="MV541"/>
      <c r="MW541"/>
      <c r="MX541"/>
      <c r="MY541"/>
      <c r="MZ541"/>
      <c r="NA541"/>
      <c r="NB541"/>
      <c r="NC541"/>
      <c r="ND541"/>
      <c r="NE541"/>
      <c r="NF541"/>
      <c r="NG541"/>
      <c r="NH541"/>
      <c r="NI541"/>
      <c r="NJ541"/>
      <c r="NK541"/>
      <c r="NL541"/>
      <c r="NM541"/>
      <c r="NN541"/>
      <c r="NO541"/>
      <c r="NP541"/>
      <c r="NQ541"/>
      <c r="NR541"/>
      <c r="NS541"/>
      <c r="NT541"/>
      <c r="NU541"/>
      <c r="NV541"/>
      <c r="NW541"/>
      <c r="NX541"/>
      <c r="NY541"/>
      <c r="NZ541"/>
      <c r="OA541"/>
      <c r="OB541"/>
      <c r="OC541"/>
      <c r="OD541"/>
      <c r="OE541"/>
      <c r="OF541"/>
      <c r="OG541"/>
      <c r="OH541"/>
      <c r="OI541"/>
      <c r="OJ541"/>
      <c r="OK541"/>
      <c r="OL541"/>
      <c r="OM541"/>
      <c r="ON541"/>
      <c r="OO541"/>
      <c r="OP541"/>
      <c r="OQ541"/>
      <c r="OR541"/>
      <c r="OS541"/>
      <c r="OT541"/>
      <c r="OU541"/>
      <c r="OV541"/>
      <c r="OW541"/>
      <c r="OX541"/>
      <c r="OY541"/>
      <c r="OZ541"/>
      <c r="PA541"/>
      <c r="PB541"/>
      <c r="PC541"/>
      <c r="PD541"/>
      <c r="PE541"/>
      <c r="PF541"/>
      <c r="PG541"/>
      <c r="PH541"/>
      <c r="PI541"/>
      <c r="PJ541"/>
      <c r="PK541"/>
      <c r="PL541"/>
      <c r="PM541"/>
      <c r="PN541"/>
      <c r="PO541"/>
      <c r="PP541"/>
      <c r="PQ541"/>
      <c r="PR541"/>
      <c r="PS541"/>
      <c r="PT541"/>
      <c r="PU541"/>
      <c r="PV541"/>
      <c r="PW541"/>
      <c r="PX541"/>
      <c r="PY541"/>
      <c r="PZ541"/>
      <c r="QA541"/>
      <c r="QB541"/>
      <c r="QC541"/>
      <c r="QD541"/>
      <c r="QE541"/>
      <c r="QF541"/>
      <c r="QG541"/>
      <c r="QH541"/>
      <c r="QI541"/>
      <c r="QJ541"/>
      <c r="QK541"/>
      <c r="QL541"/>
      <c r="QM541"/>
      <c r="QN541"/>
      <c r="QO541"/>
      <c r="QP541"/>
      <c r="QQ541"/>
      <c r="QR541"/>
      <c r="QS541"/>
      <c r="QT541"/>
      <c r="QU541"/>
      <c r="QV541"/>
      <c r="QW541"/>
      <c r="QX541"/>
      <c r="QY541"/>
      <c r="QZ541"/>
      <c r="RA541"/>
      <c r="RB541"/>
      <c r="RC541"/>
      <c r="RD541"/>
      <c r="RE541"/>
      <c r="RF541"/>
      <c r="RG541"/>
      <c r="RH541"/>
      <c r="RI541"/>
      <c r="RJ541"/>
      <c r="RK541"/>
      <c r="RL541"/>
      <c r="RM541"/>
      <c r="RN541"/>
      <c r="RO541"/>
      <c r="RP541"/>
      <c r="RQ541"/>
      <c r="RR541"/>
      <c r="RS541"/>
      <c r="RT541"/>
      <c r="RU541"/>
      <c r="RV541"/>
      <c r="RW541"/>
      <c r="RX541"/>
      <c r="RY541"/>
      <c r="RZ541"/>
      <c r="SA541"/>
      <c r="SB541"/>
      <c r="SC541"/>
      <c r="SD541"/>
      <c r="SE541"/>
      <c r="SF541"/>
      <c r="SG541"/>
      <c r="SH541"/>
      <c r="SI541"/>
      <c r="SJ541"/>
      <c r="SK541"/>
      <c r="SL541"/>
      <c r="SM541"/>
      <c r="SN541"/>
      <c r="SO541"/>
      <c r="SP541"/>
      <c r="SQ541"/>
      <c r="SR541"/>
      <c r="SS541"/>
      <c r="ST541"/>
      <c r="SU541"/>
      <c r="SV541"/>
      <c r="SW541"/>
      <c r="SX541"/>
      <c r="SY541"/>
      <c r="SZ541"/>
      <c r="TA541"/>
      <c r="TB541"/>
      <c r="TC541"/>
      <c r="TD541"/>
      <c r="TE541"/>
      <c r="TF541"/>
      <c r="TG541"/>
      <c r="TH541"/>
      <c r="TI541"/>
      <c r="TJ541"/>
      <c r="TK541"/>
      <c r="TL541"/>
      <c r="TM541"/>
      <c r="TN541"/>
      <c r="TO541"/>
      <c r="TP541"/>
      <c r="TQ541"/>
      <c r="TR541"/>
      <c r="TS541"/>
      <c r="TT541"/>
      <c r="TU541"/>
      <c r="TV541"/>
      <c r="TW541"/>
      <c r="TX541"/>
      <c r="TY541"/>
      <c r="TZ541"/>
      <c r="UA541"/>
      <c r="UB541"/>
      <c r="UC541"/>
      <c r="UD541"/>
      <c r="UE541"/>
      <c r="UF541"/>
      <c r="UG541"/>
      <c r="UH541"/>
      <c r="UI541"/>
      <c r="UJ541"/>
      <c r="UK541"/>
      <c r="UL541"/>
      <c r="UM541"/>
      <c r="UN541"/>
      <c r="UO541"/>
      <c r="UP541"/>
      <c r="UQ541"/>
      <c r="UR541"/>
      <c r="US541"/>
      <c r="UT541"/>
      <c r="UU541"/>
      <c r="UV541"/>
      <c r="UW541"/>
      <c r="UX541"/>
      <c r="UY541"/>
      <c r="UZ541"/>
      <c r="VA541"/>
      <c r="VB541"/>
      <c r="VC541"/>
      <c r="VD541"/>
      <c r="VE541"/>
      <c r="VF541"/>
      <c r="VG541"/>
      <c r="VH541"/>
      <c r="VI541"/>
      <c r="VJ541"/>
      <c r="VK541"/>
      <c r="VL541"/>
      <c r="VM541"/>
      <c r="VN541"/>
      <c r="VO541"/>
      <c r="VP541"/>
      <c r="VQ541"/>
      <c r="VR541"/>
      <c r="VS541"/>
      <c r="VT541"/>
      <c r="VU541"/>
      <c r="VV541"/>
      <c r="VW541"/>
      <c r="VX541"/>
      <c r="VY541"/>
      <c r="VZ541"/>
      <c r="WA541"/>
      <c r="WB541"/>
      <c r="WC541"/>
      <c r="WD541"/>
      <c r="WE541"/>
      <c r="WF541"/>
      <c r="WG541"/>
      <c r="WH541"/>
      <c r="WI541"/>
      <c r="WJ541"/>
      <c r="WK541"/>
      <c r="WL541"/>
      <c r="WM541"/>
      <c r="WN541"/>
      <c r="WO541"/>
      <c r="WP541"/>
      <c r="WQ541"/>
      <c r="WR541"/>
      <c r="WS541"/>
      <c r="WT541"/>
      <c r="WU541"/>
      <c r="WV541"/>
      <c r="WW541"/>
      <c r="WX541"/>
      <c r="WY541"/>
      <c r="WZ541"/>
      <c r="XA541"/>
      <c r="XB541"/>
      <c r="XC541"/>
      <c r="XD541"/>
      <c r="XE541"/>
      <c r="XF541"/>
      <c r="XG541"/>
      <c r="XH541"/>
      <c r="XI541"/>
      <c r="XJ541"/>
      <c r="XK541"/>
      <c r="XL541"/>
      <c r="XM541"/>
      <c r="XN541"/>
      <c r="XO541"/>
      <c r="XP541"/>
      <c r="XQ541"/>
      <c r="XR541"/>
      <c r="XS541"/>
      <c r="XT541"/>
      <c r="XU541"/>
      <c r="XV541"/>
      <c r="XW541"/>
      <c r="XX541"/>
      <c r="XY541"/>
      <c r="XZ541"/>
      <c r="YA541"/>
      <c r="YB541"/>
      <c r="YC541"/>
      <c r="YD541"/>
      <c r="YE541"/>
      <c r="YF541"/>
      <c r="YG541"/>
      <c r="YH541"/>
      <c r="YI541"/>
      <c r="YJ541"/>
      <c r="YK541"/>
      <c r="YL541"/>
      <c r="YM541"/>
      <c r="YN541"/>
      <c r="YO541"/>
      <c r="YP541"/>
      <c r="YQ541"/>
      <c r="YR541"/>
      <c r="YS541"/>
      <c r="YT541"/>
      <c r="YU541"/>
      <c r="YV541"/>
      <c r="YW541"/>
      <c r="YX541"/>
      <c r="YY541"/>
      <c r="YZ541"/>
      <c r="ZA541"/>
      <c r="ZB541"/>
      <c r="ZC541"/>
      <c r="ZD541"/>
      <c r="ZE541"/>
      <c r="ZF541"/>
      <c r="ZG541"/>
      <c r="ZH541"/>
      <c r="ZI541"/>
      <c r="ZJ541"/>
      <c r="ZK541"/>
      <c r="ZL541"/>
      <c r="ZM541"/>
      <c r="ZN541"/>
      <c r="ZO541"/>
      <c r="ZP541"/>
      <c r="ZQ541"/>
      <c r="ZR541"/>
      <c r="ZS541"/>
      <c r="ZT541"/>
      <c r="ZU541"/>
      <c r="ZV541"/>
      <c r="ZW541"/>
      <c r="ZX541"/>
      <c r="ZY541"/>
      <c r="ZZ541" s="52"/>
      <c r="AAA541" s="192"/>
      <c r="AAD541" s="90"/>
      <c r="AAE541" s="519">
        <f>IF(AND(S.Notice.AD.Involved="Y",S.Notice.Involved="Y"),1,0)</f>
        <v>1</v>
      </c>
      <c r="AAF541" s="90"/>
      <c r="AAG541" s="73">
        <f>IF(AAE541=0,,IF(S.Notice.AD.Involved="N",,S.Notice.SubmitToSOS))</f>
        <v>41621</v>
      </c>
      <c r="AAH541" s="73">
        <f t="shared" si="443"/>
        <v>41621</v>
      </c>
      <c r="AAI541" s="72"/>
      <c r="AAJ541" s="72"/>
      <c r="AAK541" s="56"/>
      <c r="AAL541" s="90"/>
    </row>
    <row r="542" spans="1:715" ht="15" customHeight="1" outlineLevel="1">
      <c r="A542" s="171"/>
      <c r="B542" s="483" t="s">
        <v>393</v>
      </c>
      <c r="C542" s="346"/>
      <c r="D542" s="357"/>
      <c r="E542" s="350"/>
      <c r="F542" s="350"/>
      <c r="G542" s="346"/>
      <c r="H542" s="346"/>
      <c r="I542" s="244"/>
      <c r="J542" s="194"/>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9"/>
      <c r="CD542" s="49"/>
      <c r="CE542" s="49"/>
      <c r="CF542" s="49"/>
      <c r="CG542" s="49"/>
      <c r="CH542" s="49"/>
      <c r="CI542" s="49"/>
      <c r="CJ542" s="49"/>
      <c r="CK542" s="49"/>
      <c r="CL542" s="49"/>
      <c r="CM542" s="49"/>
      <c r="CN542" s="49"/>
      <c r="CO542" s="49"/>
      <c r="CP542" s="49"/>
      <c r="CQ542" s="49"/>
      <c r="CR542" s="49"/>
      <c r="CS542" s="49"/>
      <c r="CT542" s="49"/>
      <c r="CU542" s="49"/>
      <c r="CV542" s="49"/>
      <c r="CW542" s="49"/>
      <c r="CX542" s="49"/>
      <c r="CY542" s="49"/>
      <c r="CZ542" s="49"/>
      <c r="DA542" s="49"/>
      <c r="DB542" s="49"/>
      <c r="DC542" s="49"/>
      <c r="DD542" s="49"/>
      <c r="DE542" s="49"/>
      <c r="DF542" s="49"/>
      <c r="DG542" s="49"/>
      <c r="DH542" s="49"/>
      <c r="DI542" s="49"/>
      <c r="DJ542" s="49"/>
      <c r="DK542" s="49"/>
      <c r="DL542" s="49"/>
      <c r="DM542" s="49"/>
      <c r="DN542" s="49"/>
      <c r="DO542" s="49"/>
      <c r="DP542" s="49"/>
      <c r="AAA542" s="192"/>
      <c r="AAD542" s="90"/>
      <c r="AAE542" s="519">
        <f>IF(AND(S.Notice.AD.Involved="Y",S.Notice.Involved="Y"),1,0)</f>
        <v>1</v>
      </c>
      <c r="AAF542" s="190" t="s">
        <v>52</v>
      </c>
      <c r="AAG542" s="71"/>
      <c r="AAH542" s="71"/>
      <c r="AAI542" s="72"/>
      <c r="AAJ542" s="72"/>
      <c r="AAK542" s="56"/>
      <c r="AAL542" s="90"/>
      <c r="AAM542"/>
    </row>
    <row r="543" spans="1:715" s="23" customFormat="1" ht="15" customHeight="1" outlineLevel="1">
      <c r="A543" s="171"/>
      <c r="B543" s="389" t="str">
        <f>AAK543</f>
        <v>AndreaDRC &amp; Michele maintain Rukemaking Activities Web page</v>
      </c>
      <c r="C543" s="376" t="s">
        <v>0</v>
      </c>
      <c r="D543" s="380"/>
      <c r="E543" s="397">
        <f t="shared" ref="E543:E544" si="449">NETWORKDAYS(G543,H543,S.DDL_DEQClosed)</f>
        <v>23</v>
      </c>
      <c r="F543" s="457">
        <f ca="1">IF(YEAR(H543)&gt;2000,NETWORKDAYS(TODAY(),H543,S.DDL_DEQClosed),0)</f>
        <v>55</v>
      </c>
      <c r="G543" s="424">
        <f t="shared" ref="G543" si="450">AAG543</f>
        <v>41621</v>
      </c>
      <c r="H543" s="351">
        <f t="shared" ref="H543" si="451">AAH543</f>
        <v>41655</v>
      </c>
      <c r="I543" s="244"/>
      <c r="J543" s="194"/>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9"/>
      <c r="CD543" s="49"/>
      <c r="CE543" s="49"/>
      <c r="CF543" s="49"/>
      <c r="CG543" s="49"/>
      <c r="CH543" s="49"/>
      <c r="CI543" s="49"/>
      <c r="CJ543" s="49"/>
      <c r="CK543" s="49"/>
      <c r="CL543" s="49"/>
      <c r="CM543" s="49"/>
      <c r="CN543" s="49"/>
      <c r="CO543" s="49"/>
      <c r="CP543" s="49"/>
      <c r="CQ543" s="49"/>
      <c r="CR543" s="49"/>
      <c r="CS543" s="49"/>
      <c r="CT543" s="49"/>
      <c r="CU543" s="49"/>
      <c r="CV543" s="49"/>
      <c r="CW543" s="49"/>
      <c r="CX543" s="49"/>
      <c r="CY543" s="49"/>
      <c r="CZ543" s="49"/>
      <c r="DA543" s="49"/>
      <c r="DB543" s="49"/>
      <c r="DC543" s="49"/>
      <c r="DD543" s="49"/>
      <c r="DE543" s="49"/>
      <c r="DF543" s="49"/>
      <c r="DG543" s="49"/>
      <c r="DH543" s="49"/>
      <c r="DI543" s="49"/>
      <c r="DJ543" s="49"/>
      <c r="DK543" s="49"/>
      <c r="DL543" s="49"/>
      <c r="DM543" s="49"/>
      <c r="DN543" s="49"/>
      <c r="DO543" s="49"/>
      <c r="DP543" s="49"/>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c r="LP543"/>
      <c r="LQ543"/>
      <c r="LR543"/>
      <c r="LS543"/>
      <c r="LT543"/>
      <c r="LU543"/>
      <c r="LV543"/>
      <c r="LW543"/>
      <c r="LX543"/>
      <c r="LY543"/>
      <c r="LZ543"/>
      <c r="MA543"/>
      <c r="MB543"/>
      <c r="MC543"/>
      <c r="MD543"/>
      <c r="ME543"/>
      <c r="MF543"/>
      <c r="MG543"/>
      <c r="MH543"/>
      <c r="MI543"/>
      <c r="MJ543"/>
      <c r="MK543"/>
      <c r="ML543"/>
      <c r="MM543"/>
      <c r="MN543"/>
      <c r="MO543"/>
      <c r="MP543"/>
      <c r="MQ543"/>
      <c r="MR543"/>
      <c r="MS543"/>
      <c r="MT543"/>
      <c r="MU543"/>
      <c r="MV543"/>
      <c r="MW543"/>
      <c r="MX543"/>
      <c r="MY543"/>
      <c r="MZ543"/>
      <c r="NA543"/>
      <c r="NB543"/>
      <c r="NC543"/>
      <c r="ND543"/>
      <c r="NE543"/>
      <c r="NF543"/>
      <c r="NG543"/>
      <c r="NH543"/>
      <c r="NI543"/>
      <c r="NJ543"/>
      <c r="NK543"/>
      <c r="NL543"/>
      <c r="NM543"/>
      <c r="NN543"/>
      <c r="NO543"/>
      <c r="NP543"/>
      <c r="NQ543"/>
      <c r="NR543"/>
      <c r="NS543"/>
      <c r="NT543"/>
      <c r="NU543"/>
      <c r="NV543"/>
      <c r="NW543"/>
      <c r="NX543"/>
      <c r="NY543"/>
      <c r="NZ543"/>
      <c r="OA543"/>
      <c r="OB543"/>
      <c r="OC543"/>
      <c r="OD543"/>
      <c r="OE543"/>
      <c r="OF543"/>
      <c r="OG543"/>
      <c r="OH543"/>
      <c r="OI543"/>
      <c r="OJ543"/>
      <c r="OK543"/>
      <c r="OL543"/>
      <c r="OM543"/>
      <c r="ON543"/>
      <c r="OO543"/>
      <c r="OP543"/>
      <c r="OQ543"/>
      <c r="OR543"/>
      <c r="OS543"/>
      <c r="OT543"/>
      <c r="OU543"/>
      <c r="OV543"/>
      <c r="OW543"/>
      <c r="OX543"/>
      <c r="OY543"/>
      <c r="OZ543"/>
      <c r="PA543"/>
      <c r="PB543"/>
      <c r="PC543"/>
      <c r="PD543"/>
      <c r="PE543"/>
      <c r="PF543"/>
      <c r="PG543"/>
      <c r="PH543"/>
      <c r="PI543"/>
      <c r="PJ543"/>
      <c r="PK543"/>
      <c r="PL543"/>
      <c r="PM543"/>
      <c r="PN543"/>
      <c r="PO543"/>
      <c r="PP543"/>
      <c r="PQ543"/>
      <c r="PR543"/>
      <c r="PS543"/>
      <c r="PT543"/>
      <c r="PU543"/>
      <c r="PV543"/>
      <c r="PW543"/>
      <c r="PX543"/>
      <c r="PY543"/>
      <c r="PZ543"/>
      <c r="QA543"/>
      <c r="QB543"/>
      <c r="QC543"/>
      <c r="QD543"/>
      <c r="QE543"/>
      <c r="QF543"/>
      <c r="QG543"/>
      <c r="QH543"/>
      <c r="QI543"/>
      <c r="QJ543"/>
      <c r="QK543"/>
      <c r="QL543"/>
      <c r="QM543"/>
      <c r="QN543"/>
      <c r="QO543"/>
      <c r="QP543"/>
      <c r="QQ543"/>
      <c r="QR543"/>
      <c r="QS543"/>
      <c r="QT543"/>
      <c r="QU543"/>
      <c r="QV543"/>
      <c r="QW543"/>
      <c r="QX543"/>
      <c r="QY543"/>
      <c r="QZ543"/>
      <c r="RA543"/>
      <c r="RB543"/>
      <c r="RC543"/>
      <c r="RD543"/>
      <c r="RE543"/>
      <c r="RF543"/>
      <c r="RG543"/>
      <c r="RH543"/>
      <c r="RI543"/>
      <c r="RJ543"/>
      <c r="RK543"/>
      <c r="RL543"/>
      <c r="RM543"/>
      <c r="RN543"/>
      <c r="RO543"/>
      <c r="RP543"/>
      <c r="RQ543"/>
      <c r="RR543"/>
      <c r="RS543"/>
      <c r="RT543"/>
      <c r="RU543"/>
      <c r="RV543"/>
      <c r="RW543"/>
      <c r="RX543"/>
      <c r="RY543"/>
      <c r="RZ543"/>
      <c r="SA543"/>
      <c r="SB543"/>
      <c r="SC543"/>
      <c r="SD543"/>
      <c r="SE543"/>
      <c r="SF543"/>
      <c r="SG543"/>
      <c r="SH543"/>
      <c r="SI543"/>
      <c r="SJ543"/>
      <c r="SK543"/>
      <c r="SL543"/>
      <c r="SM543"/>
      <c r="SN543"/>
      <c r="SO543"/>
      <c r="SP543"/>
      <c r="SQ543"/>
      <c r="SR543"/>
      <c r="SS543"/>
      <c r="ST543"/>
      <c r="SU543"/>
      <c r="SV543"/>
      <c r="SW543"/>
      <c r="SX543"/>
      <c r="SY543"/>
      <c r="SZ543"/>
      <c r="TA543"/>
      <c r="TB543"/>
      <c r="TC543"/>
      <c r="TD543"/>
      <c r="TE543"/>
      <c r="TF543"/>
      <c r="TG543"/>
      <c r="TH543"/>
      <c r="TI543"/>
      <c r="TJ543"/>
      <c r="TK543"/>
      <c r="TL543"/>
      <c r="TM543"/>
      <c r="TN543"/>
      <c r="TO543"/>
      <c r="TP543"/>
      <c r="TQ543"/>
      <c r="TR543"/>
      <c r="TS543"/>
      <c r="TT543"/>
      <c r="TU543"/>
      <c r="TV543"/>
      <c r="TW543"/>
      <c r="TX543"/>
      <c r="TY543"/>
      <c r="TZ543"/>
      <c r="UA543"/>
      <c r="UB543"/>
      <c r="UC543"/>
      <c r="UD543"/>
      <c r="UE543"/>
      <c r="UF543"/>
      <c r="UG543"/>
      <c r="UH543"/>
      <c r="UI543"/>
      <c r="UJ543"/>
      <c r="UK543"/>
      <c r="UL543"/>
      <c r="UM543"/>
      <c r="UN543"/>
      <c r="UO543"/>
      <c r="UP543"/>
      <c r="UQ543"/>
      <c r="UR543"/>
      <c r="US543"/>
      <c r="UT543"/>
      <c r="UU543"/>
      <c r="UV543"/>
      <c r="UW543"/>
      <c r="UX543"/>
      <c r="UY543"/>
      <c r="UZ543"/>
      <c r="VA543"/>
      <c r="VB543"/>
      <c r="VC543"/>
      <c r="VD543"/>
      <c r="VE543"/>
      <c r="VF543"/>
      <c r="VG543"/>
      <c r="VH543"/>
      <c r="VI543"/>
      <c r="VJ543"/>
      <c r="VK543"/>
      <c r="VL543"/>
      <c r="VM543"/>
      <c r="VN543"/>
      <c r="VO543"/>
      <c r="VP543"/>
      <c r="VQ543"/>
      <c r="VR543"/>
      <c r="VS543"/>
      <c r="VT543"/>
      <c r="VU543"/>
      <c r="VV543"/>
      <c r="VW543"/>
      <c r="VX543"/>
      <c r="VY543"/>
      <c r="VZ543"/>
      <c r="WA543"/>
      <c r="WB543"/>
      <c r="WC543"/>
      <c r="WD543"/>
      <c r="WE543"/>
      <c r="WF543"/>
      <c r="WG543"/>
      <c r="WH543"/>
      <c r="WI543"/>
      <c r="WJ543"/>
      <c r="WK543"/>
      <c r="WL543"/>
      <c r="WM543"/>
      <c r="WN543"/>
      <c r="WO543"/>
      <c r="WP543"/>
      <c r="WQ543"/>
      <c r="WR543"/>
      <c r="WS543"/>
      <c r="WT543"/>
      <c r="WU543"/>
      <c r="WV543"/>
      <c r="WW543"/>
      <c r="WX543"/>
      <c r="WY543"/>
      <c r="WZ543"/>
      <c r="XA543"/>
      <c r="XB543"/>
      <c r="XC543"/>
      <c r="XD543"/>
      <c r="XE543"/>
      <c r="XF543"/>
      <c r="XG543"/>
      <c r="XH543"/>
      <c r="XI543"/>
      <c r="XJ543"/>
      <c r="XK543"/>
      <c r="XL543"/>
      <c r="XM543"/>
      <c r="XN543"/>
      <c r="XO543"/>
      <c r="XP543"/>
      <c r="XQ543"/>
      <c r="XR543"/>
      <c r="XS543"/>
      <c r="XT543"/>
      <c r="XU543"/>
      <c r="XV543"/>
      <c r="XW543"/>
      <c r="XX543"/>
      <c r="XY543"/>
      <c r="XZ543"/>
      <c r="YA543"/>
      <c r="YB543"/>
      <c r="YC543"/>
      <c r="YD543"/>
      <c r="YE543"/>
      <c r="YF543"/>
      <c r="YG543"/>
      <c r="YH543"/>
      <c r="YI543"/>
      <c r="YJ543"/>
      <c r="YK543"/>
      <c r="YL543"/>
      <c r="YM543"/>
      <c r="YN543"/>
      <c r="YO543"/>
      <c r="YP543"/>
      <c r="YQ543"/>
      <c r="YR543"/>
      <c r="YS543"/>
      <c r="YT543"/>
      <c r="YU543"/>
      <c r="YV543"/>
      <c r="YW543"/>
      <c r="YX543"/>
      <c r="YY543"/>
      <c r="YZ543"/>
      <c r="ZA543"/>
      <c r="ZB543"/>
      <c r="ZC543"/>
      <c r="ZD543"/>
      <c r="ZE543"/>
      <c r="ZF543"/>
      <c r="ZG543"/>
      <c r="ZH543"/>
      <c r="ZI543"/>
      <c r="ZJ543"/>
      <c r="ZK543"/>
      <c r="ZL543"/>
      <c r="ZM543"/>
      <c r="ZN543"/>
      <c r="ZO543"/>
      <c r="ZP543"/>
      <c r="ZQ543"/>
      <c r="ZR543"/>
      <c r="ZS543"/>
      <c r="ZT543"/>
      <c r="ZU543"/>
      <c r="ZV543"/>
      <c r="ZW543"/>
      <c r="ZX543"/>
      <c r="ZY543"/>
      <c r="ZZ543" s="52"/>
      <c r="AAA543" s="192"/>
      <c r="AAD543" s="90"/>
      <c r="AAE543" s="519">
        <f>IF(S.Notice.Involved="Y",1,0)</f>
        <v>1</v>
      </c>
      <c r="AAF543" s="90"/>
      <c r="AAG543" s="73">
        <f>IF(AAE543=0,,S.Notice.OpenComment)</f>
        <v>41621</v>
      </c>
      <c r="AAH543" s="73">
        <f>IF(AAE543=0,,S.Notice.BANNER.End)</f>
        <v>41655</v>
      </c>
      <c r="AAI543" s="72"/>
      <c r="AAJ543" s="72"/>
      <c r="AAK543" s="80" t="str">
        <f>S.Staff.DivisionRulesCoordinator&amp;" &amp; "&amp;S.Staff.WebMaster&amp;" maintain Rukemaking Activities Web page"</f>
        <v>AndreaDRC &amp; Michele maintain Rukemaking Activities Web page</v>
      </c>
      <c r="AAL543" s="90"/>
    </row>
    <row r="544" spans="1:715" s="23" customFormat="1" ht="15" customHeight="1" outlineLevel="1">
      <c r="A544" s="171"/>
      <c r="B544" s="291" t="str">
        <f>AAK544</f>
        <v>AndreaRW gathers and saves all notice emails for the Rule Record as:</v>
      </c>
      <c r="C544" s="789" t="str">
        <f>HYPERLINK("\\deqhq1\Rule_Development\Currrent Plan","i")</f>
        <v>i</v>
      </c>
      <c r="D544" s="574"/>
      <c r="E544" s="342">
        <f t="shared" si="449"/>
        <v>56</v>
      </c>
      <c r="F544" s="457">
        <f ca="1">IF(YEAR(H544)&gt;2000,NETWORKDAYS(TODAY(),H544,S.DDL_DEQClosed),0)</f>
        <v>55</v>
      </c>
      <c r="G544" s="351">
        <f>AAG544</f>
        <v>41572</v>
      </c>
      <c r="H544" s="351">
        <f>AAH544</f>
        <v>41655</v>
      </c>
      <c r="I544" s="244"/>
      <c r="J544" s="194"/>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9"/>
      <c r="CD544" s="49"/>
      <c r="CE544" s="49"/>
      <c r="CF544" s="49"/>
      <c r="CG544" s="49"/>
      <c r="CH544" s="49"/>
      <c r="CI544" s="49"/>
      <c r="CJ544" s="49"/>
      <c r="CK544" s="49"/>
      <c r="CL544" s="49"/>
      <c r="CM544" s="49"/>
      <c r="CN544" s="49"/>
      <c r="CO544" s="49"/>
      <c r="CP544" s="49"/>
      <c r="CQ544" s="49"/>
      <c r="CR544" s="49"/>
      <c r="CS544" s="49"/>
      <c r="CT544" s="49"/>
      <c r="CU544" s="49"/>
      <c r="CV544" s="49"/>
      <c r="CW544" s="49"/>
      <c r="CX544" s="49"/>
      <c r="CY544" s="49"/>
      <c r="CZ544" s="49"/>
      <c r="DA544" s="49"/>
      <c r="DB544" s="49"/>
      <c r="DC544" s="49"/>
      <c r="DD544" s="49"/>
      <c r="DE544" s="49"/>
      <c r="DF544" s="49"/>
      <c r="DG544" s="49"/>
      <c r="DH544" s="49"/>
      <c r="DI544" s="49"/>
      <c r="DJ544" s="49"/>
      <c r="DK544" s="49"/>
      <c r="DL544" s="49"/>
      <c r="DM544" s="49"/>
      <c r="DN544" s="49"/>
      <c r="DO544" s="49"/>
      <c r="DP544" s="49"/>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c r="IW544"/>
      <c r="IX544"/>
      <c r="IY544"/>
      <c r="IZ544"/>
      <c r="JA544"/>
      <c r="JB544"/>
      <c r="JC544"/>
      <c r="JD544"/>
      <c r="JE544"/>
      <c r="JF544"/>
      <c r="JG544"/>
      <c r="JH544"/>
      <c r="JI544"/>
      <c r="JJ544"/>
      <c r="JK544"/>
      <c r="JL544"/>
      <c r="JM544"/>
      <c r="JN544"/>
      <c r="JO544"/>
      <c r="JP544"/>
      <c r="JQ544"/>
      <c r="JR544"/>
      <c r="JS544"/>
      <c r="JT544"/>
      <c r="JU544"/>
      <c r="JV544"/>
      <c r="JW544"/>
      <c r="JX544"/>
      <c r="JY544"/>
      <c r="JZ544"/>
      <c r="KA544"/>
      <c r="KB544"/>
      <c r="KC544"/>
      <c r="KD544"/>
      <c r="KE544"/>
      <c r="KF544"/>
      <c r="KG544"/>
      <c r="KH544"/>
      <c r="KI544"/>
      <c r="KJ544"/>
      <c r="KK544"/>
      <c r="KL544"/>
      <c r="KM544"/>
      <c r="KN544"/>
      <c r="KO544"/>
      <c r="KP544"/>
      <c r="KQ544"/>
      <c r="KR544"/>
      <c r="KS544"/>
      <c r="KT544"/>
      <c r="KU544"/>
      <c r="KV544"/>
      <c r="KW544"/>
      <c r="KX544"/>
      <c r="KY544"/>
      <c r="KZ544"/>
      <c r="LA544"/>
      <c r="LB544"/>
      <c r="LC544"/>
      <c r="LD544"/>
      <c r="LE544"/>
      <c r="LF544"/>
      <c r="LG544"/>
      <c r="LH544"/>
      <c r="LI544"/>
      <c r="LJ544"/>
      <c r="LK544"/>
      <c r="LL544"/>
      <c r="LM544"/>
      <c r="LN544"/>
      <c r="LO544"/>
      <c r="LP544"/>
      <c r="LQ544"/>
      <c r="LR544"/>
      <c r="LS544"/>
      <c r="LT544"/>
      <c r="LU544"/>
      <c r="LV544"/>
      <c r="LW544"/>
      <c r="LX544"/>
      <c r="LY544"/>
      <c r="LZ544"/>
      <c r="MA544"/>
      <c r="MB544"/>
      <c r="MC544"/>
      <c r="MD544"/>
      <c r="ME544"/>
      <c r="MF544"/>
      <c r="MG544"/>
      <c r="MH544"/>
      <c r="MI544"/>
      <c r="MJ544"/>
      <c r="MK544"/>
      <c r="ML544"/>
      <c r="MM544"/>
      <c r="MN544"/>
      <c r="MO544"/>
      <c r="MP544"/>
      <c r="MQ544"/>
      <c r="MR544"/>
      <c r="MS544"/>
      <c r="MT544"/>
      <c r="MU544"/>
      <c r="MV544"/>
      <c r="MW544"/>
      <c r="MX544"/>
      <c r="MY544"/>
      <c r="MZ544"/>
      <c r="NA544"/>
      <c r="NB544"/>
      <c r="NC544"/>
      <c r="ND544"/>
      <c r="NE544"/>
      <c r="NF544"/>
      <c r="NG544"/>
      <c r="NH544"/>
      <c r="NI544"/>
      <c r="NJ544"/>
      <c r="NK544"/>
      <c r="NL544"/>
      <c r="NM544"/>
      <c r="NN544"/>
      <c r="NO544"/>
      <c r="NP544"/>
      <c r="NQ544"/>
      <c r="NR544"/>
      <c r="NS544"/>
      <c r="NT544"/>
      <c r="NU544"/>
      <c r="NV544"/>
      <c r="NW544"/>
      <c r="NX544"/>
      <c r="NY544"/>
      <c r="NZ544"/>
      <c r="OA544"/>
      <c r="OB544"/>
      <c r="OC544"/>
      <c r="OD544"/>
      <c r="OE544"/>
      <c r="OF544"/>
      <c r="OG544"/>
      <c r="OH544"/>
      <c r="OI544"/>
      <c r="OJ544"/>
      <c r="OK544"/>
      <c r="OL544"/>
      <c r="OM544"/>
      <c r="ON544"/>
      <c r="OO544"/>
      <c r="OP544"/>
      <c r="OQ544"/>
      <c r="OR544"/>
      <c r="OS544"/>
      <c r="OT544"/>
      <c r="OU544"/>
      <c r="OV544"/>
      <c r="OW544"/>
      <c r="OX544"/>
      <c r="OY544"/>
      <c r="OZ544"/>
      <c r="PA544"/>
      <c r="PB544"/>
      <c r="PC544"/>
      <c r="PD544"/>
      <c r="PE544"/>
      <c r="PF544"/>
      <c r="PG544"/>
      <c r="PH544"/>
      <c r="PI544"/>
      <c r="PJ544"/>
      <c r="PK544"/>
      <c r="PL544"/>
      <c r="PM544"/>
      <c r="PN544"/>
      <c r="PO544"/>
      <c r="PP544"/>
      <c r="PQ544"/>
      <c r="PR544"/>
      <c r="PS544"/>
      <c r="PT544"/>
      <c r="PU544"/>
      <c r="PV544"/>
      <c r="PW544"/>
      <c r="PX544"/>
      <c r="PY544"/>
      <c r="PZ544"/>
      <c r="QA544"/>
      <c r="QB544"/>
      <c r="QC544"/>
      <c r="QD544"/>
      <c r="QE544"/>
      <c r="QF544"/>
      <c r="QG544"/>
      <c r="QH544"/>
      <c r="QI544"/>
      <c r="QJ544"/>
      <c r="QK544"/>
      <c r="QL544"/>
      <c r="QM544"/>
      <c r="QN544"/>
      <c r="QO544"/>
      <c r="QP544"/>
      <c r="QQ544"/>
      <c r="QR544"/>
      <c r="QS544"/>
      <c r="QT544"/>
      <c r="QU544"/>
      <c r="QV544"/>
      <c r="QW544"/>
      <c r="QX544"/>
      <c r="QY544"/>
      <c r="QZ544"/>
      <c r="RA544"/>
      <c r="RB544"/>
      <c r="RC544"/>
      <c r="RD544"/>
      <c r="RE544"/>
      <c r="RF544"/>
      <c r="RG544"/>
      <c r="RH544"/>
      <c r="RI544"/>
      <c r="RJ544"/>
      <c r="RK544"/>
      <c r="RL544"/>
      <c r="RM544"/>
      <c r="RN544"/>
      <c r="RO544"/>
      <c r="RP544"/>
      <c r="RQ544"/>
      <c r="RR544"/>
      <c r="RS544"/>
      <c r="RT544"/>
      <c r="RU544"/>
      <c r="RV544"/>
      <c r="RW544"/>
      <c r="RX544"/>
      <c r="RY544"/>
      <c r="RZ544"/>
      <c r="SA544"/>
      <c r="SB544"/>
      <c r="SC544"/>
      <c r="SD544"/>
      <c r="SE544"/>
      <c r="SF544"/>
      <c r="SG544"/>
      <c r="SH544"/>
      <c r="SI544"/>
      <c r="SJ544"/>
      <c r="SK544"/>
      <c r="SL544"/>
      <c r="SM544"/>
      <c r="SN544"/>
      <c r="SO544"/>
      <c r="SP544"/>
      <c r="SQ544"/>
      <c r="SR544"/>
      <c r="SS544"/>
      <c r="ST544"/>
      <c r="SU544"/>
      <c r="SV544"/>
      <c r="SW544"/>
      <c r="SX544"/>
      <c r="SY544"/>
      <c r="SZ544"/>
      <c r="TA544"/>
      <c r="TB544"/>
      <c r="TC544"/>
      <c r="TD544"/>
      <c r="TE544"/>
      <c r="TF544"/>
      <c r="TG544"/>
      <c r="TH544"/>
      <c r="TI544"/>
      <c r="TJ544"/>
      <c r="TK544"/>
      <c r="TL544"/>
      <c r="TM544"/>
      <c r="TN544"/>
      <c r="TO544"/>
      <c r="TP544"/>
      <c r="TQ544"/>
      <c r="TR544"/>
      <c r="TS544"/>
      <c r="TT544"/>
      <c r="TU544"/>
      <c r="TV544"/>
      <c r="TW544"/>
      <c r="TX544"/>
      <c r="TY544"/>
      <c r="TZ544"/>
      <c r="UA544"/>
      <c r="UB544"/>
      <c r="UC544"/>
      <c r="UD544"/>
      <c r="UE544"/>
      <c r="UF544"/>
      <c r="UG544"/>
      <c r="UH544"/>
      <c r="UI544"/>
      <c r="UJ544"/>
      <c r="UK544"/>
      <c r="UL544"/>
      <c r="UM544"/>
      <c r="UN544"/>
      <c r="UO544"/>
      <c r="UP544"/>
      <c r="UQ544"/>
      <c r="UR544"/>
      <c r="US544"/>
      <c r="UT544"/>
      <c r="UU544"/>
      <c r="UV544"/>
      <c r="UW544"/>
      <c r="UX544"/>
      <c r="UY544"/>
      <c r="UZ544"/>
      <c r="VA544"/>
      <c r="VB544"/>
      <c r="VC544"/>
      <c r="VD544"/>
      <c r="VE544"/>
      <c r="VF544"/>
      <c r="VG544"/>
      <c r="VH544"/>
      <c r="VI544"/>
      <c r="VJ544"/>
      <c r="VK544"/>
      <c r="VL544"/>
      <c r="VM544"/>
      <c r="VN544"/>
      <c r="VO544"/>
      <c r="VP544"/>
      <c r="VQ544"/>
      <c r="VR544"/>
      <c r="VS544"/>
      <c r="VT544"/>
      <c r="VU544"/>
      <c r="VV544"/>
      <c r="VW544"/>
      <c r="VX544"/>
      <c r="VY544"/>
      <c r="VZ544"/>
      <c r="WA544"/>
      <c r="WB544"/>
      <c r="WC544"/>
      <c r="WD544"/>
      <c r="WE544"/>
      <c r="WF544"/>
      <c r="WG544"/>
      <c r="WH544"/>
      <c r="WI544"/>
      <c r="WJ544"/>
      <c r="WK544"/>
      <c r="WL544"/>
      <c r="WM544"/>
      <c r="WN544"/>
      <c r="WO544"/>
      <c r="WP544"/>
      <c r="WQ544"/>
      <c r="WR544"/>
      <c r="WS544"/>
      <c r="WT544"/>
      <c r="WU544"/>
      <c r="WV544"/>
      <c r="WW544"/>
      <c r="WX544"/>
      <c r="WY544"/>
      <c r="WZ544"/>
      <c r="XA544"/>
      <c r="XB544"/>
      <c r="XC544"/>
      <c r="XD544"/>
      <c r="XE544"/>
      <c r="XF544"/>
      <c r="XG544"/>
      <c r="XH544"/>
      <c r="XI544"/>
      <c r="XJ544"/>
      <c r="XK544"/>
      <c r="XL544"/>
      <c r="XM544"/>
      <c r="XN544"/>
      <c r="XO544"/>
      <c r="XP544"/>
      <c r="XQ544"/>
      <c r="XR544"/>
      <c r="XS544"/>
      <c r="XT544"/>
      <c r="XU544"/>
      <c r="XV544"/>
      <c r="XW544"/>
      <c r="XX544"/>
      <c r="XY544"/>
      <c r="XZ544"/>
      <c r="YA544"/>
      <c r="YB544"/>
      <c r="YC544"/>
      <c r="YD544"/>
      <c r="YE544"/>
      <c r="YF544"/>
      <c r="YG544"/>
      <c r="YH544"/>
      <c r="YI544"/>
      <c r="YJ544"/>
      <c r="YK544"/>
      <c r="YL544"/>
      <c r="YM544"/>
      <c r="YN544"/>
      <c r="YO544"/>
      <c r="YP544"/>
      <c r="YQ544"/>
      <c r="YR544"/>
      <c r="YS544"/>
      <c r="YT544"/>
      <c r="YU544"/>
      <c r="YV544"/>
      <c r="YW544"/>
      <c r="YX544"/>
      <c r="YY544"/>
      <c r="YZ544"/>
      <c r="ZA544"/>
      <c r="ZB544"/>
      <c r="ZC544"/>
      <c r="ZD544"/>
      <c r="ZE544"/>
      <c r="ZF544"/>
      <c r="ZG544"/>
      <c r="ZH544"/>
      <c r="ZI544"/>
      <c r="ZJ544"/>
      <c r="ZK544"/>
      <c r="ZL544"/>
      <c r="ZM544"/>
      <c r="ZN544"/>
      <c r="ZO544"/>
      <c r="ZP544"/>
      <c r="ZQ544"/>
      <c r="ZR544"/>
      <c r="ZS544"/>
      <c r="ZT544"/>
      <c r="ZU544"/>
      <c r="ZV544"/>
      <c r="ZW544"/>
      <c r="ZX544"/>
      <c r="ZY544"/>
      <c r="ZZ544" s="52"/>
      <c r="AAA544" s="192"/>
      <c r="AAD544" s="90"/>
      <c r="AAE544" s="519">
        <f>IF(S.Notice.Involved="Y",1,0)</f>
        <v>1</v>
      </c>
      <c r="AAF544" s="90"/>
      <c r="AAG544" s="73">
        <f>IF(AAE544=0,,S.Notice.BANNER.Begin)</f>
        <v>41572</v>
      </c>
      <c r="AAH544" s="73">
        <f>IF(AAE544=0,,S.Notice.BANNER.End)</f>
        <v>41655</v>
      </c>
      <c r="AAI544" s="72"/>
      <c r="AAJ544" s="72"/>
      <c r="AAK544" s="92" t="str">
        <f>S.Staff.Lead&amp;" gathers and saves all notice emails for the Rule Record as:"</f>
        <v>AndreaRW gathers and saves all notice emails for the Rule Record as:</v>
      </c>
      <c r="AAL544" s="90"/>
    </row>
    <row r="545" spans="1:715" s="23" customFormat="1" ht="15" customHeight="1" outlineLevel="1">
      <c r="A545" s="171"/>
      <c r="B545" s="372" t="s">
        <v>171</v>
      </c>
      <c r="C545" s="362"/>
      <c r="D545" s="373"/>
      <c r="E545" s="350"/>
      <c r="F545" s="350"/>
      <c r="G545" s="346"/>
      <c r="H545" s="346"/>
      <c r="I545" s="244"/>
      <c r="J545" s="194"/>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9"/>
      <c r="CD545" s="49"/>
      <c r="CE545" s="49"/>
      <c r="CF545" s="49"/>
      <c r="CG545" s="49"/>
      <c r="CH545" s="49"/>
      <c r="CI545" s="49"/>
      <c r="CJ545" s="49"/>
      <c r="CK545" s="49"/>
      <c r="CL545" s="49"/>
      <c r="CM545" s="49"/>
      <c r="CN545" s="49"/>
      <c r="CO545" s="49"/>
      <c r="CP545" s="49"/>
      <c r="CQ545" s="49"/>
      <c r="CR545" s="49"/>
      <c r="CS545" s="49"/>
      <c r="CT545" s="49"/>
      <c r="CU545" s="49"/>
      <c r="CV545" s="49"/>
      <c r="CW545" s="49"/>
      <c r="CX545" s="49"/>
      <c r="CY545" s="49"/>
      <c r="CZ545" s="49"/>
      <c r="DA545" s="49"/>
      <c r="DB545" s="49"/>
      <c r="DC545" s="49"/>
      <c r="DD545" s="49"/>
      <c r="DE545" s="49"/>
      <c r="DF545" s="49"/>
      <c r="DG545" s="49"/>
      <c r="DH545" s="49"/>
      <c r="DI545" s="49"/>
      <c r="DJ545" s="49"/>
      <c r="DK545" s="49"/>
      <c r="DL545" s="49"/>
      <c r="DM545" s="49"/>
      <c r="DN545" s="49"/>
      <c r="DO545" s="49"/>
      <c r="DP545" s="49"/>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c r="WP545"/>
      <c r="WQ545"/>
      <c r="WR545"/>
      <c r="WS545"/>
      <c r="WT545"/>
      <c r="WU545"/>
      <c r="WV545"/>
      <c r="WW545"/>
      <c r="WX545"/>
      <c r="WY545"/>
      <c r="WZ545"/>
      <c r="XA545"/>
      <c r="XB545"/>
      <c r="XC545"/>
      <c r="XD545"/>
      <c r="XE545"/>
      <c r="XF545"/>
      <c r="XG545"/>
      <c r="XH545"/>
      <c r="XI545"/>
      <c r="XJ545"/>
      <c r="XK545"/>
      <c r="XL545"/>
      <c r="XM545"/>
      <c r="XN545"/>
      <c r="XO545"/>
      <c r="XP545"/>
      <c r="XQ545"/>
      <c r="XR545"/>
      <c r="XS545"/>
      <c r="XT545"/>
      <c r="XU545"/>
      <c r="XV545"/>
      <c r="XW545"/>
      <c r="XX545"/>
      <c r="XY545"/>
      <c r="XZ545"/>
      <c r="YA545"/>
      <c r="YB545"/>
      <c r="YC545"/>
      <c r="YD545"/>
      <c r="YE545"/>
      <c r="YF545"/>
      <c r="YG545"/>
      <c r="YH545"/>
      <c r="YI545"/>
      <c r="YJ545"/>
      <c r="YK545"/>
      <c r="YL545"/>
      <c r="YM545"/>
      <c r="YN545"/>
      <c r="YO545"/>
      <c r="YP545"/>
      <c r="YQ545"/>
      <c r="YR545"/>
      <c r="YS545"/>
      <c r="YT545"/>
      <c r="YU545"/>
      <c r="YV545"/>
      <c r="YW545"/>
      <c r="YX545"/>
      <c r="YY545"/>
      <c r="YZ545"/>
      <c r="ZA545"/>
      <c r="ZB545"/>
      <c r="ZC545"/>
      <c r="ZD545"/>
      <c r="ZE545"/>
      <c r="ZF545"/>
      <c r="ZG545"/>
      <c r="ZH545"/>
      <c r="ZI545"/>
      <c r="ZJ545"/>
      <c r="ZK545"/>
      <c r="ZL545"/>
      <c r="ZM545"/>
      <c r="ZN545"/>
      <c r="ZO545"/>
      <c r="ZP545"/>
      <c r="ZQ545"/>
      <c r="ZR545"/>
      <c r="ZS545"/>
      <c r="ZT545"/>
      <c r="ZU545"/>
      <c r="ZV545"/>
      <c r="ZW545"/>
      <c r="ZX545"/>
      <c r="ZY545"/>
      <c r="ZZ545" s="52"/>
      <c r="AAA545" s="192"/>
      <c r="AAD545" s="90"/>
      <c r="AAE545" s="519">
        <f>IF(S.Notice.Involved="Y",1,0)</f>
        <v>1</v>
      </c>
      <c r="AAF545" s="190" t="s">
        <v>52</v>
      </c>
      <c r="AAG545" s="71"/>
      <c r="AAH545" s="71"/>
      <c r="AAI545" s="71"/>
      <c r="AAJ545" s="56"/>
      <c r="AAK545" s="71" t="s">
        <v>0</v>
      </c>
      <c r="AAL545" s="90"/>
    </row>
    <row r="546" spans="1:715" ht="6" customHeight="1">
      <c r="A546" s="171"/>
      <c r="B546" s="402"/>
      <c r="C546" s="404"/>
      <c r="D546" s="403"/>
      <c r="E546" s="405" t="s">
        <v>0</v>
      </c>
      <c r="F546" s="405" t="s">
        <v>0</v>
      </c>
      <c r="G546" s="406"/>
      <c r="H546" s="406"/>
      <c r="I546" s="244"/>
      <c r="J546" s="194"/>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9"/>
      <c r="CD546" s="49"/>
      <c r="CE546" s="49"/>
      <c r="CF546" s="49"/>
      <c r="CG546" s="49"/>
      <c r="CH546" s="49"/>
      <c r="CI546" s="49"/>
      <c r="CJ546" s="49"/>
      <c r="CK546" s="49"/>
      <c r="CL546" s="49"/>
      <c r="CM546" s="49"/>
      <c r="CN546" s="49"/>
      <c r="CO546" s="49"/>
      <c r="CP546" s="49"/>
      <c r="CQ546" s="49"/>
      <c r="CR546" s="49"/>
      <c r="CS546" s="49"/>
      <c r="CT546" s="49"/>
      <c r="CU546" s="49"/>
      <c r="CV546" s="49"/>
      <c r="CW546" s="49"/>
      <c r="CX546" s="49"/>
      <c r="CY546" s="49"/>
      <c r="CZ546" s="49"/>
      <c r="DA546" s="49"/>
      <c r="DB546" s="49"/>
      <c r="DC546" s="49"/>
      <c r="DD546" s="49"/>
      <c r="DE546" s="49"/>
      <c r="DF546" s="49"/>
      <c r="DG546" s="49"/>
      <c r="DH546" s="49"/>
      <c r="DI546" s="49"/>
      <c r="DJ546" s="49"/>
      <c r="DK546" s="49"/>
      <c r="DL546" s="49"/>
      <c r="DM546" s="49"/>
      <c r="DN546" s="49"/>
      <c r="DO546" s="49"/>
      <c r="DP546" s="49"/>
      <c r="AAA546" s="192"/>
      <c r="AAD546" s="90"/>
      <c r="AAE546" s="519" t="s">
        <v>21</v>
      </c>
      <c r="AAF546" s="190" t="s">
        <v>52</v>
      </c>
      <c r="AAG546" s="60"/>
      <c r="AAH546" s="60"/>
      <c r="AAI546" s="72"/>
      <c r="AAJ546" s="72"/>
      <c r="AAK546" s="56"/>
      <c r="AAL546" s="90"/>
      <c r="AAM546"/>
    </row>
    <row r="547" spans="1:715" s="23" customFormat="1" ht="18" customHeight="1">
      <c r="A547" s="171"/>
      <c r="B547" s="906" t="str">
        <f>AAK547</f>
        <v>Public Comment and Testimony</v>
      </c>
      <c r="C547" s="906"/>
      <c r="D547" s="906"/>
      <c r="E547" s="906"/>
      <c r="F547" s="906"/>
      <c r="G547" s="906"/>
      <c r="H547" s="906"/>
      <c r="I547" s="244"/>
      <c r="J547" s="195"/>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c r="BC547" s="47"/>
      <c r="BD547" s="47"/>
      <c r="BE547" s="47"/>
      <c r="BF547" s="47"/>
      <c r="BG547" s="47"/>
      <c r="BH547" s="47"/>
      <c r="BI547" s="47"/>
      <c r="BJ547" s="47"/>
      <c r="BK547" s="47"/>
      <c r="BL547" s="47"/>
      <c r="BM547" s="47"/>
      <c r="BN547" s="47"/>
      <c r="BO547" s="47"/>
      <c r="BP547" s="47"/>
      <c r="BQ547" s="47"/>
      <c r="BR547" s="47"/>
      <c r="BS547" s="47"/>
      <c r="BT547" s="47"/>
      <c r="BU547" s="47"/>
      <c r="BV547" s="47"/>
      <c r="BW547" s="47"/>
      <c r="BX547" s="47"/>
      <c r="BY547" s="47"/>
      <c r="BZ547" s="47"/>
      <c r="CA547" s="47"/>
      <c r="CB547" s="47"/>
      <c r="CC547" s="47"/>
      <c r="CD547" s="47"/>
      <c r="CE547" s="47"/>
      <c r="CF547" s="47"/>
      <c r="CG547" s="47"/>
      <c r="CH547" s="47"/>
      <c r="CI547" s="47"/>
      <c r="CJ547" s="47"/>
      <c r="CK547" s="47"/>
      <c r="CL547" s="47"/>
      <c r="CM547" s="47"/>
      <c r="CN547" s="47"/>
      <c r="CO547" s="47"/>
      <c r="CP547" s="47"/>
      <c r="CQ547" s="47"/>
      <c r="CR547" s="47"/>
      <c r="CS547" s="47"/>
      <c r="CT547" s="47"/>
      <c r="CU547" s="47"/>
      <c r="CV547" s="47"/>
      <c r="CW547" s="47"/>
      <c r="CX547" s="47"/>
      <c r="CY547" s="47"/>
      <c r="CZ547" s="47"/>
      <c r="DA547" s="47"/>
      <c r="DB547" s="47"/>
      <c r="DC547" s="47"/>
      <c r="DD547" s="47"/>
      <c r="DE547" s="47"/>
      <c r="DF547" s="47"/>
      <c r="DG547" s="47"/>
      <c r="DH547" s="47"/>
      <c r="DI547" s="47"/>
      <c r="DJ547" s="47"/>
      <c r="DK547" s="47"/>
      <c r="DL547" s="47"/>
      <c r="DM547" s="47"/>
      <c r="DN547" s="47"/>
      <c r="DO547" s="47"/>
      <c r="DP547" s="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c r="WP547"/>
      <c r="WQ547"/>
      <c r="WR547"/>
      <c r="WS547"/>
      <c r="WT547"/>
      <c r="WU547"/>
      <c r="WV547"/>
      <c r="WW547"/>
      <c r="WX547"/>
      <c r="WY547"/>
      <c r="WZ547"/>
      <c r="XA547"/>
      <c r="XB547"/>
      <c r="XC547"/>
      <c r="XD547"/>
      <c r="XE547"/>
      <c r="XF547"/>
      <c r="XG547"/>
      <c r="XH547"/>
      <c r="XI547"/>
      <c r="XJ547"/>
      <c r="XK547"/>
      <c r="XL547"/>
      <c r="XM547"/>
      <c r="XN547"/>
      <c r="XO547"/>
      <c r="XP547"/>
      <c r="XQ547"/>
      <c r="XR547"/>
      <c r="XS547"/>
      <c r="XT547"/>
      <c r="XU547"/>
      <c r="XV547"/>
      <c r="XW547"/>
      <c r="XX547"/>
      <c r="XY547"/>
      <c r="XZ547"/>
      <c r="YA547"/>
      <c r="YB547"/>
      <c r="YC547"/>
      <c r="YD547"/>
      <c r="YE547"/>
      <c r="YF547"/>
      <c r="YG547"/>
      <c r="YH547"/>
      <c r="YI547"/>
      <c r="YJ547"/>
      <c r="YK547"/>
      <c r="YL547"/>
      <c r="YM547"/>
      <c r="YN547"/>
      <c r="YO547"/>
      <c r="YP547"/>
      <c r="YQ547"/>
      <c r="YR547"/>
      <c r="YS547"/>
      <c r="YT547"/>
      <c r="YU547"/>
      <c r="YV547"/>
      <c r="YW547"/>
      <c r="YX547"/>
      <c r="YY547"/>
      <c r="YZ547"/>
      <c r="ZA547"/>
      <c r="ZB547"/>
      <c r="ZC547"/>
      <c r="ZD547"/>
      <c r="ZE547"/>
      <c r="ZF547"/>
      <c r="ZG547"/>
      <c r="ZH547"/>
      <c r="ZI547"/>
      <c r="ZJ547"/>
      <c r="ZK547"/>
      <c r="ZL547"/>
      <c r="ZM547"/>
      <c r="ZN547"/>
      <c r="ZO547"/>
      <c r="ZP547"/>
      <c r="ZQ547"/>
      <c r="ZR547"/>
      <c r="ZS547"/>
      <c r="ZT547"/>
      <c r="ZU547"/>
      <c r="ZV547"/>
      <c r="ZW547"/>
      <c r="ZX547"/>
      <c r="ZY547"/>
      <c r="ZZ547" s="52"/>
      <c r="AAA547" s="192"/>
      <c r="AAB547"/>
      <c r="AAC547"/>
      <c r="AAD547" s="90"/>
      <c r="AAE547" s="519" t="s">
        <v>22</v>
      </c>
      <c r="AAF547" s="190" t="s">
        <v>52</v>
      </c>
      <c r="AAG547" s="90"/>
      <c r="AAH547" s="90"/>
      <c r="AAI547" s="72"/>
      <c r="AAJ547" s="81"/>
      <c r="AAK547" s="80" t="str">
        <f>IF(AND(S.Notice.Involved="Y",S.Hearing.1stInvolve="Y"),"Public Comment and Testimony","Public comment is not involved.")</f>
        <v>Public Comment and Testimony</v>
      </c>
      <c r="AAL547" s="90"/>
    </row>
    <row r="548" spans="1:715" s="23" customFormat="1" ht="14.25" customHeight="1" outlineLevel="1">
      <c r="A548" s="171"/>
      <c r="B548" s="141" t="s">
        <v>0</v>
      </c>
      <c r="C548" s="100" t="s">
        <v>0</v>
      </c>
      <c r="D548" s="237"/>
      <c r="E548" s="848" t="s">
        <v>225</v>
      </c>
      <c r="F548" s="848"/>
      <c r="G548" s="848" t="s">
        <v>12</v>
      </c>
      <c r="H548" s="848"/>
      <c r="I548" s="244"/>
      <c r="J548" s="195"/>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c r="BE548" s="47"/>
      <c r="BF548" s="47"/>
      <c r="BG548" s="47"/>
      <c r="BH548" s="47"/>
      <c r="BI548" s="47"/>
      <c r="BJ548" s="47"/>
      <c r="BK548" s="47"/>
      <c r="BL548" s="47"/>
      <c r="BM548" s="47"/>
      <c r="BN548" s="47"/>
      <c r="BO548" s="47"/>
      <c r="BP548" s="47"/>
      <c r="BQ548" s="47"/>
      <c r="BR548" s="47"/>
      <c r="BS548" s="47"/>
      <c r="BT548" s="47"/>
      <c r="BU548" s="47"/>
      <c r="BV548" s="47"/>
      <c r="BW548" s="47"/>
      <c r="BX548" s="47"/>
      <c r="BY548" s="47"/>
      <c r="BZ548" s="47"/>
      <c r="CA548" s="47"/>
      <c r="CB548" s="47"/>
      <c r="CC548" s="47"/>
      <c r="CD548" s="47"/>
      <c r="CE548" s="47"/>
      <c r="CF548" s="47"/>
      <c r="CG548" s="47"/>
      <c r="CH548" s="47"/>
      <c r="CI548" s="47"/>
      <c r="CJ548" s="47"/>
      <c r="CK548" s="47"/>
      <c r="CL548" s="47"/>
      <c r="CM548" s="47"/>
      <c r="CN548" s="47"/>
      <c r="CO548" s="47"/>
      <c r="CP548" s="47"/>
      <c r="CQ548" s="47"/>
      <c r="CR548" s="47"/>
      <c r="CS548" s="47"/>
      <c r="CT548" s="47"/>
      <c r="CU548" s="47"/>
      <c r="CV548" s="47"/>
      <c r="CW548" s="47"/>
      <c r="CX548" s="47"/>
      <c r="CY548" s="47"/>
      <c r="CZ548" s="47"/>
      <c r="DA548" s="47"/>
      <c r="DB548" s="47"/>
      <c r="DC548" s="47"/>
      <c r="DD548" s="47"/>
      <c r="DE548" s="47"/>
      <c r="DF548" s="47"/>
      <c r="DG548" s="47"/>
      <c r="DH548" s="47"/>
      <c r="DI548" s="47"/>
      <c r="DJ548" s="47"/>
      <c r="DK548" s="47"/>
      <c r="DL548" s="47"/>
      <c r="DM548" s="47"/>
      <c r="DN548" s="47"/>
      <c r="DO548" s="47"/>
      <c r="DP548" s="47"/>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c r="WP548"/>
      <c r="WQ548"/>
      <c r="WR548"/>
      <c r="WS548"/>
      <c r="WT548"/>
      <c r="WU548"/>
      <c r="WV548"/>
      <c r="WW548"/>
      <c r="WX548"/>
      <c r="WY548"/>
      <c r="WZ548"/>
      <c r="XA548"/>
      <c r="XB548"/>
      <c r="XC548"/>
      <c r="XD548"/>
      <c r="XE548"/>
      <c r="XF548"/>
      <c r="XG548"/>
      <c r="XH548"/>
      <c r="XI548"/>
      <c r="XJ548"/>
      <c r="XK548"/>
      <c r="XL548"/>
      <c r="XM548"/>
      <c r="XN548"/>
      <c r="XO548"/>
      <c r="XP548"/>
      <c r="XQ548"/>
      <c r="XR548"/>
      <c r="XS548"/>
      <c r="XT548"/>
      <c r="XU548"/>
      <c r="XV548"/>
      <c r="XW548"/>
      <c r="XX548"/>
      <c r="XY548"/>
      <c r="XZ548"/>
      <c r="YA548"/>
      <c r="YB548"/>
      <c r="YC548"/>
      <c r="YD548"/>
      <c r="YE548"/>
      <c r="YF548"/>
      <c r="YG548"/>
      <c r="YH548"/>
      <c r="YI548"/>
      <c r="YJ548"/>
      <c r="YK548"/>
      <c r="YL548"/>
      <c r="YM548"/>
      <c r="YN548"/>
      <c r="YO548"/>
      <c r="YP548"/>
      <c r="YQ548"/>
      <c r="YR548"/>
      <c r="YS548"/>
      <c r="YT548"/>
      <c r="YU548"/>
      <c r="YV548"/>
      <c r="YW548"/>
      <c r="YX548"/>
      <c r="YY548"/>
      <c r="YZ548"/>
      <c r="ZA548"/>
      <c r="ZB548"/>
      <c r="ZC548"/>
      <c r="ZD548"/>
      <c r="ZE548"/>
      <c r="ZF548"/>
      <c r="ZG548"/>
      <c r="ZH548"/>
      <c r="ZI548"/>
      <c r="ZJ548"/>
      <c r="ZK548"/>
      <c r="ZL548"/>
      <c r="ZM548"/>
      <c r="ZN548"/>
      <c r="ZO548"/>
      <c r="ZP548"/>
      <c r="ZQ548"/>
      <c r="ZR548"/>
      <c r="ZS548"/>
      <c r="ZT548"/>
      <c r="ZU548"/>
      <c r="ZV548"/>
      <c r="ZW548"/>
      <c r="ZX548"/>
      <c r="ZY548"/>
      <c r="ZZ548" s="52"/>
      <c r="AAA548" s="192"/>
      <c r="AAD548" s="90"/>
      <c r="AAE548" s="519" t="s">
        <v>63</v>
      </c>
      <c r="AAF548" s="190" t="s">
        <v>52</v>
      </c>
      <c r="AAG548" s="90"/>
      <c r="AAH548" s="90"/>
      <c r="AAI548" s="72"/>
      <c r="AAJ548" s="81"/>
      <c r="AAK548" s="71"/>
      <c r="AAL548" s="90"/>
    </row>
    <row r="549" spans="1:715" s="552" customFormat="1" ht="24" customHeight="1" outlineLevel="1">
      <c r="A549" s="545"/>
      <c r="B549" s="686" t="str">
        <f>S.General.RulemakingTitle</f>
        <v>Incorporate Lane Regional Air Protection Agency Rules into State Implementation Plan</v>
      </c>
      <c r="C549" s="547" t="s">
        <v>0</v>
      </c>
      <c r="D549" s="547"/>
      <c r="E549" s="559" t="s">
        <v>228</v>
      </c>
      <c r="F549" s="560" t="s">
        <v>226</v>
      </c>
      <c r="G549" s="548" t="s">
        <v>61</v>
      </c>
      <c r="H549" s="548" t="s">
        <v>227</v>
      </c>
      <c r="I549" s="549"/>
      <c r="J549" s="550"/>
      <c r="K549" s="551"/>
      <c r="L549" s="551"/>
      <c r="M549" s="551"/>
      <c r="N549" s="551"/>
      <c r="O549" s="551"/>
      <c r="P549" s="551"/>
      <c r="Q549" s="551"/>
      <c r="R549" s="551"/>
      <c r="S549" s="551"/>
      <c r="T549" s="551"/>
      <c r="U549" s="551"/>
      <c r="V549" s="551"/>
      <c r="W549" s="551"/>
      <c r="X549" s="551"/>
      <c r="Y549" s="551"/>
      <c r="Z549" s="551"/>
      <c r="AA549" s="551"/>
      <c r="AB549" s="551"/>
      <c r="AC549" s="551"/>
      <c r="AD549" s="551"/>
      <c r="AE549" s="551"/>
      <c r="AF549" s="551"/>
      <c r="AG549" s="551"/>
      <c r="AH549" s="551"/>
      <c r="AI549" s="551"/>
      <c r="AJ549" s="551"/>
      <c r="AK549" s="551"/>
      <c r="AL549" s="551"/>
      <c r="AM549" s="551"/>
      <c r="AN549" s="551"/>
      <c r="AO549" s="551"/>
      <c r="AP549" s="551"/>
      <c r="AQ549" s="551"/>
      <c r="AR549" s="551"/>
      <c r="AS549" s="551"/>
      <c r="AT549" s="551"/>
      <c r="AU549" s="551"/>
      <c r="AV549" s="551"/>
      <c r="AW549" s="551"/>
      <c r="AX549" s="551"/>
      <c r="AY549" s="551"/>
      <c r="AZ549" s="551"/>
      <c r="BA549" s="551"/>
      <c r="BB549" s="551"/>
      <c r="BC549" s="551"/>
      <c r="BD549" s="551"/>
      <c r="BE549" s="551"/>
      <c r="BF549" s="551"/>
      <c r="BG549" s="551"/>
      <c r="BH549" s="551"/>
      <c r="BI549" s="551"/>
      <c r="BJ549" s="551"/>
      <c r="BK549" s="551"/>
      <c r="BL549" s="551"/>
      <c r="BM549" s="551"/>
      <c r="BN549" s="551"/>
      <c r="BO549" s="551"/>
      <c r="BP549" s="551"/>
      <c r="BQ549" s="551"/>
      <c r="BR549" s="551"/>
      <c r="BS549" s="551"/>
      <c r="BT549" s="551"/>
      <c r="BU549" s="551"/>
      <c r="BV549" s="551"/>
      <c r="BW549" s="551"/>
      <c r="BX549" s="551"/>
      <c r="BY549" s="551"/>
      <c r="BZ549" s="551"/>
      <c r="CA549" s="551"/>
      <c r="CB549" s="551"/>
      <c r="CC549" s="551"/>
      <c r="CD549" s="551"/>
      <c r="CE549" s="551"/>
      <c r="CF549" s="551"/>
      <c r="CG549" s="551"/>
      <c r="CH549" s="551"/>
      <c r="CI549" s="551"/>
      <c r="CJ549" s="551"/>
      <c r="CK549" s="551"/>
      <c r="CL549" s="551"/>
      <c r="CM549" s="551"/>
      <c r="CN549" s="551"/>
      <c r="CO549" s="551"/>
      <c r="CP549" s="551"/>
      <c r="CQ549" s="551"/>
      <c r="CR549" s="551"/>
      <c r="CS549" s="551"/>
      <c r="CT549" s="551"/>
      <c r="CU549" s="551"/>
      <c r="CV549" s="551"/>
      <c r="CW549" s="551"/>
      <c r="CX549" s="551"/>
      <c r="CY549" s="551"/>
      <c r="CZ549" s="551"/>
      <c r="DA549" s="551"/>
      <c r="DB549" s="551"/>
      <c r="DC549" s="551"/>
      <c r="DD549" s="551"/>
      <c r="DE549" s="551"/>
      <c r="DF549" s="551"/>
      <c r="DG549" s="551"/>
      <c r="DH549" s="551"/>
      <c r="DI549" s="551"/>
      <c r="DJ549" s="551"/>
      <c r="DK549" s="551"/>
      <c r="DL549" s="551"/>
      <c r="DM549" s="551"/>
      <c r="DN549" s="551"/>
      <c r="DO549" s="551"/>
      <c r="DP549" s="551"/>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c r="WP549"/>
      <c r="WQ549"/>
      <c r="WR549"/>
      <c r="WS549"/>
      <c r="WT549"/>
      <c r="WU549"/>
      <c r="WV549"/>
      <c r="WW549"/>
      <c r="WX549"/>
      <c r="WY549"/>
      <c r="WZ549"/>
      <c r="XA549"/>
      <c r="XB549"/>
      <c r="XC549"/>
      <c r="XD549"/>
      <c r="XE549"/>
      <c r="XF549"/>
      <c r="XG549"/>
      <c r="XH549"/>
      <c r="XI549"/>
      <c r="XJ549"/>
      <c r="XK549"/>
      <c r="XL549"/>
      <c r="XM549"/>
      <c r="XN549"/>
      <c r="XO549"/>
      <c r="XP549"/>
      <c r="XQ549"/>
      <c r="XR549"/>
      <c r="XS549"/>
      <c r="XT549"/>
      <c r="XU549"/>
      <c r="XV549"/>
      <c r="XW549"/>
      <c r="XX549"/>
      <c r="XY549"/>
      <c r="XZ549"/>
      <c r="YA549"/>
      <c r="YB549"/>
      <c r="YC549"/>
      <c r="YD549"/>
      <c r="YE549"/>
      <c r="YF549"/>
      <c r="YG549"/>
      <c r="YH549"/>
      <c r="YI549"/>
      <c r="YJ549"/>
      <c r="YK549"/>
      <c r="YL549"/>
      <c r="YM549"/>
      <c r="YN549"/>
      <c r="YO549"/>
      <c r="YP549"/>
      <c r="YQ549"/>
      <c r="YR549"/>
      <c r="YS549"/>
      <c r="YT549"/>
      <c r="YU549"/>
      <c r="YV549"/>
      <c r="YW549"/>
      <c r="YX549"/>
      <c r="YY549"/>
      <c r="YZ549"/>
      <c r="ZA549"/>
      <c r="ZB549"/>
      <c r="ZC549"/>
      <c r="ZD549"/>
      <c r="ZE549"/>
      <c r="ZF549"/>
      <c r="ZG549"/>
      <c r="ZH549"/>
      <c r="ZI549"/>
      <c r="ZJ549"/>
      <c r="ZK549"/>
      <c r="ZL549"/>
      <c r="ZM549"/>
      <c r="ZN549"/>
      <c r="ZO549"/>
      <c r="ZP549"/>
      <c r="ZQ549"/>
      <c r="ZR549"/>
      <c r="ZS549"/>
      <c r="ZT549"/>
      <c r="ZU549"/>
      <c r="ZV549"/>
      <c r="ZW549"/>
      <c r="ZX549"/>
      <c r="ZY549"/>
      <c r="ZZ549" s="52"/>
      <c r="AAA549" s="770"/>
      <c r="AAD549" s="553"/>
      <c r="AAE549" s="554" t="s">
        <v>63</v>
      </c>
      <c r="AAF549" s="555" t="s">
        <v>52</v>
      </c>
      <c r="AAG549" s="553"/>
      <c r="AAH549" s="553"/>
      <c r="AAI549" s="556"/>
      <c r="AAJ549" s="557"/>
      <c r="AAK549" s="558"/>
      <c r="AAL549" s="553"/>
    </row>
    <row r="550" spans="1:715" ht="18" customHeight="1" outlineLevel="1">
      <c r="A550" s="171"/>
      <c r="B550" s="514" t="s">
        <v>12</v>
      </c>
      <c r="C550" s="118"/>
      <c r="D550" s="241"/>
      <c r="E550" s="140" t="s">
        <v>0</v>
      </c>
      <c r="F550" s="544">
        <f>NETWORKDAYS(S.Hearing.BANNER.Begin,S.Hearing.BANNER.End,S.DDL_DEQClosed)</f>
        <v>-29741</v>
      </c>
      <c r="G550" s="247">
        <f>AAG550</f>
        <v>41655</v>
      </c>
      <c r="H550" s="280">
        <f>AAH550</f>
        <v>0</v>
      </c>
      <c r="I550" s="244"/>
      <c r="J550" s="216"/>
      <c r="K550" s="219"/>
      <c r="L550" s="219"/>
      <c r="M550" s="219"/>
      <c r="N550" s="219"/>
      <c r="O550" s="219"/>
      <c r="P550" s="219"/>
      <c r="Q550" s="219"/>
      <c r="R550" s="219"/>
      <c r="S550" s="219"/>
      <c r="T550" s="219"/>
      <c r="U550" s="219"/>
      <c r="V550" s="219"/>
      <c r="W550" s="219"/>
      <c r="X550" s="219"/>
      <c r="Y550" s="219"/>
      <c r="Z550" s="219"/>
      <c r="AA550" s="219"/>
      <c r="AB550" s="219"/>
      <c r="AC550" s="219"/>
      <c r="AD550" s="219"/>
      <c r="AE550" s="219"/>
      <c r="AF550" s="219"/>
      <c r="AG550" s="219"/>
      <c r="AH550" s="219"/>
      <c r="AI550" s="219"/>
      <c r="AJ550" s="219"/>
      <c r="AK550" s="219"/>
      <c r="AL550" s="219"/>
      <c r="AM550" s="219"/>
      <c r="AN550" s="219"/>
      <c r="AO550" s="219"/>
      <c r="AP550" s="219"/>
      <c r="AQ550" s="219"/>
      <c r="AR550" s="219"/>
      <c r="AS550" s="219"/>
      <c r="AT550" s="219"/>
      <c r="AU550" s="219"/>
      <c r="AV550" s="219"/>
      <c r="AW550" s="219"/>
      <c r="AX550" s="219"/>
      <c r="AY550" s="219"/>
      <c r="AZ550" s="219"/>
      <c r="BA550" s="219"/>
      <c r="BB550" s="219"/>
      <c r="BC550" s="219"/>
      <c r="BD550" s="219"/>
      <c r="BE550" s="219"/>
      <c r="BF550" s="219"/>
      <c r="BG550" s="219"/>
      <c r="BH550" s="219"/>
      <c r="BI550" s="219"/>
      <c r="BJ550" s="219"/>
      <c r="BK550" s="219"/>
      <c r="BL550" s="219"/>
      <c r="BM550" s="219"/>
      <c r="BN550" s="219"/>
      <c r="BO550" s="219"/>
      <c r="BP550" s="219"/>
      <c r="BQ550" s="219"/>
      <c r="BR550" s="219"/>
      <c r="BS550" s="219"/>
      <c r="BT550" s="219"/>
      <c r="BU550" s="219"/>
      <c r="BV550" s="219"/>
      <c r="BW550" s="219"/>
      <c r="BX550" s="219"/>
      <c r="BY550" s="219"/>
      <c r="BZ550" s="219"/>
      <c r="CA550" s="219"/>
      <c r="CB550" s="219"/>
      <c r="CC550" s="219"/>
      <c r="CD550" s="219"/>
      <c r="CE550" s="219"/>
      <c r="CF550" s="219"/>
      <c r="CG550" s="219"/>
      <c r="CH550" s="219"/>
      <c r="CI550" s="219"/>
      <c r="CJ550" s="219"/>
      <c r="CK550" s="219"/>
      <c r="CL550" s="219"/>
      <c r="CM550" s="219"/>
      <c r="CN550" s="219"/>
      <c r="CO550" s="219"/>
      <c r="CP550" s="219"/>
      <c r="CQ550" s="219"/>
      <c r="CR550" s="219"/>
      <c r="CS550" s="219"/>
      <c r="CT550" s="219"/>
      <c r="CU550" s="219"/>
      <c r="CV550" s="219"/>
      <c r="CW550" s="219"/>
      <c r="CX550" s="219"/>
      <c r="CY550" s="219"/>
      <c r="CZ550" s="219"/>
      <c r="DA550" s="219"/>
      <c r="DB550" s="219"/>
      <c r="DC550" s="219"/>
      <c r="DD550" s="219"/>
      <c r="DE550" s="219"/>
      <c r="DF550" s="219"/>
      <c r="DG550" s="219"/>
      <c r="DH550" s="219"/>
      <c r="DI550" s="219"/>
      <c r="DJ550" s="219"/>
      <c r="DK550" s="219"/>
      <c r="DL550" s="219"/>
      <c r="DM550" s="219"/>
      <c r="DN550" s="219"/>
      <c r="DO550" s="219"/>
      <c r="DP550" s="219"/>
      <c r="AAA550" s="192" t="s">
        <v>508</v>
      </c>
      <c r="AAD550" s="90"/>
      <c r="AAE550" s="519" t="s">
        <v>63</v>
      </c>
      <c r="AAF550" s="190" t="s">
        <v>52</v>
      </c>
      <c r="AAG550" s="73">
        <f>S.Notice.CloseComment</f>
        <v>41655</v>
      </c>
      <c r="AAH550" s="73">
        <f>S.EQC.PacketEndReview</f>
        <v>0</v>
      </c>
      <c r="AAI550" s="72"/>
      <c r="AAJ550" s="72"/>
      <c r="AAK550" s="491"/>
      <c r="AAL550" s="90"/>
      <c r="AAM550"/>
    </row>
    <row r="551" spans="1:715" ht="6" customHeight="1" outlineLevel="1">
      <c r="A551" s="171"/>
      <c r="B551" s="120"/>
      <c r="C551" s="112"/>
      <c r="D551" s="230"/>
      <c r="E551" s="113"/>
      <c r="F551" s="113"/>
      <c r="G551" s="112"/>
      <c r="H551" s="112"/>
      <c r="I551" s="244"/>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AAA551" s="192"/>
      <c r="AAD551" s="90"/>
      <c r="AAE551" s="519" t="s">
        <v>17</v>
      </c>
      <c r="AAF551" s="190" t="s">
        <v>52</v>
      </c>
      <c r="AAG551" s="60"/>
      <c r="AAH551" s="60"/>
      <c r="AAI551" s="72"/>
      <c r="AAJ551" s="72"/>
      <c r="AAK551" s="56"/>
      <c r="AAL551" s="90"/>
      <c r="AAM551"/>
    </row>
    <row r="552" spans="1:715" s="23" customFormat="1" ht="12.75" customHeight="1" outlineLevel="1" thickBot="1">
      <c r="A552" s="171"/>
      <c r="B552" s="798" t="s">
        <v>510</v>
      </c>
      <c r="C552" s="797" t="str">
        <f>HYPERLINK("","i")</f>
        <v>i</v>
      </c>
      <c r="D552" s="231"/>
      <c r="E552" s="97"/>
      <c r="F552" s="97"/>
      <c r="G552" s="96"/>
      <c r="H552" s="96"/>
      <c r="I552" s="244"/>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ZZ552" s="52"/>
      <c r="AAA552" s="192"/>
      <c r="AAD552" s="90"/>
      <c r="AAE552" s="520" t="s">
        <v>21</v>
      </c>
      <c r="AAF552" s="190" t="s">
        <v>52</v>
      </c>
      <c r="AAG552" s="60"/>
      <c r="AAH552" s="60"/>
      <c r="AAI552" s="82"/>
      <c r="AAJ552" s="82"/>
      <c r="AAK552" s="40"/>
      <c r="AAL552" s="90"/>
    </row>
    <row r="553" spans="1:715" ht="15" customHeight="1" outlineLevel="1" thickBot="1">
      <c r="A553" s="171"/>
      <c r="B553" s="407" t="str">
        <f>AAK553</f>
        <v>SavvySupport reserves venues and equipment, gathers supplies</v>
      </c>
      <c r="C553" s="606" t="s">
        <v>53</v>
      </c>
      <c r="D553" s="511"/>
      <c r="E553" s="397">
        <f>NETWORKDAYS(G553,H553,S.DDL_DEQClosed)</f>
        <v>-4</v>
      </c>
      <c r="F553" s="457">
        <f ca="1">IF(YEAR(H553)&gt;2000,NETWORKDAYS(TODAY(),H553,S.DDL_DEQClosed),0)</f>
        <v>52</v>
      </c>
      <c r="G553" s="408">
        <f>AAG553</f>
        <v>41655</v>
      </c>
      <c r="H553" s="408">
        <f>AAH553</f>
        <v>41652</v>
      </c>
      <c r="I553" s="244"/>
      <c r="J553" s="222"/>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c r="AJ553" s="223"/>
      <c r="AK553" s="223"/>
      <c r="AL553" s="223"/>
      <c r="AM553" s="223"/>
      <c r="AN553" s="223"/>
      <c r="AO553" s="223"/>
      <c r="AP553" s="223"/>
      <c r="AQ553" s="223"/>
      <c r="AR553" s="223"/>
      <c r="AS553" s="223"/>
      <c r="AT553" s="223"/>
      <c r="AU553" s="223"/>
      <c r="AV553" s="223"/>
      <c r="AW553" s="223"/>
      <c r="AX553" s="223"/>
      <c r="AY553" s="223"/>
      <c r="AZ553" s="223"/>
      <c r="BA553" s="223"/>
      <c r="BB553" s="223"/>
      <c r="BC553" s="223"/>
      <c r="BD553" s="223"/>
      <c r="BE553" s="223"/>
      <c r="BF553" s="223"/>
      <c r="BG553" s="223"/>
      <c r="BH553" s="223"/>
      <c r="BI553" s="223"/>
      <c r="BJ553" s="223"/>
      <c r="BK553" s="223"/>
      <c r="BL553" s="223"/>
      <c r="BM553" s="223"/>
      <c r="BN553" s="223"/>
      <c r="BO553" s="223"/>
      <c r="BP553" s="223"/>
      <c r="BQ553" s="223"/>
      <c r="BR553" s="223"/>
      <c r="BS553" s="223"/>
      <c r="BT553" s="223"/>
      <c r="BU553" s="223"/>
      <c r="BV553" s="223"/>
      <c r="BW553" s="223"/>
      <c r="BX553" s="223"/>
      <c r="BY553" s="223"/>
      <c r="BZ553" s="223"/>
      <c r="CA553" s="223"/>
      <c r="CB553" s="223"/>
      <c r="CC553" s="223"/>
      <c r="CD553" s="223"/>
      <c r="CE553" s="223"/>
      <c r="CF553" s="223"/>
      <c r="CG553" s="223"/>
      <c r="CH553" s="223"/>
      <c r="CI553" s="223"/>
      <c r="CJ553" s="223"/>
      <c r="CK553" s="223"/>
      <c r="CL553" s="223"/>
      <c r="CM553" s="223"/>
      <c r="CN553" s="223"/>
      <c r="CO553" s="223"/>
      <c r="CP553" s="223"/>
      <c r="CQ553" s="223"/>
      <c r="CR553" s="223"/>
      <c r="CS553" s="223"/>
      <c r="CT553" s="223"/>
      <c r="CU553" s="223"/>
      <c r="CV553" s="223"/>
      <c r="CW553" s="223"/>
      <c r="CX553" s="223"/>
      <c r="CY553" s="223"/>
      <c r="CZ553" s="223"/>
      <c r="DA553" s="223"/>
      <c r="DB553" s="223"/>
      <c r="DC553" s="223"/>
      <c r="DD553" s="223"/>
      <c r="DE553" s="223"/>
      <c r="DF553" s="223"/>
      <c r="DG553" s="223"/>
      <c r="DH553" s="223"/>
      <c r="DI553" s="223"/>
      <c r="DJ553" s="223"/>
      <c r="DK553" s="223"/>
      <c r="DL553" s="223"/>
      <c r="DM553" s="223"/>
      <c r="DN553" s="223"/>
      <c r="DO553" s="223"/>
      <c r="DP553" s="223"/>
      <c r="AAA553" s="192"/>
      <c r="AAD553" s="90"/>
      <c r="AAE553" s="519">
        <f>IF(AND(S.Notice.Involved="Y",S.Hearing.1stInvolve="Y"),1,0)</f>
        <v>1</v>
      </c>
      <c r="AAF553" s="191"/>
      <c r="AAG553" s="73">
        <f>S.Hearing.BANNER.Begin</f>
        <v>41655</v>
      </c>
      <c r="AAH553" s="73">
        <f>S.Hearing.1stDate</f>
        <v>41652</v>
      </c>
      <c r="AAI553" s="72"/>
      <c r="AAJ553" s="72"/>
      <c r="AAK553" s="80" t="str">
        <f>S.Staff.Support&amp;" reserves venues and equipment, gathers supplies"</f>
        <v>SavvySupport reserves venues and equipment, gathers supplies</v>
      </c>
      <c r="AAL553" s="90"/>
      <c r="AAM553"/>
    </row>
    <row r="554" spans="1:715" s="23" customFormat="1" ht="15" customHeight="1" outlineLevel="2">
      <c r="A554" s="171"/>
      <c r="B554" s="803" t="str">
        <f>AAK554</f>
        <v>START INFORMATION MEETING OPTION</v>
      </c>
      <c r="C554" s="409"/>
      <c r="D554" s="410"/>
      <c r="E554" s="350"/>
      <c r="F554" s="350"/>
      <c r="G554" s="409"/>
      <c r="H554" s="409"/>
      <c r="I554" s="244"/>
      <c r="J554" s="194"/>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9"/>
      <c r="CD554" s="49"/>
      <c r="CE554" s="49"/>
      <c r="CF554" s="49"/>
      <c r="CG554" s="49"/>
      <c r="CH554" s="49"/>
      <c r="CI554" s="49"/>
      <c r="CJ554" s="49"/>
      <c r="CK554" s="49"/>
      <c r="CL554" s="49"/>
      <c r="CM554" s="49"/>
      <c r="CN554" s="49"/>
      <c r="CO554" s="49"/>
      <c r="CP554" s="49"/>
      <c r="CQ554" s="49"/>
      <c r="CR554" s="49"/>
      <c r="CS554" s="49"/>
      <c r="CT554" s="49"/>
      <c r="CU554" s="49"/>
      <c r="CV554" s="49"/>
      <c r="CW554" s="49"/>
      <c r="CX554" s="49"/>
      <c r="CY554" s="49"/>
      <c r="CZ554" s="49"/>
      <c r="DA554" s="49"/>
      <c r="DB554" s="49"/>
      <c r="DC554" s="49"/>
      <c r="DD554" s="49"/>
      <c r="DE554" s="49"/>
      <c r="DF554" s="49"/>
      <c r="DG554" s="49"/>
      <c r="DH554" s="49"/>
      <c r="DI554" s="49"/>
      <c r="DJ554" s="49"/>
      <c r="DK554" s="49"/>
      <c r="DL554" s="49"/>
      <c r="DM554" s="49"/>
      <c r="DN554" s="49"/>
      <c r="DO554" s="49"/>
      <c r="DP554" s="49"/>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c r="WP554"/>
      <c r="WQ554"/>
      <c r="WR554"/>
      <c r="WS554"/>
      <c r="WT554"/>
      <c r="WU554"/>
      <c r="WV554"/>
      <c r="WW554"/>
      <c r="WX554"/>
      <c r="WY554"/>
      <c r="WZ554"/>
      <c r="XA554"/>
      <c r="XB554"/>
      <c r="XC554"/>
      <c r="XD554"/>
      <c r="XE554"/>
      <c r="XF554"/>
      <c r="XG554"/>
      <c r="XH554"/>
      <c r="XI554"/>
      <c r="XJ554"/>
      <c r="XK554"/>
      <c r="XL554"/>
      <c r="XM554"/>
      <c r="XN554"/>
      <c r="XO554"/>
      <c r="XP554"/>
      <c r="XQ554"/>
      <c r="XR554"/>
      <c r="XS554"/>
      <c r="XT554"/>
      <c r="XU554"/>
      <c r="XV554"/>
      <c r="XW554"/>
      <c r="XX554"/>
      <c r="XY554"/>
      <c r="XZ554"/>
      <c r="YA554"/>
      <c r="YB554"/>
      <c r="YC554"/>
      <c r="YD554"/>
      <c r="YE554"/>
      <c r="YF554"/>
      <c r="YG554"/>
      <c r="YH554"/>
      <c r="YI554"/>
      <c r="YJ554"/>
      <c r="YK554"/>
      <c r="YL554"/>
      <c r="YM554"/>
      <c r="YN554"/>
      <c r="YO554"/>
      <c r="YP554"/>
      <c r="YQ554"/>
      <c r="YR554"/>
      <c r="YS554"/>
      <c r="YT554"/>
      <c r="YU554"/>
      <c r="YV554"/>
      <c r="YW554"/>
      <c r="YX554"/>
      <c r="YY554"/>
      <c r="YZ554"/>
      <c r="ZA554"/>
      <c r="ZB554"/>
      <c r="ZC554"/>
      <c r="ZD554"/>
      <c r="ZE554"/>
      <c r="ZF554"/>
      <c r="ZG554"/>
      <c r="ZH554"/>
      <c r="ZI554"/>
      <c r="ZJ554"/>
      <c r="ZK554"/>
      <c r="ZL554"/>
      <c r="ZM554"/>
      <c r="ZN554"/>
      <c r="ZO554"/>
      <c r="ZP554"/>
      <c r="ZQ554"/>
      <c r="ZR554"/>
      <c r="ZS554"/>
      <c r="ZT554"/>
      <c r="ZU554"/>
      <c r="ZV554"/>
      <c r="ZW554"/>
      <c r="ZX554"/>
      <c r="ZY554"/>
      <c r="ZZ554" s="52"/>
      <c r="AAA554" s="192"/>
      <c r="AAD554" s="90"/>
      <c r="AAE554" s="519">
        <f>IF(AND(S.Notice.Involved="Y",S.Hearing.1stInvolve="Y",S.Notice.InformationMeeting="Y"),1,0)</f>
        <v>1</v>
      </c>
      <c r="AAF554" s="190" t="s">
        <v>52</v>
      </c>
      <c r="AAG554" s="71"/>
      <c r="AAH554" s="71"/>
      <c r="AAI554" s="72"/>
      <c r="AAJ554" s="72"/>
      <c r="AAK554" s="80" t="str">
        <f>IF(S.Notice.InformationMeeting="Y","START INFORMATION MEETING OPTION","Team does not plan to hold information meeting")</f>
        <v>START INFORMATION MEETING OPTION</v>
      </c>
      <c r="AAL554" s="90"/>
    </row>
    <row r="555" spans="1:715" s="23" customFormat="1" ht="15" customHeight="1" outlineLevel="2">
      <c r="A555" s="171"/>
      <c r="B555" s="662" t="str">
        <f>AAK555</f>
        <v>AndreaRW:</v>
      </c>
      <c r="C555" s="346"/>
      <c r="D555" s="357"/>
      <c r="E555" s="350"/>
      <c r="F555" s="350"/>
      <c r="G555" s="346"/>
      <c r="H555" s="346"/>
      <c r="I555" s="244"/>
      <c r="J555" s="194"/>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c r="WP555"/>
      <c r="WQ555"/>
      <c r="WR555"/>
      <c r="WS555"/>
      <c r="WT555"/>
      <c r="WU555"/>
      <c r="WV555"/>
      <c r="WW555"/>
      <c r="WX555"/>
      <c r="WY555"/>
      <c r="WZ555"/>
      <c r="XA555"/>
      <c r="XB555"/>
      <c r="XC555"/>
      <c r="XD555"/>
      <c r="XE555"/>
      <c r="XF555"/>
      <c r="XG555"/>
      <c r="XH555"/>
      <c r="XI555"/>
      <c r="XJ555"/>
      <c r="XK555"/>
      <c r="XL555"/>
      <c r="XM555"/>
      <c r="XN555"/>
      <c r="XO555"/>
      <c r="XP555"/>
      <c r="XQ555"/>
      <c r="XR555"/>
      <c r="XS555"/>
      <c r="XT555"/>
      <c r="XU555"/>
      <c r="XV555"/>
      <c r="XW555"/>
      <c r="XX555"/>
      <c r="XY555"/>
      <c r="XZ555"/>
      <c r="YA555"/>
      <c r="YB555"/>
      <c r="YC555"/>
      <c r="YD555"/>
      <c r="YE555"/>
      <c r="YF555"/>
      <c r="YG555"/>
      <c r="YH555"/>
      <c r="YI555"/>
      <c r="YJ555"/>
      <c r="YK555"/>
      <c r="YL555"/>
      <c r="YM555"/>
      <c r="YN555"/>
      <c r="YO555"/>
      <c r="YP555"/>
      <c r="YQ555"/>
      <c r="YR555"/>
      <c r="YS555"/>
      <c r="YT555"/>
      <c r="YU555"/>
      <c r="YV555"/>
      <c r="YW555"/>
      <c r="YX555"/>
      <c r="YY555"/>
      <c r="YZ555"/>
      <c r="ZA555"/>
      <c r="ZB555"/>
      <c r="ZC555"/>
      <c r="ZD555"/>
      <c r="ZE555"/>
      <c r="ZF555"/>
      <c r="ZG555"/>
      <c r="ZH555"/>
      <c r="ZI555"/>
      <c r="ZJ555"/>
      <c r="ZK555"/>
      <c r="ZL555"/>
      <c r="ZM555"/>
      <c r="ZN555"/>
      <c r="ZO555"/>
      <c r="ZP555"/>
      <c r="ZQ555"/>
      <c r="ZR555"/>
      <c r="ZS555"/>
      <c r="ZT555"/>
      <c r="ZU555"/>
      <c r="ZV555"/>
      <c r="ZW555"/>
      <c r="ZX555"/>
      <c r="ZY555"/>
      <c r="ZZ555" s="52"/>
      <c r="AAA555" s="192"/>
      <c r="AAD555" s="90"/>
      <c r="AAE555" s="519">
        <f>IF(AND(S.Notice.Involved="Y",S.Notice.AD.Involved="Y"),1,0)</f>
        <v>1</v>
      </c>
      <c r="AAF555" s="190" t="s">
        <v>52</v>
      </c>
      <c r="AAG555" s="71"/>
      <c r="AAH555" s="71"/>
      <c r="AAI555" s="72"/>
      <c r="AAJ555" s="72"/>
      <c r="AAK555" s="80" t="str">
        <f>S.Staff.Lead&amp;":"</f>
        <v>AndreaRW:</v>
      </c>
      <c r="AAL555" s="90"/>
    </row>
    <row r="556" spans="1:715" s="23" customFormat="1" ht="15" customHeight="1" outlineLevel="2" thickBot="1">
      <c r="A556" s="171"/>
      <c r="B556" s="662" t="s">
        <v>340</v>
      </c>
      <c r="C556" s="376" t="s">
        <v>0</v>
      </c>
      <c r="D556" s="380"/>
      <c r="E556" s="342">
        <f>NETWORKDAYS(G556,H556,S.DDL_DEQClosed)</f>
        <v>1</v>
      </c>
      <c r="F556" s="457">
        <f t="shared" ref="F556:F565" ca="1" si="452">IF(YEAR(H556)&gt;2000,NETWORKDAYS(TODAY(),H556,S.DDL_DEQClosed),0)</f>
        <v>55</v>
      </c>
      <c r="G556" s="408">
        <f t="shared" ref="G556:G561" si="453">AAG556</f>
        <v>41655</v>
      </c>
      <c r="H556" s="408">
        <f t="shared" ref="H556:H561" si="454">AAH556</f>
        <v>41655</v>
      </c>
      <c r="I556" s="244"/>
      <c r="J556" s="194"/>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c r="WP556"/>
      <c r="WQ556"/>
      <c r="WR556"/>
      <c r="WS556"/>
      <c r="WT556"/>
      <c r="WU556"/>
      <c r="WV556"/>
      <c r="WW556"/>
      <c r="WX556"/>
      <c r="WY556"/>
      <c r="WZ556"/>
      <c r="XA556"/>
      <c r="XB556"/>
      <c r="XC556"/>
      <c r="XD556"/>
      <c r="XE556"/>
      <c r="XF556"/>
      <c r="XG556"/>
      <c r="XH556"/>
      <c r="XI556"/>
      <c r="XJ556"/>
      <c r="XK556"/>
      <c r="XL556"/>
      <c r="XM556"/>
      <c r="XN556"/>
      <c r="XO556"/>
      <c r="XP556"/>
      <c r="XQ556"/>
      <c r="XR556"/>
      <c r="XS556"/>
      <c r="XT556"/>
      <c r="XU556"/>
      <c r="XV556"/>
      <c r="XW556"/>
      <c r="XX556"/>
      <c r="XY556"/>
      <c r="XZ556"/>
      <c r="YA556"/>
      <c r="YB556"/>
      <c r="YC556"/>
      <c r="YD556"/>
      <c r="YE556"/>
      <c r="YF556"/>
      <c r="YG556"/>
      <c r="YH556"/>
      <c r="YI556"/>
      <c r="YJ556"/>
      <c r="YK556"/>
      <c r="YL556"/>
      <c r="YM556"/>
      <c r="YN556"/>
      <c r="YO556"/>
      <c r="YP556"/>
      <c r="YQ556"/>
      <c r="YR556"/>
      <c r="YS556"/>
      <c r="YT556"/>
      <c r="YU556"/>
      <c r="YV556"/>
      <c r="YW556"/>
      <c r="YX556"/>
      <c r="YY556"/>
      <c r="YZ556"/>
      <c r="ZA556"/>
      <c r="ZB556"/>
      <c r="ZC556"/>
      <c r="ZD556"/>
      <c r="ZE556"/>
      <c r="ZF556"/>
      <c r="ZG556"/>
      <c r="ZH556"/>
      <c r="ZI556"/>
      <c r="ZJ556"/>
      <c r="ZK556"/>
      <c r="ZL556"/>
      <c r="ZM556"/>
      <c r="ZN556"/>
      <c r="ZO556"/>
      <c r="ZP556"/>
      <c r="ZQ556"/>
      <c r="ZR556"/>
      <c r="ZS556"/>
      <c r="ZT556"/>
      <c r="ZU556"/>
      <c r="ZV556"/>
      <c r="ZW556"/>
      <c r="ZX556"/>
      <c r="ZY556"/>
      <c r="ZZ556" s="52"/>
      <c r="AAA556" s="192" t="s">
        <v>0</v>
      </c>
      <c r="AAD556" s="90"/>
      <c r="AAE556" s="519">
        <f>IF(AND(S.Notice.Involved="Y",S.Hearing.1stInvolve="Y",S.Notice.InformationMeeting="Y"),1,0)</f>
        <v>1</v>
      </c>
      <c r="AAF556" s="90"/>
      <c r="AAG556" s="73">
        <f>IF(AAE556=0,,S.Hearing.BANNER.Begin)</f>
        <v>41655</v>
      </c>
      <c r="AAH556" s="73">
        <f>G556</f>
        <v>41655</v>
      </c>
      <c r="AAI556" s="72"/>
      <c r="AAJ556" s="72"/>
      <c r="AAK556" s="558"/>
      <c r="AAL556" s="90"/>
    </row>
    <row r="557" spans="1:715" s="23" customFormat="1" ht="15" customHeight="1" outlineLevel="2" thickBot="1">
      <c r="A557" s="171"/>
      <c r="B557" s="662" t="s">
        <v>438</v>
      </c>
      <c r="C557" s="606" t="s">
        <v>53</v>
      </c>
      <c r="D557" s="511"/>
      <c r="E557" s="342">
        <f>NETWORKDAYS(G557,H557,S.DDL_DEQClosed)</f>
        <v>1</v>
      </c>
      <c r="F557" s="457">
        <f t="shared" ca="1" si="452"/>
        <v>55</v>
      </c>
      <c r="G557" s="408">
        <f t="shared" si="453"/>
        <v>41655</v>
      </c>
      <c r="H557" s="408">
        <f t="shared" si="454"/>
        <v>41655</v>
      </c>
      <c r="I557" s="244"/>
      <c r="J557" s="194"/>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c r="WP557"/>
      <c r="WQ557"/>
      <c r="WR557"/>
      <c r="WS557"/>
      <c r="WT557"/>
      <c r="WU557"/>
      <c r="WV557"/>
      <c r="WW557"/>
      <c r="WX557"/>
      <c r="WY557"/>
      <c r="WZ557"/>
      <c r="XA557"/>
      <c r="XB557"/>
      <c r="XC557"/>
      <c r="XD557"/>
      <c r="XE557"/>
      <c r="XF557"/>
      <c r="XG557"/>
      <c r="XH557"/>
      <c r="XI557"/>
      <c r="XJ557"/>
      <c r="XK557"/>
      <c r="XL557"/>
      <c r="XM557"/>
      <c r="XN557"/>
      <c r="XO557"/>
      <c r="XP557"/>
      <c r="XQ557"/>
      <c r="XR557"/>
      <c r="XS557"/>
      <c r="XT557"/>
      <c r="XU557"/>
      <c r="XV557"/>
      <c r="XW557"/>
      <c r="XX557"/>
      <c r="XY557"/>
      <c r="XZ557"/>
      <c r="YA557"/>
      <c r="YB557"/>
      <c r="YC557"/>
      <c r="YD557"/>
      <c r="YE557"/>
      <c r="YF557"/>
      <c r="YG557"/>
      <c r="YH557"/>
      <c r="YI557"/>
      <c r="YJ557"/>
      <c r="YK557"/>
      <c r="YL557"/>
      <c r="YM557"/>
      <c r="YN557"/>
      <c r="YO557"/>
      <c r="YP557"/>
      <c r="YQ557"/>
      <c r="YR557"/>
      <c r="YS557"/>
      <c r="YT557"/>
      <c r="YU557"/>
      <c r="YV557"/>
      <c r="YW557"/>
      <c r="YX557"/>
      <c r="YY557"/>
      <c r="YZ557"/>
      <c r="ZA557"/>
      <c r="ZB557"/>
      <c r="ZC557"/>
      <c r="ZD557"/>
      <c r="ZE557"/>
      <c r="ZF557"/>
      <c r="ZG557"/>
      <c r="ZH557"/>
      <c r="ZI557"/>
      <c r="ZJ557"/>
      <c r="ZK557"/>
      <c r="ZL557"/>
      <c r="ZM557"/>
      <c r="ZN557"/>
      <c r="ZO557"/>
      <c r="ZP557"/>
      <c r="ZQ557"/>
      <c r="ZR557"/>
      <c r="ZS557"/>
      <c r="ZT557"/>
      <c r="ZU557"/>
      <c r="ZV557"/>
      <c r="ZW557"/>
      <c r="ZX557"/>
      <c r="ZY557"/>
      <c r="ZZ557" s="52"/>
      <c r="AAA557" s="192" t="s">
        <v>0</v>
      </c>
      <c r="AAD557" s="90"/>
      <c r="AAE557" s="519">
        <f t="shared" ref="AAE557:AAE565" si="455">IF(AND(S.Notice.Involved="Y",S.Hearing.1stInvolve="Y",S.Notice.InformationMeeting="Y",S.Planning.MessageMap="Y"),1,0)</f>
        <v>1</v>
      </c>
      <c r="AAF557" s="90"/>
      <c r="AAG557" s="73">
        <f>IF(AAE557=0,,S.Hearing.BANNER.Begin)</f>
        <v>41655</v>
      </c>
      <c r="AAH557" s="73">
        <f t="shared" ref="AAH557:AAH560" si="456">G557</f>
        <v>41655</v>
      </c>
      <c r="AAI557" s="72"/>
      <c r="AAJ557" s="72"/>
      <c r="AAK557" s="558"/>
      <c r="AAL557" s="90"/>
    </row>
    <row r="558" spans="1:715" s="695" customFormat="1" ht="15" customHeight="1" outlineLevel="2">
      <c r="A558" s="689"/>
      <c r="B558" s="662" t="s">
        <v>341</v>
      </c>
      <c r="C558" s="690" t="s">
        <v>0</v>
      </c>
      <c r="D558" s="691"/>
      <c r="E558" s="735">
        <f>NETWORKDAYS(G558,H558,S.DDL_DEQClosed)</f>
        <v>1</v>
      </c>
      <c r="F558" s="736">
        <f t="shared" ca="1" si="452"/>
        <v>55</v>
      </c>
      <c r="G558" s="737">
        <f t="shared" si="453"/>
        <v>41655</v>
      </c>
      <c r="H558" s="737">
        <f t="shared" si="454"/>
        <v>41655</v>
      </c>
      <c r="I558" s="692"/>
      <c r="J558" s="693"/>
      <c r="K558" s="694"/>
      <c r="L558" s="694"/>
      <c r="M558" s="694"/>
      <c r="N558" s="694"/>
      <c r="O558" s="694"/>
      <c r="P558" s="694"/>
      <c r="Q558" s="694"/>
      <c r="R558" s="694"/>
      <c r="S558" s="694"/>
      <c r="T558" s="694"/>
      <c r="U558" s="694"/>
      <c r="V558" s="694"/>
      <c r="W558" s="694"/>
      <c r="X558" s="694"/>
      <c r="Y558" s="694"/>
      <c r="Z558" s="694"/>
      <c r="AA558" s="694"/>
      <c r="AB558" s="694"/>
      <c r="AC558" s="694"/>
      <c r="AD558" s="694"/>
      <c r="AE558" s="694"/>
      <c r="AF558" s="694"/>
      <c r="AG558" s="694"/>
      <c r="AH558" s="694"/>
      <c r="AI558" s="694"/>
      <c r="AJ558" s="694"/>
      <c r="AK558" s="694"/>
      <c r="AL558" s="694"/>
      <c r="AM558" s="694"/>
      <c r="AN558" s="694"/>
      <c r="AO558" s="694"/>
      <c r="AP558" s="694"/>
      <c r="AQ558" s="694"/>
      <c r="AR558" s="694"/>
      <c r="AS558" s="694"/>
      <c r="AT558" s="694"/>
      <c r="AU558" s="694"/>
      <c r="AV558" s="694"/>
      <c r="AW558" s="694"/>
      <c r="AX558" s="694"/>
      <c r="AY558" s="694"/>
      <c r="AZ558" s="694"/>
      <c r="BA558" s="694"/>
      <c r="BB558" s="694"/>
      <c r="BC558" s="694"/>
      <c r="BD558" s="694"/>
      <c r="BE558" s="694"/>
      <c r="BF558" s="694"/>
      <c r="BG558" s="694"/>
      <c r="BH558" s="694"/>
      <c r="BI558" s="694"/>
      <c r="BJ558" s="694"/>
      <c r="BK558" s="694"/>
      <c r="BL558" s="694"/>
      <c r="BM558" s="694"/>
      <c r="BN558" s="694"/>
      <c r="BO558" s="694"/>
      <c r="BP558" s="694"/>
      <c r="BQ558" s="694"/>
      <c r="BR558" s="694"/>
      <c r="BS558" s="694"/>
      <c r="BT558" s="694"/>
      <c r="BU558" s="694"/>
      <c r="BV558" s="694"/>
      <c r="BW558" s="694"/>
      <c r="BX558" s="694"/>
      <c r="BY558" s="694"/>
      <c r="BZ558" s="694"/>
      <c r="CA558" s="694"/>
      <c r="CB558" s="694"/>
      <c r="CC558" s="694"/>
      <c r="CD558" s="694"/>
      <c r="CE558" s="694"/>
      <c r="CF558" s="694"/>
      <c r="CG558" s="694"/>
      <c r="CH558" s="694"/>
      <c r="CI558" s="694"/>
      <c r="CJ558" s="694"/>
      <c r="CK558" s="694"/>
      <c r="CL558" s="694"/>
      <c r="CM558" s="694"/>
      <c r="CN558" s="694"/>
      <c r="CO558" s="694"/>
      <c r="CP558" s="694"/>
      <c r="CQ558" s="694"/>
      <c r="CR558" s="694"/>
      <c r="CS558" s="694"/>
      <c r="CT558" s="694"/>
      <c r="CU558" s="694"/>
      <c r="CV558" s="694"/>
      <c r="CW558" s="694"/>
      <c r="CX558" s="694"/>
      <c r="CY558" s="694"/>
      <c r="CZ558" s="694"/>
      <c r="DA558" s="694"/>
      <c r="DB558" s="694"/>
      <c r="DC558" s="694"/>
      <c r="DD558" s="694"/>
      <c r="DE558" s="694"/>
      <c r="DF558" s="694"/>
      <c r="DG558" s="694"/>
      <c r="DH558" s="694"/>
      <c r="DI558" s="694"/>
      <c r="DJ558" s="694"/>
      <c r="DK558" s="694"/>
      <c r="DL558" s="694"/>
      <c r="DM558" s="694"/>
      <c r="DN558" s="694"/>
      <c r="DO558" s="694"/>
      <c r="DP558" s="694"/>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c r="WP558"/>
      <c r="WQ558"/>
      <c r="WR558"/>
      <c r="WS558"/>
      <c r="WT558"/>
      <c r="WU558"/>
      <c r="WV558"/>
      <c r="WW558"/>
      <c r="WX558"/>
      <c r="WY558"/>
      <c r="WZ558"/>
      <c r="XA558"/>
      <c r="XB558"/>
      <c r="XC558"/>
      <c r="XD558"/>
      <c r="XE558"/>
      <c r="XF558"/>
      <c r="XG558"/>
      <c r="XH558"/>
      <c r="XI558"/>
      <c r="XJ558"/>
      <c r="XK558"/>
      <c r="XL558"/>
      <c r="XM558"/>
      <c r="XN558"/>
      <c r="XO558"/>
      <c r="XP558"/>
      <c r="XQ558"/>
      <c r="XR558"/>
      <c r="XS558"/>
      <c r="XT558"/>
      <c r="XU558"/>
      <c r="XV558"/>
      <c r="XW558"/>
      <c r="XX558"/>
      <c r="XY558"/>
      <c r="XZ558"/>
      <c r="YA558"/>
      <c r="YB558"/>
      <c r="YC558"/>
      <c r="YD558"/>
      <c r="YE558"/>
      <c r="YF558"/>
      <c r="YG558"/>
      <c r="YH558"/>
      <c r="YI558"/>
      <c r="YJ558"/>
      <c r="YK558"/>
      <c r="YL558"/>
      <c r="YM558"/>
      <c r="YN558"/>
      <c r="YO558"/>
      <c r="YP558"/>
      <c r="YQ558"/>
      <c r="YR558"/>
      <c r="YS558"/>
      <c r="YT558"/>
      <c r="YU558"/>
      <c r="YV558"/>
      <c r="YW558"/>
      <c r="YX558"/>
      <c r="YY558"/>
      <c r="YZ558"/>
      <c r="ZA558"/>
      <c r="ZB558"/>
      <c r="ZC558"/>
      <c r="ZD558"/>
      <c r="ZE558"/>
      <c r="ZF558"/>
      <c r="ZG558"/>
      <c r="ZH558"/>
      <c r="ZI558"/>
      <c r="ZJ558"/>
      <c r="ZK558"/>
      <c r="ZL558"/>
      <c r="ZM558"/>
      <c r="ZN558"/>
      <c r="ZO558"/>
      <c r="ZP558"/>
      <c r="ZQ558"/>
      <c r="ZR558"/>
      <c r="ZS558"/>
      <c r="ZT558"/>
      <c r="ZU558"/>
      <c r="ZV558"/>
      <c r="ZW558"/>
      <c r="ZX558"/>
      <c r="ZY558"/>
      <c r="ZZ558" s="52"/>
      <c r="AAA558" s="773"/>
      <c r="AAD558" s="696"/>
      <c r="AAE558" s="519">
        <f t="shared" si="455"/>
        <v>1</v>
      </c>
      <c r="AAF558" s="696"/>
      <c r="AAG558" s="697">
        <f>IF(AAE558=0,,S.Hearing.BANNER.Begin)</f>
        <v>41655</v>
      </c>
      <c r="AAH558" s="697">
        <f t="shared" si="456"/>
        <v>41655</v>
      </c>
      <c r="AAI558" s="698"/>
      <c r="AAJ558" s="698"/>
      <c r="AAK558" s="558"/>
      <c r="AAL558" s="696"/>
    </row>
    <row r="559" spans="1:715" s="23" customFormat="1" ht="15" customHeight="1" outlineLevel="2">
      <c r="A559" s="171"/>
      <c r="B559" s="662" t="s">
        <v>342</v>
      </c>
      <c r="C559" s="376" t="s">
        <v>0</v>
      </c>
      <c r="D559" s="380"/>
      <c r="E559" s="342">
        <f>NETWORKDAYS(G559,H559,S.DDL_DEQClosed)</f>
        <v>1</v>
      </c>
      <c r="F559" s="457">
        <f t="shared" ca="1" si="452"/>
        <v>55</v>
      </c>
      <c r="G559" s="408">
        <f t="shared" si="453"/>
        <v>41655</v>
      </c>
      <c r="H559" s="408">
        <f t="shared" si="454"/>
        <v>41655</v>
      </c>
      <c r="I559" s="244"/>
      <c r="J559" s="194"/>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c r="IW559"/>
      <c r="IX559"/>
      <c r="IY559"/>
      <c r="IZ559"/>
      <c r="JA559"/>
      <c r="JB559"/>
      <c r="JC559"/>
      <c r="JD559"/>
      <c r="JE559"/>
      <c r="JF559"/>
      <c r="JG559"/>
      <c r="JH559"/>
      <c r="JI559"/>
      <c r="JJ559"/>
      <c r="JK559"/>
      <c r="JL559"/>
      <c r="JM559"/>
      <c r="JN559"/>
      <c r="JO559"/>
      <c r="JP559"/>
      <c r="JQ559"/>
      <c r="JR559"/>
      <c r="JS559"/>
      <c r="JT559"/>
      <c r="JU559"/>
      <c r="JV559"/>
      <c r="JW559"/>
      <c r="JX559"/>
      <c r="JY559"/>
      <c r="JZ559"/>
      <c r="KA559"/>
      <c r="KB559"/>
      <c r="KC559"/>
      <c r="KD559"/>
      <c r="KE559"/>
      <c r="KF559"/>
      <c r="KG559"/>
      <c r="KH559"/>
      <c r="KI559"/>
      <c r="KJ559"/>
      <c r="KK559"/>
      <c r="KL559"/>
      <c r="KM559"/>
      <c r="KN559"/>
      <c r="KO559"/>
      <c r="KP559"/>
      <c r="KQ559"/>
      <c r="KR559"/>
      <c r="KS559"/>
      <c r="KT559"/>
      <c r="KU559"/>
      <c r="KV559"/>
      <c r="KW559"/>
      <c r="KX559"/>
      <c r="KY559"/>
      <c r="KZ559"/>
      <c r="LA559"/>
      <c r="LB559"/>
      <c r="LC559"/>
      <c r="LD559"/>
      <c r="LE559"/>
      <c r="LF559"/>
      <c r="LG559"/>
      <c r="LH559"/>
      <c r="LI559"/>
      <c r="LJ559"/>
      <c r="LK559"/>
      <c r="LL559"/>
      <c r="LM559"/>
      <c r="LN559"/>
      <c r="LO559"/>
      <c r="LP559"/>
      <c r="LQ559"/>
      <c r="LR559"/>
      <c r="LS559"/>
      <c r="LT559"/>
      <c r="LU559"/>
      <c r="LV559"/>
      <c r="LW559"/>
      <c r="LX559"/>
      <c r="LY559"/>
      <c r="LZ559"/>
      <c r="MA559"/>
      <c r="MB559"/>
      <c r="MC559"/>
      <c r="MD559"/>
      <c r="ME559"/>
      <c r="MF559"/>
      <c r="MG559"/>
      <c r="MH559"/>
      <c r="MI559"/>
      <c r="MJ559"/>
      <c r="MK559"/>
      <c r="ML559"/>
      <c r="MM559"/>
      <c r="MN559"/>
      <c r="MO559"/>
      <c r="MP559"/>
      <c r="MQ559"/>
      <c r="MR559"/>
      <c r="MS559"/>
      <c r="MT559"/>
      <c r="MU559"/>
      <c r="MV559"/>
      <c r="MW559"/>
      <c r="MX559"/>
      <c r="MY559"/>
      <c r="MZ559"/>
      <c r="NA559"/>
      <c r="NB559"/>
      <c r="NC559"/>
      <c r="ND559"/>
      <c r="NE559"/>
      <c r="NF559"/>
      <c r="NG559"/>
      <c r="NH559"/>
      <c r="NI559"/>
      <c r="NJ559"/>
      <c r="NK559"/>
      <c r="NL559"/>
      <c r="NM559"/>
      <c r="NN559"/>
      <c r="NO559"/>
      <c r="NP559"/>
      <c r="NQ559"/>
      <c r="NR559"/>
      <c r="NS559"/>
      <c r="NT559"/>
      <c r="NU559"/>
      <c r="NV559"/>
      <c r="NW559"/>
      <c r="NX559"/>
      <c r="NY559"/>
      <c r="NZ559"/>
      <c r="OA559"/>
      <c r="OB559"/>
      <c r="OC559"/>
      <c r="OD559"/>
      <c r="OE559"/>
      <c r="OF559"/>
      <c r="OG559"/>
      <c r="OH559"/>
      <c r="OI559"/>
      <c r="OJ559"/>
      <c r="OK559"/>
      <c r="OL559"/>
      <c r="OM559"/>
      <c r="ON559"/>
      <c r="OO559"/>
      <c r="OP559"/>
      <c r="OQ559"/>
      <c r="OR559"/>
      <c r="OS559"/>
      <c r="OT559"/>
      <c r="OU559"/>
      <c r="OV559"/>
      <c r="OW559"/>
      <c r="OX559"/>
      <c r="OY559"/>
      <c r="OZ559"/>
      <c r="PA559"/>
      <c r="PB559"/>
      <c r="PC559"/>
      <c r="PD559"/>
      <c r="PE559"/>
      <c r="PF559"/>
      <c r="PG559"/>
      <c r="PH559"/>
      <c r="PI559"/>
      <c r="PJ559"/>
      <c r="PK559"/>
      <c r="PL559"/>
      <c r="PM559"/>
      <c r="PN559"/>
      <c r="PO559"/>
      <c r="PP559"/>
      <c r="PQ559"/>
      <c r="PR559"/>
      <c r="PS559"/>
      <c r="PT559"/>
      <c r="PU559"/>
      <c r="PV559"/>
      <c r="PW559"/>
      <c r="PX559"/>
      <c r="PY559"/>
      <c r="PZ559"/>
      <c r="QA559"/>
      <c r="QB559"/>
      <c r="QC559"/>
      <c r="QD559"/>
      <c r="QE559"/>
      <c r="QF559"/>
      <c r="QG559"/>
      <c r="QH559"/>
      <c r="QI559"/>
      <c r="QJ559"/>
      <c r="QK559"/>
      <c r="QL559"/>
      <c r="QM559"/>
      <c r="QN559"/>
      <c r="QO559"/>
      <c r="QP559"/>
      <c r="QQ559"/>
      <c r="QR559"/>
      <c r="QS559"/>
      <c r="QT559"/>
      <c r="QU559"/>
      <c r="QV559"/>
      <c r="QW559"/>
      <c r="QX559"/>
      <c r="QY559"/>
      <c r="QZ559"/>
      <c r="RA559"/>
      <c r="RB559"/>
      <c r="RC559"/>
      <c r="RD559"/>
      <c r="RE559"/>
      <c r="RF559"/>
      <c r="RG559"/>
      <c r="RH559"/>
      <c r="RI559"/>
      <c r="RJ559"/>
      <c r="RK559"/>
      <c r="RL559"/>
      <c r="RM559"/>
      <c r="RN559"/>
      <c r="RO559"/>
      <c r="RP559"/>
      <c r="RQ559"/>
      <c r="RR559"/>
      <c r="RS559"/>
      <c r="RT559"/>
      <c r="RU559"/>
      <c r="RV559"/>
      <c r="RW559"/>
      <c r="RX559"/>
      <c r="RY559"/>
      <c r="RZ559"/>
      <c r="SA559"/>
      <c r="SB559"/>
      <c r="SC559"/>
      <c r="SD559"/>
      <c r="SE559"/>
      <c r="SF559"/>
      <c r="SG559"/>
      <c r="SH559"/>
      <c r="SI559"/>
      <c r="SJ559"/>
      <c r="SK559"/>
      <c r="SL559"/>
      <c r="SM559"/>
      <c r="SN559"/>
      <c r="SO559"/>
      <c r="SP559"/>
      <c r="SQ559"/>
      <c r="SR559"/>
      <c r="SS559"/>
      <c r="ST559"/>
      <c r="SU559"/>
      <c r="SV559"/>
      <c r="SW559"/>
      <c r="SX559"/>
      <c r="SY559"/>
      <c r="SZ559"/>
      <c r="TA559"/>
      <c r="TB559"/>
      <c r="TC559"/>
      <c r="TD559"/>
      <c r="TE559"/>
      <c r="TF559"/>
      <c r="TG559"/>
      <c r="TH559"/>
      <c r="TI559"/>
      <c r="TJ559"/>
      <c r="TK559"/>
      <c r="TL559"/>
      <c r="TM559"/>
      <c r="TN559"/>
      <c r="TO559"/>
      <c r="TP559"/>
      <c r="TQ559"/>
      <c r="TR559"/>
      <c r="TS559"/>
      <c r="TT559"/>
      <c r="TU559"/>
      <c r="TV559"/>
      <c r="TW559"/>
      <c r="TX559"/>
      <c r="TY559"/>
      <c r="TZ559"/>
      <c r="UA559"/>
      <c r="UB559"/>
      <c r="UC559"/>
      <c r="UD559"/>
      <c r="UE559"/>
      <c r="UF559"/>
      <c r="UG559"/>
      <c r="UH559"/>
      <c r="UI559"/>
      <c r="UJ559"/>
      <c r="UK559"/>
      <c r="UL559"/>
      <c r="UM559"/>
      <c r="UN559"/>
      <c r="UO559"/>
      <c r="UP559"/>
      <c r="UQ559"/>
      <c r="UR559"/>
      <c r="US559"/>
      <c r="UT559"/>
      <c r="UU559"/>
      <c r="UV559"/>
      <c r="UW559"/>
      <c r="UX559"/>
      <c r="UY559"/>
      <c r="UZ559"/>
      <c r="VA559"/>
      <c r="VB559"/>
      <c r="VC559"/>
      <c r="VD559"/>
      <c r="VE559"/>
      <c r="VF559"/>
      <c r="VG559"/>
      <c r="VH559"/>
      <c r="VI559"/>
      <c r="VJ559"/>
      <c r="VK559"/>
      <c r="VL559"/>
      <c r="VM559"/>
      <c r="VN559"/>
      <c r="VO559"/>
      <c r="VP559"/>
      <c r="VQ559"/>
      <c r="VR559"/>
      <c r="VS559"/>
      <c r="VT559"/>
      <c r="VU559"/>
      <c r="VV559"/>
      <c r="VW559"/>
      <c r="VX559"/>
      <c r="VY559"/>
      <c r="VZ559"/>
      <c r="WA559"/>
      <c r="WB559"/>
      <c r="WC559"/>
      <c r="WD559"/>
      <c r="WE559"/>
      <c r="WF559"/>
      <c r="WG559"/>
      <c r="WH559"/>
      <c r="WI559"/>
      <c r="WJ559"/>
      <c r="WK559"/>
      <c r="WL559"/>
      <c r="WM559"/>
      <c r="WN559"/>
      <c r="WO559"/>
      <c r="WP559"/>
      <c r="WQ559"/>
      <c r="WR559"/>
      <c r="WS559"/>
      <c r="WT559"/>
      <c r="WU559"/>
      <c r="WV559"/>
      <c r="WW559"/>
      <c r="WX559"/>
      <c r="WY559"/>
      <c r="WZ559"/>
      <c r="XA559"/>
      <c r="XB559"/>
      <c r="XC559"/>
      <c r="XD559"/>
      <c r="XE559"/>
      <c r="XF559"/>
      <c r="XG559"/>
      <c r="XH559"/>
      <c r="XI559"/>
      <c r="XJ559"/>
      <c r="XK559"/>
      <c r="XL559"/>
      <c r="XM559"/>
      <c r="XN559"/>
      <c r="XO559"/>
      <c r="XP559"/>
      <c r="XQ559"/>
      <c r="XR559"/>
      <c r="XS559"/>
      <c r="XT559"/>
      <c r="XU559"/>
      <c r="XV559"/>
      <c r="XW559"/>
      <c r="XX559"/>
      <c r="XY559"/>
      <c r="XZ559"/>
      <c r="YA559"/>
      <c r="YB559"/>
      <c r="YC559"/>
      <c r="YD559"/>
      <c r="YE559"/>
      <c r="YF559"/>
      <c r="YG559"/>
      <c r="YH559"/>
      <c r="YI559"/>
      <c r="YJ559"/>
      <c r="YK559"/>
      <c r="YL559"/>
      <c r="YM559"/>
      <c r="YN559"/>
      <c r="YO559"/>
      <c r="YP559"/>
      <c r="YQ559"/>
      <c r="YR559"/>
      <c r="YS559"/>
      <c r="YT559"/>
      <c r="YU559"/>
      <c r="YV559"/>
      <c r="YW559"/>
      <c r="YX559"/>
      <c r="YY559"/>
      <c r="YZ559"/>
      <c r="ZA559"/>
      <c r="ZB559"/>
      <c r="ZC559"/>
      <c r="ZD559"/>
      <c r="ZE559"/>
      <c r="ZF559"/>
      <c r="ZG559"/>
      <c r="ZH559"/>
      <c r="ZI559"/>
      <c r="ZJ559"/>
      <c r="ZK559"/>
      <c r="ZL559"/>
      <c r="ZM559"/>
      <c r="ZN559"/>
      <c r="ZO559"/>
      <c r="ZP559"/>
      <c r="ZQ559"/>
      <c r="ZR559"/>
      <c r="ZS559"/>
      <c r="ZT559"/>
      <c r="ZU559"/>
      <c r="ZV559"/>
      <c r="ZW559"/>
      <c r="ZX559"/>
      <c r="ZY559"/>
      <c r="ZZ559" s="52"/>
      <c r="AAA559" s="192"/>
      <c r="AAD559" s="90"/>
      <c r="AAE559" s="519">
        <f t="shared" si="455"/>
        <v>1</v>
      </c>
      <c r="AAF559" s="90"/>
      <c r="AAG559" s="73">
        <f>IF(AAE559=0,,S.Hearing.BANNER.Begin)</f>
        <v>41655</v>
      </c>
      <c r="AAH559" s="73">
        <f t="shared" si="456"/>
        <v>41655</v>
      </c>
      <c r="AAI559" s="72"/>
      <c r="AAJ559" s="72"/>
      <c r="AAK559" s="558"/>
      <c r="AAL559" s="90"/>
    </row>
    <row r="560" spans="1:715" ht="15" customHeight="1" outlineLevel="2">
      <c r="A560" s="171"/>
      <c r="B560" s="662" t="s">
        <v>343</v>
      </c>
      <c r="C560" s="360" t="s">
        <v>0</v>
      </c>
      <c r="D560" s="380"/>
      <c r="E560" s="342">
        <f t="shared" ref="E560:E565" si="457">NETWORKDAYS(G560,H560,S.DDL_DEQClosed)</f>
        <v>1</v>
      </c>
      <c r="F560" s="457">
        <f t="shared" ca="1" si="452"/>
        <v>55</v>
      </c>
      <c r="G560" s="408">
        <f t="shared" si="453"/>
        <v>41655</v>
      </c>
      <c r="H560" s="408">
        <f t="shared" si="454"/>
        <v>41655</v>
      </c>
      <c r="I560" s="244"/>
      <c r="J560" s="193"/>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46"/>
      <c r="CS560" s="46"/>
      <c r="CT560" s="46"/>
      <c r="CU560" s="46"/>
      <c r="CV560" s="46"/>
      <c r="CW560" s="46"/>
      <c r="CX560" s="46"/>
      <c r="CY560" s="46"/>
      <c r="CZ560" s="46"/>
      <c r="DA560" s="46"/>
      <c r="DB560" s="46"/>
      <c r="DC560" s="46"/>
      <c r="DD560" s="46"/>
      <c r="DE560" s="46"/>
      <c r="DF560" s="46"/>
      <c r="DG560" s="46"/>
      <c r="DH560" s="46"/>
      <c r="DI560" s="46"/>
      <c r="DJ560" s="46"/>
      <c r="DK560" s="46"/>
      <c r="DL560" s="46"/>
      <c r="DM560" s="46"/>
      <c r="DN560" s="46"/>
      <c r="DO560" s="46"/>
      <c r="DP560" s="46"/>
      <c r="AAA560" s="192"/>
      <c r="AAD560" s="90"/>
      <c r="AAE560" s="519">
        <f t="shared" si="455"/>
        <v>1</v>
      </c>
      <c r="AAF560" s="90"/>
      <c r="AAG560" s="73">
        <f>IF(AAE560=0,,S.Hearing.BANNER.Begin)</f>
        <v>41655</v>
      </c>
      <c r="AAH560" s="73">
        <f t="shared" si="456"/>
        <v>41655</v>
      </c>
      <c r="AAI560" s="72"/>
      <c r="AAJ560" s="72"/>
      <c r="AAK560" s="558"/>
      <c r="AAL560" s="90"/>
      <c r="AAM560"/>
    </row>
    <row r="561" spans="1:715" s="23" customFormat="1" ht="15" customHeight="1" outlineLevel="2">
      <c r="A561" s="171"/>
      <c r="B561" s="662" t="str">
        <f>AAK561</f>
        <v>* initiates MargaretMGR's review/approval, addresses suggestions</v>
      </c>
      <c r="C561" s="376" t="s">
        <v>0</v>
      </c>
      <c r="D561" s="380"/>
      <c r="E561" s="342">
        <f>NETWORKDAYS(G561,H561,S.DDL_DEQClosed)</f>
        <v>1</v>
      </c>
      <c r="F561" s="457">
        <f t="shared" ca="1" si="452"/>
        <v>55</v>
      </c>
      <c r="G561" s="408">
        <f t="shared" si="453"/>
        <v>41655</v>
      </c>
      <c r="H561" s="408">
        <f t="shared" si="454"/>
        <v>41655</v>
      </c>
      <c r="I561" s="244"/>
      <c r="J561" s="194"/>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c r="DP561" s="49"/>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c r="IX561"/>
      <c r="IY561"/>
      <c r="IZ561"/>
      <c r="JA561"/>
      <c r="JB561"/>
      <c r="JC561"/>
      <c r="JD561"/>
      <c r="JE561"/>
      <c r="JF561"/>
      <c r="JG561"/>
      <c r="JH561"/>
      <c r="JI561"/>
      <c r="JJ561"/>
      <c r="JK561"/>
      <c r="JL561"/>
      <c r="JM561"/>
      <c r="JN561"/>
      <c r="JO561"/>
      <c r="JP561"/>
      <c r="JQ561"/>
      <c r="JR561"/>
      <c r="JS561"/>
      <c r="JT561"/>
      <c r="JU561"/>
      <c r="JV561"/>
      <c r="JW561"/>
      <c r="JX561"/>
      <c r="JY561"/>
      <c r="JZ561"/>
      <c r="KA561"/>
      <c r="KB561"/>
      <c r="KC561"/>
      <c r="KD561"/>
      <c r="KE561"/>
      <c r="KF561"/>
      <c r="KG561"/>
      <c r="KH561"/>
      <c r="KI561"/>
      <c r="KJ561"/>
      <c r="KK561"/>
      <c r="KL561"/>
      <c r="KM561"/>
      <c r="KN561"/>
      <c r="KO561"/>
      <c r="KP561"/>
      <c r="KQ561"/>
      <c r="KR561"/>
      <c r="KS561"/>
      <c r="KT561"/>
      <c r="KU561"/>
      <c r="KV561"/>
      <c r="KW561"/>
      <c r="KX561"/>
      <c r="KY561"/>
      <c r="KZ561"/>
      <c r="LA561"/>
      <c r="LB561"/>
      <c r="LC561"/>
      <c r="LD561"/>
      <c r="LE561"/>
      <c r="LF561"/>
      <c r="LG561"/>
      <c r="LH561"/>
      <c r="LI561"/>
      <c r="LJ561"/>
      <c r="LK561"/>
      <c r="LL561"/>
      <c r="LM561"/>
      <c r="LN561"/>
      <c r="LO561"/>
      <c r="LP561"/>
      <c r="LQ561"/>
      <c r="LR561"/>
      <c r="LS561"/>
      <c r="LT561"/>
      <c r="LU561"/>
      <c r="LV561"/>
      <c r="LW561"/>
      <c r="LX561"/>
      <c r="LY561"/>
      <c r="LZ561"/>
      <c r="MA561"/>
      <c r="MB561"/>
      <c r="MC561"/>
      <c r="MD561"/>
      <c r="ME561"/>
      <c r="MF561"/>
      <c r="MG561"/>
      <c r="MH561"/>
      <c r="MI561"/>
      <c r="MJ561"/>
      <c r="MK561"/>
      <c r="ML561"/>
      <c r="MM561"/>
      <c r="MN561"/>
      <c r="MO561"/>
      <c r="MP561"/>
      <c r="MQ561"/>
      <c r="MR561"/>
      <c r="MS561"/>
      <c r="MT561"/>
      <c r="MU561"/>
      <c r="MV561"/>
      <c r="MW561"/>
      <c r="MX561"/>
      <c r="MY561"/>
      <c r="MZ561"/>
      <c r="NA561"/>
      <c r="NB561"/>
      <c r="NC561"/>
      <c r="ND561"/>
      <c r="NE561"/>
      <c r="NF561"/>
      <c r="NG561"/>
      <c r="NH561"/>
      <c r="NI561"/>
      <c r="NJ561"/>
      <c r="NK561"/>
      <c r="NL561"/>
      <c r="NM561"/>
      <c r="NN561"/>
      <c r="NO561"/>
      <c r="NP561"/>
      <c r="NQ561"/>
      <c r="NR561"/>
      <c r="NS561"/>
      <c r="NT561"/>
      <c r="NU561"/>
      <c r="NV561"/>
      <c r="NW561"/>
      <c r="NX561"/>
      <c r="NY561"/>
      <c r="NZ561"/>
      <c r="OA561"/>
      <c r="OB561"/>
      <c r="OC561"/>
      <c r="OD561"/>
      <c r="OE561"/>
      <c r="OF561"/>
      <c r="OG561"/>
      <c r="OH561"/>
      <c r="OI561"/>
      <c r="OJ561"/>
      <c r="OK561"/>
      <c r="OL561"/>
      <c r="OM561"/>
      <c r="ON561"/>
      <c r="OO561"/>
      <c r="OP561"/>
      <c r="OQ561"/>
      <c r="OR561"/>
      <c r="OS561"/>
      <c r="OT561"/>
      <c r="OU561"/>
      <c r="OV561"/>
      <c r="OW561"/>
      <c r="OX561"/>
      <c r="OY561"/>
      <c r="OZ561"/>
      <c r="PA561"/>
      <c r="PB561"/>
      <c r="PC561"/>
      <c r="PD561"/>
      <c r="PE561"/>
      <c r="PF561"/>
      <c r="PG561"/>
      <c r="PH561"/>
      <c r="PI561"/>
      <c r="PJ561"/>
      <c r="PK561"/>
      <c r="PL561"/>
      <c r="PM561"/>
      <c r="PN561"/>
      <c r="PO561"/>
      <c r="PP561"/>
      <c r="PQ561"/>
      <c r="PR561"/>
      <c r="PS561"/>
      <c r="PT561"/>
      <c r="PU561"/>
      <c r="PV561"/>
      <c r="PW561"/>
      <c r="PX561"/>
      <c r="PY561"/>
      <c r="PZ561"/>
      <c r="QA561"/>
      <c r="QB561"/>
      <c r="QC561"/>
      <c r="QD561"/>
      <c r="QE561"/>
      <c r="QF561"/>
      <c r="QG561"/>
      <c r="QH561"/>
      <c r="QI561"/>
      <c r="QJ561"/>
      <c r="QK561"/>
      <c r="QL561"/>
      <c r="QM561"/>
      <c r="QN561"/>
      <c r="QO561"/>
      <c r="QP561"/>
      <c r="QQ561"/>
      <c r="QR561"/>
      <c r="QS561"/>
      <c r="QT561"/>
      <c r="QU561"/>
      <c r="QV561"/>
      <c r="QW561"/>
      <c r="QX561"/>
      <c r="QY561"/>
      <c r="QZ561"/>
      <c r="RA561"/>
      <c r="RB561"/>
      <c r="RC561"/>
      <c r="RD561"/>
      <c r="RE561"/>
      <c r="RF561"/>
      <c r="RG561"/>
      <c r="RH561"/>
      <c r="RI561"/>
      <c r="RJ561"/>
      <c r="RK561"/>
      <c r="RL561"/>
      <c r="RM561"/>
      <c r="RN561"/>
      <c r="RO561"/>
      <c r="RP561"/>
      <c r="RQ561"/>
      <c r="RR561"/>
      <c r="RS561"/>
      <c r="RT561"/>
      <c r="RU561"/>
      <c r="RV561"/>
      <c r="RW561"/>
      <c r="RX561"/>
      <c r="RY561"/>
      <c r="RZ561"/>
      <c r="SA561"/>
      <c r="SB561"/>
      <c r="SC561"/>
      <c r="SD561"/>
      <c r="SE561"/>
      <c r="SF561"/>
      <c r="SG561"/>
      <c r="SH561"/>
      <c r="SI561"/>
      <c r="SJ561"/>
      <c r="SK561"/>
      <c r="SL561"/>
      <c r="SM561"/>
      <c r="SN561"/>
      <c r="SO561"/>
      <c r="SP561"/>
      <c r="SQ561"/>
      <c r="SR561"/>
      <c r="SS561"/>
      <c r="ST561"/>
      <c r="SU561"/>
      <c r="SV561"/>
      <c r="SW561"/>
      <c r="SX561"/>
      <c r="SY561"/>
      <c r="SZ561"/>
      <c r="TA561"/>
      <c r="TB561"/>
      <c r="TC561"/>
      <c r="TD561"/>
      <c r="TE561"/>
      <c r="TF561"/>
      <c r="TG561"/>
      <c r="TH561"/>
      <c r="TI561"/>
      <c r="TJ561"/>
      <c r="TK561"/>
      <c r="TL561"/>
      <c r="TM561"/>
      <c r="TN561"/>
      <c r="TO561"/>
      <c r="TP561"/>
      <c r="TQ561"/>
      <c r="TR561"/>
      <c r="TS561"/>
      <c r="TT561"/>
      <c r="TU561"/>
      <c r="TV561"/>
      <c r="TW561"/>
      <c r="TX561"/>
      <c r="TY561"/>
      <c r="TZ561"/>
      <c r="UA561"/>
      <c r="UB561"/>
      <c r="UC561"/>
      <c r="UD561"/>
      <c r="UE561"/>
      <c r="UF561"/>
      <c r="UG561"/>
      <c r="UH561"/>
      <c r="UI561"/>
      <c r="UJ561"/>
      <c r="UK561"/>
      <c r="UL561"/>
      <c r="UM561"/>
      <c r="UN561"/>
      <c r="UO561"/>
      <c r="UP561"/>
      <c r="UQ561"/>
      <c r="UR561"/>
      <c r="US561"/>
      <c r="UT561"/>
      <c r="UU561"/>
      <c r="UV561"/>
      <c r="UW561"/>
      <c r="UX561"/>
      <c r="UY561"/>
      <c r="UZ561"/>
      <c r="VA561"/>
      <c r="VB561"/>
      <c r="VC561"/>
      <c r="VD561"/>
      <c r="VE561"/>
      <c r="VF561"/>
      <c r="VG561"/>
      <c r="VH561"/>
      <c r="VI561"/>
      <c r="VJ561"/>
      <c r="VK561"/>
      <c r="VL561"/>
      <c r="VM561"/>
      <c r="VN561"/>
      <c r="VO561"/>
      <c r="VP561"/>
      <c r="VQ561"/>
      <c r="VR561"/>
      <c r="VS561"/>
      <c r="VT561"/>
      <c r="VU561"/>
      <c r="VV561"/>
      <c r="VW561"/>
      <c r="VX561"/>
      <c r="VY561"/>
      <c r="VZ561"/>
      <c r="WA561"/>
      <c r="WB561"/>
      <c r="WC561"/>
      <c r="WD561"/>
      <c r="WE561"/>
      <c r="WF561"/>
      <c r="WG561"/>
      <c r="WH561"/>
      <c r="WI561"/>
      <c r="WJ561"/>
      <c r="WK561"/>
      <c r="WL561"/>
      <c r="WM561"/>
      <c r="WN561"/>
      <c r="WO561"/>
      <c r="WP561"/>
      <c r="WQ561"/>
      <c r="WR561"/>
      <c r="WS561"/>
      <c r="WT561"/>
      <c r="WU561"/>
      <c r="WV561"/>
      <c r="WW561"/>
      <c r="WX561"/>
      <c r="WY561"/>
      <c r="WZ561"/>
      <c r="XA561"/>
      <c r="XB561"/>
      <c r="XC561"/>
      <c r="XD561"/>
      <c r="XE561"/>
      <c r="XF561"/>
      <c r="XG561"/>
      <c r="XH561"/>
      <c r="XI561"/>
      <c r="XJ561"/>
      <c r="XK561"/>
      <c r="XL561"/>
      <c r="XM561"/>
      <c r="XN561"/>
      <c r="XO561"/>
      <c r="XP561"/>
      <c r="XQ561"/>
      <c r="XR561"/>
      <c r="XS561"/>
      <c r="XT561"/>
      <c r="XU561"/>
      <c r="XV561"/>
      <c r="XW561"/>
      <c r="XX561"/>
      <c r="XY561"/>
      <c r="XZ561"/>
      <c r="YA561"/>
      <c r="YB561"/>
      <c r="YC561"/>
      <c r="YD561"/>
      <c r="YE561"/>
      <c r="YF561"/>
      <c r="YG561"/>
      <c r="YH561"/>
      <c r="YI561"/>
      <c r="YJ561"/>
      <c r="YK561"/>
      <c r="YL561"/>
      <c r="YM561"/>
      <c r="YN561"/>
      <c r="YO561"/>
      <c r="YP561"/>
      <c r="YQ561"/>
      <c r="YR561"/>
      <c r="YS561"/>
      <c r="YT561"/>
      <c r="YU561"/>
      <c r="YV561"/>
      <c r="YW561"/>
      <c r="YX561"/>
      <c r="YY561"/>
      <c r="YZ561"/>
      <c r="ZA561"/>
      <c r="ZB561"/>
      <c r="ZC561"/>
      <c r="ZD561"/>
      <c r="ZE561"/>
      <c r="ZF561"/>
      <c r="ZG561"/>
      <c r="ZH561"/>
      <c r="ZI561"/>
      <c r="ZJ561"/>
      <c r="ZK561"/>
      <c r="ZL561"/>
      <c r="ZM561"/>
      <c r="ZN561"/>
      <c r="ZO561"/>
      <c r="ZP561"/>
      <c r="ZQ561"/>
      <c r="ZR561"/>
      <c r="ZS561"/>
      <c r="ZT561"/>
      <c r="ZU561"/>
      <c r="ZV561"/>
      <c r="ZW561"/>
      <c r="ZX561"/>
      <c r="ZY561"/>
      <c r="ZZ561" s="52"/>
      <c r="AAA561" s="192"/>
      <c r="AAD561" s="90"/>
      <c r="AAE561" s="519">
        <f t="shared" si="455"/>
        <v>1</v>
      </c>
      <c r="AAF561" s="90"/>
      <c r="AAG561" s="73">
        <f>IF(AAE561=0,,MAX(AAH556:AAH560))</f>
        <v>41655</v>
      </c>
      <c r="AAH561" s="73">
        <f>AAG561</f>
        <v>41655</v>
      </c>
      <c r="AAI561" s="285" t="s">
        <v>0</v>
      </c>
      <c r="AAJ561" s="72"/>
      <c r="AAK561" s="254" t="str">
        <f>"* initiates "&amp;S.Staff.Mgr&amp;"'s review/approval, addresses suggestions"</f>
        <v>* initiates MargaretMGR's review/approval, addresses suggestions</v>
      </c>
      <c r="AAL561" s="90"/>
    </row>
    <row r="562" spans="1:715" ht="15" customHeight="1" outlineLevel="2" thickBot="1">
      <c r="A562" s="171"/>
      <c r="B562" s="804" t="str">
        <f t="shared" ref="B562:B565" si="458">AAK562</f>
        <v>1st loop MargaretMGR reviews/approves optional info meeting materials</v>
      </c>
      <c r="C562"/>
      <c r="D562" s="380"/>
      <c r="E562" s="342">
        <f t="shared" si="457"/>
        <v>1</v>
      </c>
      <c r="F562" s="457">
        <f t="shared" ca="1" si="452"/>
        <v>55</v>
      </c>
      <c r="G562" s="408">
        <f t="shared" ref="G562:H565" si="459">AAG562</f>
        <v>41655</v>
      </c>
      <c r="H562" s="408">
        <f t="shared" si="459"/>
        <v>41655</v>
      </c>
      <c r="I562" s="244"/>
      <c r="J562" s="194"/>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c r="DP562" s="49"/>
      <c r="AAA562" s="192"/>
      <c r="AAD562" s="90"/>
      <c r="AAE562" s="519">
        <f t="shared" si="455"/>
        <v>1</v>
      </c>
      <c r="AAF562" s="90"/>
      <c r="AAG562" s="73">
        <f>H561</f>
        <v>41655</v>
      </c>
      <c r="AAH562" s="73">
        <f t="shared" ref="AAH562:AAH565" si="460">AAG562</f>
        <v>41655</v>
      </c>
      <c r="AAI562" s="72" t="s">
        <v>0</v>
      </c>
      <c r="AAJ562" s="72"/>
      <c r="AAK562" s="254" t="str">
        <f>"1st loop "&amp;S.Staff.Mgr&amp;" reviews/approves optional info meeting materials"</f>
        <v>1st loop MargaretMGR reviews/approves optional info meeting materials</v>
      </c>
      <c r="AAL562" s="90"/>
      <c r="AAM562"/>
    </row>
    <row r="563" spans="1:715" ht="15" customHeight="1" outlineLevel="2" thickBot="1">
      <c r="A563" s="171"/>
      <c r="B563" s="805" t="str">
        <f t="shared" si="458"/>
        <v>2nd loop MargaretMGR reviews/approves optional info meeting materials</v>
      </c>
      <c r="C563" s="611" t="s">
        <v>303</v>
      </c>
      <c r="D563" s="380"/>
      <c r="E563" s="342">
        <f t="shared" si="457"/>
        <v>1</v>
      </c>
      <c r="F563" s="457">
        <f t="shared" ca="1" si="452"/>
        <v>55</v>
      </c>
      <c r="G563" s="408">
        <f t="shared" si="459"/>
        <v>41655</v>
      </c>
      <c r="H563" s="408">
        <f t="shared" si="459"/>
        <v>41655</v>
      </c>
      <c r="I563" s="244"/>
      <c r="J563" s="194"/>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9"/>
      <c r="CD563" s="49"/>
      <c r="CE563" s="49"/>
      <c r="CF563" s="49"/>
      <c r="CG563" s="49"/>
      <c r="CH563" s="49"/>
      <c r="CI563" s="49"/>
      <c r="CJ563" s="49"/>
      <c r="CK563" s="49"/>
      <c r="CL563" s="49"/>
      <c r="CM563" s="49"/>
      <c r="CN563" s="49"/>
      <c r="CO563" s="49"/>
      <c r="CP563" s="49"/>
      <c r="CQ563" s="49"/>
      <c r="CR563" s="49"/>
      <c r="CS563" s="49"/>
      <c r="CT563" s="49"/>
      <c r="CU563" s="49"/>
      <c r="CV563" s="49"/>
      <c r="CW563" s="49"/>
      <c r="CX563" s="49"/>
      <c r="CY563" s="49"/>
      <c r="CZ563" s="49"/>
      <c r="DA563" s="49"/>
      <c r="DB563" s="49"/>
      <c r="DC563" s="49"/>
      <c r="DD563" s="49"/>
      <c r="DE563" s="49"/>
      <c r="DF563" s="49"/>
      <c r="DG563" s="49"/>
      <c r="DH563" s="49"/>
      <c r="DI563" s="49"/>
      <c r="DJ563" s="49"/>
      <c r="DK563" s="49"/>
      <c r="DL563" s="49"/>
      <c r="DM563" s="49"/>
      <c r="DN563" s="49"/>
      <c r="DO563" s="49"/>
      <c r="DP563" s="49"/>
      <c r="AAA563" s="192"/>
      <c r="AAD563" s="90"/>
      <c r="AAE563" s="519">
        <f t="shared" si="455"/>
        <v>1</v>
      </c>
      <c r="AAF563" s="90"/>
      <c r="AAG563" s="73">
        <f>IF(AAE563=0,,MAX(AAH556:AAH560))</f>
        <v>41655</v>
      </c>
      <c r="AAH563" s="73">
        <f t="shared" si="460"/>
        <v>41655</v>
      </c>
      <c r="AAI563" s="72" t="s">
        <v>0</v>
      </c>
      <c r="AAJ563" s="72"/>
      <c r="AAK563" s="254" t="str">
        <f>"2nd loop "&amp;S.Staff.Mgr&amp;" reviews/approves optional info meeting materials"</f>
        <v>2nd loop MargaretMGR reviews/approves optional info meeting materials</v>
      </c>
      <c r="AAL563" s="90"/>
      <c r="AAM563"/>
    </row>
    <row r="564" spans="1:715" ht="15" customHeight="1" outlineLevel="2" thickBot="1">
      <c r="A564" s="171"/>
      <c r="B564" s="806" t="str">
        <f t="shared" si="458"/>
        <v>3rd loop MargaretMGR reviews/approves optional info meeting materials</v>
      </c>
      <c r="C564" s="611" t="s">
        <v>303</v>
      </c>
      <c r="D564" s="380"/>
      <c r="E564" s="342">
        <f t="shared" si="457"/>
        <v>1</v>
      </c>
      <c r="F564" s="457">
        <f t="shared" ca="1" si="452"/>
        <v>55</v>
      </c>
      <c r="G564" s="408">
        <f t="shared" si="459"/>
        <v>41655</v>
      </c>
      <c r="H564" s="408">
        <f t="shared" si="459"/>
        <v>41655</v>
      </c>
      <c r="I564" s="244"/>
      <c r="J564" s="194"/>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c r="DF564" s="49"/>
      <c r="DG564" s="49"/>
      <c r="DH564" s="49"/>
      <c r="DI564" s="49"/>
      <c r="DJ564" s="49"/>
      <c r="DK564" s="49"/>
      <c r="DL564" s="49"/>
      <c r="DM564" s="49"/>
      <c r="DN564" s="49"/>
      <c r="DO564" s="49"/>
      <c r="DP564" s="49"/>
      <c r="AAA564" s="192"/>
      <c r="AAD564" s="90"/>
      <c r="AAE564" s="519">
        <f t="shared" si="455"/>
        <v>1</v>
      </c>
      <c r="AAF564" s="90"/>
      <c r="AAG564" s="73">
        <f>IF(AAE564=0,,MAX(AAH556:AAH560))</f>
        <v>41655</v>
      </c>
      <c r="AAH564" s="73">
        <f t="shared" si="460"/>
        <v>41655</v>
      </c>
      <c r="AAI564" s="72"/>
      <c r="AAJ564" s="72"/>
      <c r="AAK564" s="254" t="str">
        <f>"3rd loop "&amp;S.Staff.Mgr&amp;" reviews/approves optional info meeting materials"</f>
        <v>3rd loop MargaretMGR reviews/approves optional info meeting materials</v>
      </c>
      <c r="AAL564" s="90"/>
      <c r="AAM564"/>
    </row>
    <row r="565" spans="1:715" ht="15" customHeight="1" outlineLevel="2" thickBot="1">
      <c r="A565" s="171"/>
      <c r="B565" s="807" t="str">
        <f t="shared" si="458"/>
        <v>4th loop MargaretMGR reviews/approves optional info meeting materials</v>
      </c>
      <c r="C565" s="611" t="s">
        <v>303</v>
      </c>
      <c r="D565" s="380"/>
      <c r="E565" s="342">
        <f t="shared" si="457"/>
        <v>1</v>
      </c>
      <c r="F565" s="457">
        <f t="shared" ca="1" si="452"/>
        <v>55</v>
      </c>
      <c r="G565" s="408">
        <f t="shared" si="459"/>
        <v>41655</v>
      </c>
      <c r="H565" s="408">
        <f t="shared" si="459"/>
        <v>41655</v>
      </c>
      <c r="I565" s="244"/>
      <c r="J565" s="194"/>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9"/>
      <c r="CD565" s="49"/>
      <c r="CE565" s="49"/>
      <c r="CF565" s="49"/>
      <c r="CG565" s="49"/>
      <c r="CH565" s="49"/>
      <c r="CI565" s="49"/>
      <c r="CJ565" s="49"/>
      <c r="CK565" s="49"/>
      <c r="CL565" s="49"/>
      <c r="CM565" s="49"/>
      <c r="CN565" s="49"/>
      <c r="CO565" s="49"/>
      <c r="CP565" s="49"/>
      <c r="CQ565" s="49"/>
      <c r="CR565" s="49"/>
      <c r="CS565" s="49"/>
      <c r="CT565" s="49"/>
      <c r="CU565" s="49"/>
      <c r="CV565" s="49"/>
      <c r="CW565" s="49"/>
      <c r="CX565" s="49"/>
      <c r="CY565" s="49"/>
      <c r="CZ565" s="49"/>
      <c r="DA565" s="49"/>
      <c r="DB565" s="49"/>
      <c r="DC565" s="49"/>
      <c r="DD565" s="49"/>
      <c r="DE565" s="49"/>
      <c r="DF565" s="49"/>
      <c r="DG565" s="49"/>
      <c r="DH565" s="49"/>
      <c r="DI565" s="49"/>
      <c r="DJ565" s="49"/>
      <c r="DK565" s="49"/>
      <c r="DL565" s="49"/>
      <c r="DM565" s="49"/>
      <c r="DN565" s="49"/>
      <c r="DO565" s="49"/>
      <c r="DP565" s="49"/>
      <c r="AAA565" s="192"/>
      <c r="AAD565" s="90"/>
      <c r="AAE565" s="519">
        <f t="shared" si="455"/>
        <v>1</v>
      </c>
      <c r="AAF565" s="90"/>
      <c r="AAG565" s="73">
        <f>IF(AAE565=0,,MAX(AAH556:AAH560))</f>
        <v>41655</v>
      </c>
      <c r="AAH565" s="73">
        <f t="shared" si="460"/>
        <v>41655</v>
      </c>
      <c r="AAI565" s="72"/>
      <c r="AAJ565" s="72"/>
      <c r="AAK565" s="254" t="str">
        <f>"4th loop "&amp;S.Staff.Mgr&amp;" reviews/approves optional info meeting materials"</f>
        <v>4th loop MargaretMGR reviews/approves optional info meeting materials</v>
      </c>
      <c r="AAL565" s="90"/>
      <c r="AAM565"/>
    </row>
    <row r="566" spans="1:715" s="23" customFormat="1" ht="15" customHeight="1" outlineLevel="1">
      <c r="A566" s="171"/>
      <c r="B566" s="398" t="str">
        <f>AAK566</f>
        <v>CarrieAnn:</v>
      </c>
      <c r="C566" s="346"/>
      <c r="D566" s="357"/>
      <c r="E566" s="350"/>
      <c r="F566" s="350"/>
      <c r="G566" s="346"/>
      <c r="H566" s="346"/>
      <c r="I566" s="244"/>
      <c r="J566" s="194"/>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9"/>
      <c r="CD566" s="49"/>
      <c r="CE566" s="49"/>
      <c r="CF566" s="49"/>
      <c r="CG566" s="49"/>
      <c r="CH566" s="49"/>
      <c r="CI566" s="49"/>
      <c r="CJ566" s="49"/>
      <c r="CK566" s="49"/>
      <c r="CL566" s="49"/>
      <c r="CM566" s="49"/>
      <c r="CN566" s="49"/>
      <c r="CO566" s="49"/>
      <c r="CP566" s="49"/>
      <c r="CQ566" s="49"/>
      <c r="CR566" s="49"/>
      <c r="CS566" s="49"/>
      <c r="CT566" s="49"/>
      <c r="CU566" s="49"/>
      <c r="CV566" s="49"/>
      <c r="CW566" s="49"/>
      <c r="CX566" s="49"/>
      <c r="CY566" s="49"/>
      <c r="CZ566" s="49"/>
      <c r="DA566" s="49"/>
      <c r="DB566" s="49"/>
      <c r="DC566" s="49"/>
      <c r="DD566" s="49"/>
      <c r="DE566" s="49"/>
      <c r="DF566" s="49"/>
      <c r="DG566" s="49"/>
      <c r="DH566" s="49"/>
      <c r="DI566" s="49"/>
      <c r="DJ566" s="49"/>
      <c r="DK566" s="49"/>
      <c r="DL566" s="49"/>
      <c r="DM566" s="49"/>
      <c r="DN566" s="49"/>
      <c r="DO566" s="49"/>
      <c r="DP566" s="49"/>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c r="IW566"/>
      <c r="IX566"/>
      <c r="IY566"/>
      <c r="IZ566"/>
      <c r="JA566"/>
      <c r="JB566"/>
      <c r="JC566"/>
      <c r="JD566"/>
      <c r="JE566"/>
      <c r="JF566"/>
      <c r="JG566"/>
      <c r="JH566"/>
      <c r="JI566"/>
      <c r="JJ566"/>
      <c r="JK566"/>
      <c r="JL566"/>
      <c r="JM566"/>
      <c r="JN566"/>
      <c r="JO566"/>
      <c r="JP566"/>
      <c r="JQ566"/>
      <c r="JR566"/>
      <c r="JS566"/>
      <c r="JT566"/>
      <c r="JU566"/>
      <c r="JV566"/>
      <c r="JW566"/>
      <c r="JX566"/>
      <c r="JY566"/>
      <c r="JZ566"/>
      <c r="KA566"/>
      <c r="KB566"/>
      <c r="KC566"/>
      <c r="KD566"/>
      <c r="KE566"/>
      <c r="KF566"/>
      <c r="KG566"/>
      <c r="KH566"/>
      <c r="KI566"/>
      <c r="KJ566"/>
      <c r="KK566"/>
      <c r="KL566"/>
      <c r="KM566"/>
      <c r="KN566"/>
      <c r="KO566"/>
      <c r="KP566"/>
      <c r="KQ566"/>
      <c r="KR566"/>
      <c r="KS566"/>
      <c r="KT566"/>
      <c r="KU566"/>
      <c r="KV566"/>
      <c r="KW566"/>
      <c r="KX566"/>
      <c r="KY566"/>
      <c r="KZ566"/>
      <c r="LA566"/>
      <c r="LB566"/>
      <c r="LC566"/>
      <c r="LD566"/>
      <c r="LE566"/>
      <c r="LF566"/>
      <c r="LG566"/>
      <c r="LH566"/>
      <c r="LI566"/>
      <c r="LJ566"/>
      <c r="LK566"/>
      <c r="LL566"/>
      <c r="LM566"/>
      <c r="LN566"/>
      <c r="LO566"/>
      <c r="LP566"/>
      <c r="LQ566"/>
      <c r="LR566"/>
      <c r="LS566"/>
      <c r="LT566"/>
      <c r="LU566"/>
      <c r="LV566"/>
      <c r="LW566"/>
      <c r="LX566"/>
      <c r="LY566"/>
      <c r="LZ566"/>
      <c r="MA566"/>
      <c r="MB566"/>
      <c r="MC566"/>
      <c r="MD566"/>
      <c r="ME566"/>
      <c r="MF566"/>
      <c r="MG566"/>
      <c r="MH566"/>
      <c r="MI566"/>
      <c r="MJ566"/>
      <c r="MK566"/>
      <c r="ML566"/>
      <c r="MM566"/>
      <c r="MN566"/>
      <c r="MO566"/>
      <c r="MP566"/>
      <c r="MQ566"/>
      <c r="MR566"/>
      <c r="MS566"/>
      <c r="MT566"/>
      <c r="MU566"/>
      <c r="MV566"/>
      <c r="MW566"/>
      <c r="MX566"/>
      <c r="MY566"/>
      <c r="MZ566"/>
      <c r="NA566"/>
      <c r="NB566"/>
      <c r="NC566"/>
      <c r="ND566"/>
      <c r="NE566"/>
      <c r="NF566"/>
      <c r="NG566"/>
      <c r="NH566"/>
      <c r="NI566"/>
      <c r="NJ566"/>
      <c r="NK566"/>
      <c r="NL566"/>
      <c r="NM566"/>
      <c r="NN566"/>
      <c r="NO566"/>
      <c r="NP566"/>
      <c r="NQ566"/>
      <c r="NR566"/>
      <c r="NS566"/>
      <c r="NT566"/>
      <c r="NU566"/>
      <c r="NV566"/>
      <c r="NW566"/>
      <c r="NX566"/>
      <c r="NY566"/>
      <c r="NZ566"/>
      <c r="OA566"/>
      <c r="OB566"/>
      <c r="OC566"/>
      <c r="OD566"/>
      <c r="OE566"/>
      <c r="OF566"/>
      <c r="OG566"/>
      <c r="OH566"/>
      <c r="OI566"/>
      <c r="OJ566"/>
      <c r="OK566"/>
      <c r="OL566"/>
      <c r="OM566"/>
      <c r="ON566"/>
      <c r="OO566"/>
      <c r="OP566"/>
      <c r="OQ566"/>
      <c r="OR566"/>
      <c r="OS566"/>
      <c r="OT566"/>
      <c r="OU566"/>
      <c r="OV566"/>
      <c r="OW566"/>
      <c r="OX566"/>
      <c r="OY566"/>
      <c r="OZ566"/>
      <c r="PA566"/>
      <c r="PB566"/>
      <c r="PC566"/>
      <c r="PD566"/>
      <c r="PE566"/>
      <c r="PF566"/>
      <c r="PG566"/>
      <c r="PH566"/>
      <c r="PI566"/>
      <c r="PJ566"/>
      <c r="PK566"/>
      <c r="PL566"/>
      <c r="PM566"/>
      <c r="PN566"/>
      <c r="PO566"/>
      <c r="PP566"/>
      <c r="PQ566"/>
      <c r="PR566"/>
      <c r="PS566"/>
      <c r="PT566"/>
      <c r="PU566"/>
      <c r="PV566"/>
      <c r="PW566"/>
      <c r="PX566"/>
      <c r="PY566"/>
      <c r="PZ566"/>
      <c r="QA566"/>
      <c r="QB566"/>
      <c r="QC566"/>
      <c r="QD566"/>
      <c r="QE566"/>
      <c r="QF566"/>
      <c r="QG566"/>
      <c r="QH566"/>
      <c r="QI566"/>
      <c r="QJ566"/>
      <c r="QK566"/>
      <c r="QL566"/>
      <c r="QM566"/>
      <c r="QN566"/>
      <c r="QO566"/>
      <c r="QP566"/>
      <c r="QQ566"/>
      <c r="QR566"/>
      <c r="QS566"/>
      <c r="QT566"/>
      <c r="QU566"/>
      <c r="QV566"/>
      <c r="QW566"/>
      <c r="QX566"/>
      <c r="QY566"/>
      <c r="QZ566"/>
      <c r="RA566"/>
      <c r="RB566"/>
      <c r="RC566"/>
      <c r="RD566"/>
      <c r="RE566"/>
      <c r="RF566"/>
      <c r="RG566"/>
      <c r="RH566"/>
      <c r="RI566"/>
      <c r="RJ566"/>
      <c r="RK566"/>
      <c r="RL566"/>
      <c r="RM566"/>
      <c r="RN566"/>
      <c r="RO566"/>
      <c r="RP566"/>
      <c r="RQ566"/>
      <c r="RR566"/>
      <c r="RS566"/>
      <c r="RT566"/>
      <c r="RU566"/>
      <c r="RV566"/>
      <c r="RW566"/>
      <c r="RX566"/>
      <c r="RY566"/>
      <c r="RZ566"/>
      <c r="SA566"/>
      <c r="SB566"/>
      <c r="SC566"/>
      <c r="SD566"/>
      <c r="SE566"/>
      <c r="SF566"/>
      <c r="SG566"/>
      <c r="SH566"/>
      <c r="SI566"/>
      <c r="SJ566"/>
      <c r="SK566"/>
      <c r="SL566"/>
      <c r="SM566"/>
      <c r="SN566"/>
      <c r="SO566"/>
      <c r="SP566"/>
      <c r="SQ566"/>
      <c r="SR566"/>
      <c r="SS566"/>
      <c r="ST566"/>
      <c r="SU566"/>
      <c r="SV566"/>
      <c r="SW566"/>
      <c r="SX566"/>
      <c r="SY566"/>
      <c r="SZ566"/>
      <c r="TA566"/>
      <c r="TB566"/>
      <c r="TC566"/>
      <c r="TD566"/>
      <c r="TE566"/>
      <c r="TF566"/>
      <c r="TG566"/>
      <c r="TH566"/>
      <c r="TI566"/>
      <c r="TJ566"/>
      <c r="TK566"/>
      <c r="TL566"/>
      <c r="TM566"/>
      <c r="TN566"/>
      <c r="TO566"/>
      <c r="TP566"/>
      <c r="TQ566"/>
      <c r="TR566"/>
      <c r="TS566"/>
      <c r="TT566"/>
      <c r="TU566"/>
      <c r="TV566"/>
      <c r="TW566"/>
      <c r="TX566"/>
      <c r="TY566"/>
      <c r="TZ566"/>
      <c r="UA566"/>
      <c r="UB566"/>
      <c r="UC566"/>
      <c r="UD566"/>
      <c r="UE566"/>
      <c r="UF566"/>
      <c r="UG566"/>
      <c r="UH566"/>
      <c r="UI566"/>
      <c r="UJ566"/>
      <c r="UK566"/>
      <c r="UL566"/>
      <c r="UM566"/>
      <c r="UN566"/>
      <c r="UO566"/>
      <c r="UP566"/>
      <c r="UQ566"/>
      <c r="UR566"/>
      <c r="US566"/>
      <c r="UT566"/>
      <c r="UU566"/>
      <c r="UV566"/>
      <c r="UW566"/>
      <c r="UX566"/>
      <c r="UY566"/>
      <c r="UZ566"/>
      <c r="VA566"/>
      <c r="VB566"/>
      <c r="VC566"/>
      <c r="VD566"/>
      <c r="VE566"/>
      <c r="VF566"/>
      <c r="VG566"/>
      <c r="VH566"/>
      <c r="VI566"/>
      <c r="VJ566"/>
      <c r="VK566"/>
      <c r="VL566"/>
      <c r="VM566"/>
      <c r="VN566"/>
      <c r="VO566"/>
      <c r="VP566"/>
      <c r="VQ566"/>
      <c r="VR566"/>
      <c r="VS566"/>
      <c r="VT566"/>
      <c r="VU566"/>
      <c r="VV566"/>
      <c r="VW566"/>
      <c r="VX566"/>
      <c r="VY566"/>
      <c r="VZ566"/>
      <c r="WA566"/>
      <c r="WB566"/>
      <c r="WC566"/>
      <c r="WD566"/>
      <c r="WE566"/>
      <c r="WF566"/>
      <c r="WG566"/>
      <c r="WH566"/>
      <c r="WI566"/>
      <c r="WJ566"/>
      <c r="WK566"/>
      <c r="WL566"/>
      <c r="WM566"/>
      <c r="WN566"/>
      <c r="WO566"/>
      <c r="WP566"/>
      <c r="WQ566"/>
      <c r="WR566"/>
      <c r="WS566"/>
      <c r="WT566"/>
      <c r="WU566"/>
      <c r="WV566"/>
      <c r="WW566"/>
      <c r="WX566"/>
      <c r="WY566"/>
      <c r="WZ566"/>
      <c r="XA566"/>
      <c r="XB566"/>
      <c r="XC566"/>
      <c r="XD566"/>
      <c r="XE566"/>
      <c r="XF566"/>
      <c r="XG566"/>
      <c r="XH566"/>
      <c r="XI566"/>
      <c r="XJ566"/>
      <c r="XK566"/>
      <c r="XL566"/>
      <c r="XM566"/>
      <c r="XN566"/>
      <c r="XO566"/>
      <c r="XP566"/>
      <c r="XQ566"/>
      <c r="XR566"/>
      <c r="XS566"/>
      <c r="XT566"/>
      <c r="XU566"/>
      <c r="XV566"/>
      <c r="XW566"/>
      <c r="XX566"/>
      <c r="XY566"/>
      <c r="XZ566"/>
      <c r="YA566"/>
      <c r="YB566"/>
      <c r="YC566"/>
      <c r="YD566"/>
      <c r="YE566"/>
      <c r="YF566"/>
      <c r="YG566"/>
      <c r="YH566"/>
      <c r="YI566"/>
      <c r="YJ566"/>
      <c r="YK566"/>
      <c r="YL566"/>
      <c r="YM566"/>
      <c r="YN566"/>
      <c r="YO566"/>
      <c r="YP566"/>
      <c r="YQ566"/>
      <c r="YR566"/>
      <c r="YS566"/>
      <c r="YT566"/>
      <c r="YU566"/>
      <c r="YV566"/>
      <c r="YW566"/>
      <c r="YX566"/>
      <c r="YY566"/>
      <c r="YZ566"/>
      <c r="ZA566"/>
      <c r="ZB566"/>
      <c r="ZC566"/>
      <c r="ZD566"/>
      <c r="ZE566"/>
      <c r="ZF566"/>
      <c r="ZG566"/>
      <c r="ZH566"/>
      <c r="ZI566"/>
      <c r="ZJ566"/>
      <c r="ZK566"/>
      <c r="ZL566"/>
      <c r="ZM566"/>
      <c r="ZN566"/>
      <c r="ZO566"/>
      <c r="ZP566"/>
      <c r="ZQ566"/>
      <c r="ZR566"/>
      <c r="ZS566"/>
      <c r="ZT566"/>
      <c r="ZU566"/>
      <c r="ZV566"/>
      <c r="ZW566"/>
      <c r="ZX566"/>
      <c r="ZY566"/>
      <c r="ZZ566" s="52"/>
      <c r="AAA566" s="192"/>
      <c r="AAD566" s="90"/>
      <c r="AAE566" s="519">
        <f>IF(S.Hearing.1stInvolve="Y",1,0)</f>
        <v>1</v>
      </c>
      <c r="AAF566" s="190" t="s">
        <v>52</v>
      </c>
      <c r="AAG566" s="71"/>
      <c r="AAH566" s="71"/>
      <c r="AAI566" s="72"/>
      <c r="AAJ566" s="72"/>
      <c r="AAK566" s="80" t="str">
        <f>S.Staff.HearingsOfficer&amp;":"</f>
        <v>CarrieAnn:</v>
      </c>
      <c r="AAL566" s="90"/>
    </row>
    <row r="567" spans="1:715" s="23" customFormat="1" ht="15" customHeight="1" outlineLevel="1" collapsed="1" thickBot="1">
      <c r="A567" s="171"/>
      <c r="B567" s="626" t="s">
        <v>279</v>
      </c>
      <c r="C567" s="376" t="s">
        <v>0</v>
      </c>
      <c r="D567" s="380"/>
      <c r="E567" s="397">
        <f t="shared" ref="E567" si="461">NETWORKDAYS(G567,H567,S.DDL_DEQClosed)</f>
        <v>24</v>
      </c>
      <c r="F567" s="457">
        <f t="shared" ref="F567:F584" ca="1" si="462">IF(YEAR(H567)&gt;2000,NETWORKDAYS(TODAY(),H567,S.DDL_DEQClosed),0)</f>
        <v>69</v>
      </c>
      <c r="G567" s="408">
        <f>AAG567</f>
        <v>41642</v>
      </c>
      <c r="H567" s="408">
        <f t="shared" ref="H567" si="463">AAH567</f>
        <v>41676</v>
      </c>
      <c r="I567" s="244"/>
      <c r="J567" s="194"/>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c r="CU567" s="49"/>
      <c r="CV567" s="49"/>
      <c r="CW567" s="49"/>
      <c r="CX567" s="49"/>
      <c r="CY567" s="49"/>
      <c r="CZ567" s="49"/>
      <c r="DA567" s="49"/>
      <c r="DB567" s="49"/>
      <c r="DC567" s="49"/>
      <c r="DD567" s="49"/>
      <c r="DE567" s="49"/>
      <c r="DF567" s="49"/>
      <c r="DG567" s="49"/>
      <c r="DH567" s="49"/>
      <c r="DI567" s="49"/>
      <c r="DJ567" s="49"/>
      <c r="DK567" s="49"/>
      <c r="DL567" s="49"/>
      <c r="DM567" s="49"/>
      <c r="DN567" s="49"/>
      <c r="DO567" s="49"/>
      <c r="DP567" s="49"/>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c r="IW567"/>
      <c r="IX567"/>
      <c r="IY567"/>
      <c r="IZ567"/>
      <c r="JA567"/>
      <c r="JB567"/>
      <c r="JC567"/>
      <c r="JD567"/>
      <c r="JE567"/>
      <c r="JF567"/>
      <c r="JG567"/>
      <c r="JH567"/>
      <c r="JI567"/>
      <c r="JJ567"/>
      <c r="JK567"/>
      <c r="JL567"/>
      <c r="JM567"/>
      <c r="JN567"/>
      <c r="JO567"/>
      <c r="JP567"/>
      <c r="JQ567"/>
      <c r="JR567"/>
      <c r="JS567"/>
      <c r="JT567"/>
      <c r="JU567"/>
      <c r="JV567"/>
      <c r="JW567"/>
      <c r="JX567"/>
      <c r="JY567"/>
      <c r="JZ567"/>
      <c r="KA567"/>
      <c r="KB567"/>
      <c r="KC567"/>
      <c r="KD567"/>
      <c r="KE567"/>
      <c r="KF567"/>
      <c r="KG567"/>
      <c r="KH567"/>
      <c r="KI567"/>
      <c r="KJ567"/>
      <c r="KK567"/>
      <c r="KL567"/>
      <c r="KM567"/>
      <c r="KN567"/>
      <c r="KO567"/>
      <c r="KP567"/>
      <c r="KQ567"/>
      <c r="KR567"/>
      <c r="KS567"/>
      <c r="KT567"/>
      <c r="KU567"/>
      <c r="KV567"/>
      <c r="KW567"/>
      <c r="KX567"/>
      <c r="KY567"/>
      <c r="KZ567"/>
      <c r="LA567"/>
      <c r="LB567"/>
      <c r="LC567"/>
      <c r="LD567"/>
      <c r="LE567"/>
      <c r="LF567"/>
      <c r="LG567"/>
      <c r="LH567"/>
      <c r="LI567"/>
      <c r="LJ567"/>
      <c r="LK567"/>
      <c r="LL567"/>
      <c r="LM567"/>
      <c r="LN567"/>
      <c r="LO567"/>
      <c r="LP567"/>
      <c r="LQ567"/>
      <c r="LR567"/>
      <c r="LS567"/>
      <c r="LT567"/>
      <c r="LU567"/>
      <c r="LV567"/>
      <c r="LW567"/>
      <c r="LX567"/>
      <c r="LY567"/>
      <c r="LZ567"/>
      <c r="MA567"/>
      <c r="MB567"/>
      <c r="MC567"/>
      <c r="MD567"/>
      <c r="ME567"/>
      <c r="MF567"/>
      <c r="MG567"/>
      <c r="MH567"/>
      <c r="MI567"/>
      <c r="MJ567"/>
      <c r="MK567"/>
      <c r="ML567"/>
      <c r="MM567"/>
      <c r="MN567"/>
      <c r="MO567"/>
      <c r="MP567"/>
      <c r="MQ567"/>
      <c r="MR567"/>
      <c r="MS567"/>
      <c r="MT567"/>
      <c r="MU567"/>
      <c r="MV567"/>
      <c r="MW567"/>
      <c r="MX567"/>
      <c r="MY567"/>
      <c r="MZ567"/>
      <c r="NA567"/>
      <c r="NB567"/>
      <c r="NC567"/>
      <c r="ND567"/>
      <c r="NE567"/>
      <c r="NF567"/>
      <c r="NG567"/>
      <c r="NH567"/>
      <c r="NI567"/>
      <c r="NJ567"/>
      <c r="NK567"/>
      <c r="NL567"/>
      <c r="NM567"/>
      <c r="NN567"/>
      <c r="NO567"/>
      <c r="NP567"/>
      <c r="NQ567"/>
      <c r="NR567"/>
      <c r="NS567"/>
      <c r="NT567"/>
      <c r="NU567"/>
      <c r="NV567"/>
      <c r="NW567"/>
      <c r="NX567"/>
      <c r="NY567"/>
      <c r="NZ567"/>
      <c r="OA567"/>
      <c r="OB567"/>
      <c r="OC567"/>
      <c r="OD567"/>
      <c r="OE567"/>
      <c r="OF567"/>
      <c r="OG567"/>
      <c r="OH567"/>
      <c r="OI567"/>
      <c r="OJ567"/>
      <c r="OK567"/>
      <c r="OL567"/>
      <c r="OM567"/>
      <c r="ON567"/>
      <c r="OO567"/>
      <c r="OP567"/>
      <c r="OQ567"/>
      <c r="OR567"/>
      <c r="OS567"/>
      <c r="OT567"/>
      <c r="OU567"/>
      <c r="OV567"/>
      <c r="OW567"/>
      <c r="OX567"/>
      <c r="OY567"/>
      <c r="OZ567"/>
      <c r="PA567"/>
      <c r="PB567"/>
      <c r="PC567"/>
      <c r="PD567"/>
      <c r="PE567"/>
      <c r="PF567"/>
      <c r="PG567"/>
      <c r="PH567"/>
      <c r="PI567"/>
      <c r="PJ567"/>
      <c r="PK567"/>
      <c r="PL567"/>
      <c r="PM567"/>
      <c r="PN567"/>
      <c r="PO567"/>
      <c r="PP567"/>
      <c r="PQ567"/>
      <c r="PR567"/>
      <c r="PS567"/>
      <c r="PT567"/>
      <c r="PU567"/>
      <c r="PV567"/>
      <c r="PW567"/>
      <c r="PX567"/>
      <c r="PY567"/>
      <c r="PZ567"/>
      <c r="QA567"/>
      <c r="QB567"/>
      <c r="QC567"/>
      <c r="QD567"/>
      <c r="QE567"/>
      <c r="QF567"/>
      <c r="QG567"/>
      <c r="QH567"/>
      <c r="QI567"/>
      <c r="QJ567"/>
      <c r="QK567"/>
      <c r="QL567"/>
      <c r="QM567"/>
      <c r="QN567"/>
      <c r="QO567"/>
      <c r="QP567"/>
      <c r="QQ567"/>
      <c r="QR567"/>
      <c r="QS567"/>
      <c r="QT567"/>
      <c r="QU567"/>
      <c r="QV567"/>
      <c r="QW567"/>
      <c r="QX567"/>
      <c r="QY567"/>
      <c r="QZ567"/>
      <c r="RA567"/>
      <c r="RB567"/>
      <c r="RC567"/>
      <c r="RD567"/>
      <c r="RE567"/>
      <c r="RF567"/>
      <c r="RG567"/>
      <c r="RH567"/>
      <c r="RI567"/>
      <c r="RJ567"/>
      <c r="RK567"/>
      <c r="RL567"/>
      <c r="RM567"/>
      <c r="RN567"/>
      <c r="RO567"/>
      <c r="RP567"/>
      <c r="RQ567"/>
      <c r="RR567"/>
      <c r="RS567"/>
      <c r="RT567"/>
      <c r="RU567"/>
      <c r="RV567"/>
      <c r="RW567"/>
      <c r="RX567"/>
      <c r="RY567"/>
      <c r="RZ567"/>
      <c r="SA567"/>
      <c r="SB567"/>
      <c r="SC567"/>
      <c r="SD567"/>
      <c r="SE567"/>
      <c r="SF567"/>
      <c r="SG567"/>
      <c r="SH567"/>
      <c r="SI567"/>
      <c r="SJ567"/>
      <c r="SK567"/>
      <c r="SL567"/>
      <c r="SM567"/>
      <c r="SN567"/>
      <c r="SO567"/>
      <c r="SP567"/>
      <c r="SQ567"/>
      <c r="SR567"/>
      <c r="SS567"/>
      <c r="ST567"/>
      <c r="SU567"/>
      <c r="SV567"/>
      <c r="SW567"/>
      <c r="SX567"/>
      <c r="SY567"/>
      <c r="SZ567"/>
      <c r="TA567"/>
      <c r="TB567"/>
      <c r="TC567"/>
      <c r="TD567"/>
      <c r="TE567"/>
      <c r="TF567"/>
      <c r="TG567"/>
      <c r="TH567"/>
      <c r="TI567"/>
      <c r="TJ567"/>
      <c r="TK567"/>
      <c r="TL567"/>
      <c r="TM567"/>
      <c r="TN567"/>
      <c r="TO567"/>
      <c r="TP567"/>
      <c r="TQ567"/>
      <c r="TR567"/>
      <c r="TS567"/>
      <c r="TT567"/>
      <c r="TU567"/>
      <c r="TV567"/>
      <c r="TW567"/>
      <c r="TX567"/>
      <c r="TY567"/>
      <c r="TZ567"/>
      <c r="UA567"/>
      <c r="UB567"/>
      <c r="UC567"/>
      <c r="UD567"/>
      <c r="UE567"/>
      <c r="UF567"/>
      <c r="UG567"/>
      <c r="UH567"/>
      <c r="UI567"/>
      <c r="UJ567"/>
      <c r="UK567"/>
      <c r="UL567"/>
      <c r="UM567"/>
      <c r="UN567"/>
      <c r="UO567"/>
      <c r="UP567"/>
      <c r="UQ567"/>
      <c r="UR567"/>
      <c r="US567"/>
      <c r="UT567"/>
      <c r="UU567"/>
      <c r="UV567"/>
      <c r="UW567"/>
      <c r="UX567"/>
      <c r="UY567"/>
      <c r="UZ567"/>
      <c r="VA567"/>
      <c r="VB567"/>
      <c r="VC567"/>
      <c r="VD567"/>
      <c r="VE567"/>
      <c r="VF567"/>
      <c r="VG567"/>
      <c r="VH567"/>
      <c r="VI567"/>
      <c r="VJ567"/>
      <c r="VK567"/>
      <c r="VL567"/>
      <c r="VM567"/>
      <c r="VN567"/>
      <c r="VO567"/>
      <c r="VP567"/>
      <c r="VQ567"/>
      <c r="VR567"/>
      <c r="VS567"/>
      <c r="VT567"/>
      <c r="VU567"/>
      <c r="VV567"/>
      <c r="VW567"/>
      <c r="VX567"/>
      <c r="VY567"/>
      <c r="VZ567"/>
      <c r="WA567"/>
      <c r="WB567"/>
      <c r="WC567"/>
      <c r="WD567"/>
      <c r="WE567"/>
      <c r="WF567"/>
      <c r="WG567"/>
      <c r="WH567"/>
      <c r="WI567"/>
      <c r="WJ567"/>
      <c r="WK567"/>
      <c r="WL567"/>
      <c r="WM567"/>
      <c r="WN567"/>
      <c r="WO567"/>
      <c r="WP567"/>
      <c r="WQ567"/>
      <c r="WR567"/>
      <c r="WS567"/>
      <c r="WT567"/>
      <c r="WU567"/>
      <c r="WV567"/>
      <c r="WW567"/>
      <c r="WX567"/>
      <c r="WY567"/>
      <c r="WZ567"/>
      <c r="XA567"/>
      <c r="XB567"/>
      <c r="XC567"/>
      <c r="XD567"/>
      <c r="XE567"/>
      <c r="XF567"/>
      <c r="XG567"/>
      <c r="XH567"/>
      <c r="XI567"/>
      <c r="XJ567"/>
      <c r="XK567"/>
      <c r="XL567"/>
      <c r="XM567"/>
      <c r="XN567"/>
      <c r="XO567"/>
      <c r="XP567"/>
      <c r="XQ567"/>
      <c r="XR567"/>
      <c r="XS567"/>
      <c r="XT567"/>
      <c r="XU567"/>
      <c r="XV567"/>
      <c r="XW567"/>
      <c r="XX567"/>
      <c r="XY567"/>
      <c r="XZ567"/>
      <c r="YA567"/>
      <c r="YB567"/>
      <c r="YC567"/>
      <c r="YD567"/>
      <c r="YE567"/>
      <c r="YF567"/>
      <c r="YG567"/>
      <c r="YH567"/>
      <c r="YI567"/>
      <c r="YJ567"/>
      <c r="YK567"/>
      <c r="YL567"/>
      <c r="YM567"/>
      <c r="YN567"/>
      <c r="YO567"/>
      <c r="YP567"/>
      <c r="YQ567"/>
      <c r="YR567"/>
      <c r="YS567"/>
      <c r="YT567"/>
      <c r="YU567"/>
      <c r="YV567"/>
      <c r="YW567"/>
      <c r="YX567"/>
      <c r="YY567"/>
      <c r="YZ567"/>
      <c r="ZA567"/>
      <c r="ZB567"/>
      <c r="ZC567"/>
      <c r="ZD567"/>
      <c r="ZE567"/>
      <c r="ZF567"/>
      <c r="ZG567"/>
      <c r="ZH567"/>
      <c r="ZI567"/>
      <c r="ZJ567"/>
      <c r="ZK567"/>
      <c r="ZL567"/>
      <c r="ZM567"/>
      <c r="ZN567"/>
      <c r="ZO567"/>
      <c r="ZP567"/>
      <c r="ZQ567"/>
      <c r="ZR567"/>
      <c r="ZS567"/>
      <c r="ZT567"/>
      <c r="ZU567"/>
      <c r="ZV567"/>
      <c r="ZW567"/>
      <c r="ZX567"/>
      <c r="ZY567"/>
      <c r="ZZ567" s="52"/>
      <c r="AAA567" s="192" t="s">
        <v>508</v>
      </c>
      <c r="AAD567" s="90"/>
      <c r="AAE567" s="519">
        <f>IF(S.Notice.Involved="Y",1,0)</f>
        <v>1</v>
      </c>
      <c r="AAF567" s="90"/>
      <c r="AAG567" s="73">
        <f>IF(AAE567=0,,WORKDAY(S.Notice.InOregonBulletin+1,1,S.DDL_DEQClosed))</f>
        <v>41642</v>
      </c>
      <c r="AAH567" s="73">
        <f>S.EQC.SubmitStaffRpt</f>
        <v>41676</v>
      </c>
      <c r="AAI567" s="72"/>
      <c r="AAJ567" s="74"/>
      <c r="AAK567" s="75"/>
      <c r="AAL567" s="90"/>
    </row>
    <row r="568" spans="1:715" s="23" customFormat="1" ht="15" customHeight="1" outlineLevel="1" thickBot="1">
      <c r="A568" s="171"/>
      <c r="B568" s="626" t="s">
        <v>302</v>
      </c>
      <c r="C568" s="606" t="s">
        <v>53</v>
      </c>
      <c r="D568" s="380"/>
      <c r="E568" s="397">
        <f t="shared" ref="E568" si="464">NETWORKDAYS(G568,H568,S.DDL_DEQClosed)</f>
        <v>24</v>
      </c>
      <c r="F568" s="457">
        <f t="shared" ca="1" si="462"/>
        <v>69</v>
      </c>
      <c r="G568" s="408">
        <f>AAG568</f>
        <v>41642</v>
      </c>
      <c r="H568" s="408">
        <f t="shared" ref="H568" si="465">AAH568</f>
        <v>41676</v>
      </c>
      <c r="I568" s="244"/>
      <c r="J568" s="194"/>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c r="CU568" s="49"/>
      <c r="CV568" s="49"/>
      <c r="CW568" s="49"/>
      <c r="CX568" s="49"/>
      <c r="CY568" s="49"/>
      <c r="CZ568" s="49"/>
      <c r="DA568" s="49"/>
      <c r="DB568" s="49"/>
      <c r="DC568" s="49"/>
      <c r="DD568" s="49"/>
      <c r="DE568" s="49"/>
      <c r="DF568" s="49"/>
      <c r="DG568" s="49"/>
      <c r="DH568" s="49"/>
      <c r="DI568" s="49"/>
      <c r="DJ568" s="49"/>
      <c r="DK568" s="49"/>
      <c r="DL568" s="49"/>
      <c r="DM568" s="49"/>
      <c r="DN568" s="49"/>
      <c r="DO568" s="49"/>
      <c r="DP568" s="49"/>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c r="IW568"/>
      <c r="IX568"/>
      <c r="IY568"/>
      <c r="IZ568"/>
      <c r="JA568"/>
      <c r="JB568"/>
      <c r="JC568"/>
      <c r="JD568"/>
      <c r="JE568"/>
      <c r="JF568"/>
      <c r="JG568"/>
      <c r="JH568"/>
      <c r="JI568"/>
      <c r="JJ568"/>
      <c r="JK568"/>
      <c r="JL568"/>
      <c r="JM568"/>
      <c r="JN568"/>
      <c r="JO568"/>
      <c r="JP568"/>
      <c r="JQ568"/>
      <c r="JR568"/>
      <c r="JS568"/>
      <c r="JT568"/>
      <c r="JU568"/>
      <c r="JV568"/>
      <c r="JW568"/>
      <c r="JX568"/>
      <c r="JY568"/>
      <c r="JZ568"/>
      <c r="KA568"/>
      <c r="KB568"/>
      <c r="KC568"/>
      <c r="KD568"/>
      <c r="KE568"/>
      <c r="KF568"/>
      <c r="KG568"/>
      <c r="KH568"/>
      <c r="KI568"/>
      <c r="KJ568"/>
      <c r="KK568"/>
      <c r="KL568"/>
      <c r="KM568"/>
      <c r="KN568"/>
      <c r="KO568"/>
      <c r="KP568"/>
      <c r="KQ568"/>
      <c r="KR568"/>
      <c r="KS568"/>
      <c r="KT568"/>
      <c r="KU568"/>
      <c r="KV568"/>
      <c r="KW568"/>
      <c r="KX568"/>
      <c r="KY568"/>
      <c r="KZ568"/>
      <c r="LA568"/>
      <c r="LB568"/>
      <c r="LC568"/>
      <c r="LD568"/>
      <c r="LE568"/>
      <c r="LF568"/>
      <c r="LG568"/>
      <c r="LH568"/>
      <c r="LI568"/>
      <c r="LJ568"/>
      <c r="LK568"/>
      <c r="LL568"/>
      <c r="LM568"/>
      <c r="LN568"/>
      <c r="LO568"/>
      <c r="LP568"/>
      <c r="LQ568"/>
      <c r="LR568"/>
      <c r="LS568"/>
      <c r="LT568"/>
      <c r="LU568"/>
      <c r="LV568"/>
      <c r="LW568"/>
      <c r="LX568"/>
      <c r="LY568"/>
      <c r="LZ568"/>
      <c r="MA568"/>
      <c r="MB568"/>
      <c r="MC568"/>
      <c r="MD568"/>
      <c r="ME568"/>
      <c r="MF568"/>
      <c r="MG568"/>
      <c r="MH568"/>
      <c r="MI568"/>
      <c r="MJ568"/>
      <c r="MK568"/>
      <c r="ML568"/>
      <c r="MM568"/>
      <c r="MN568"/>
      <c r="MO568"/>
      <c r="MP568"/>
      <c r="MQ568"/>
      <c r="MR568"/>
      <c r="MS568"/>
      <c r="MT568"/>
      <c r="MU568"/>
      <c r="MV568"/>
      <c r="MW568"/>
      <c r="MX568"/>
      <c r="MY568"/>
      <c r="MZ568"/>
      <c r="NA568"/>
      <c r="NB568"/>
      <c r="NC568"/>
      <c r="ND568"/>
      <c r="NE568"/>
      <c r="NF568"/>
      <c r="NG568"/>
      <c r="NH568"/>
      <c r="NI568"/>
      <c r="NJ568"/>
      <c r="NK568"/>
      <c r="NL568"/>
      <c r="NM568"/>
      <c r="NN568"/>
      <c r="NO568"/>
      <c r="NP568"/>
      <c r="NQ568"/>
      <c r="NR568"/>
      <c r="NS568"/>
      <c r="NT568"/>
      <c r="NU568"/>
      <c r="NV568"/>
      <c r="NW568"/>
      <c r="NX568"/>
      <c r="NY568"/>
      <c r="NZ568"/>
      <c r="OA568"/>
      <c r="OB568"/>
      <c r="OC568"/>
      <c r="OD568"/>
      <c r="OE568"/>
      <c r="OF568"/>
      <c r="OG568"/>
      <c r="OH568"/>
      <c r="OI568"/>
      <c r="OJ568"/>
      <c r="OK568"/>
      <c r="OL568"/>
      <c r="OM568"/>
      <c r="ON568"/>
      <c r="OO568"/>
      <c r="OP568"/>
      <c r="OQ568"/>
      <c r="OR568"/>
      <c r="OS568"/>
      <c r="OT568"/>
      <c r="OU568"/>
      <c r="OV568"/>
      <c r="OW568"/>
      <c r="OX568"/>
      <c r="OY568"/>
      <c r="OZ568"/>
      <c r="PA568"/>
      <c r="PB568"/>
      <c r="PC568"/>
      <c r="PD568"/>
      <c r="PE568"/>
      <c r="PF568"/>
      <c r="PG568"/>
      <c r="PH568"/>
      <c r="PI568"/>
      <c r="PJ568"/>
      <c r="PK568"/>
      <c r="PL568"/>
      <c r="PM568"/>
      <c r="PN568"/>
      <c r="PO568"/>
      <c r="PP568"/>
      <c r="PQ568"/>
      <c r="PR568"/>
      <c r="PS568"/>
      <c r="PT568"/>
      <c r="PU568"/>
      <c r="PV568"/>
      <c r="PW568"/>
      <c r="PX568"/>
      <c r="PY568"/>
      <c r="PZ568"/>
      <c r="QA568"/>
      <c r="QB568"/>
      <c r="QC568"/>
      <c r="QD568"/>
      <c r="QE568"/>
      <c r="QF568"/>
      <c r="QG568"/>
      <c r="QH568"/>
      <c r="QI568"/>
      <c r="QJ568"/>
      <c r="QK568"/>
      <c r="QL568"/>
      <c r="QM568"/>
      <c r="QN568"/>
      <c r="QO568"/>
      <c r="QP568"/>
      <c r="QQ568"/>
      <c r="QR568"/>
      <c r="QS568"/>
      <c r="QT568"/>
      <c r="QU568"/>
      <c r="QV568"/>
      <c r="QW568"/>
      <c r="QX568"/>
      <c r="QY568"/>
      <c r="QZ568"/>
      <c r="RA568"/>
      <c r="RB568"/>
      <c r="RC568"/>
      <c r="RD568"/>
      <c r="RE568"/>
      <c r="RF568"/>
      <c r="RG568"/>
      <c r="RH568"/>
      <c r="RI568"/>
      <c r="RJ568"/>
      <c r="RK568"/>
      <c r="RL568"/>
      <c r="RM568"/>
      <c r="RN568"/>
      <c r="RO568"/>
      <c r="RP568"/>
      <c r="RQ568"/>
      <c r="RR568"/>
      <c r="RS568"/>
      <c r="RT568"/>
      <c r="RU568"/>
      <c r="RV568"/>
      <c r="RW568"/>
      <c r="RX568"/>
      <c r="RY568"/>
      <c r="RZ568"/>
      <c r="SA568"/>
      <c r="SB568"/>
      <c r="SC568"/>
      <c r="SD568"/>
      <c r="SE568"/>
      <c r="SF568"/>
      <c r="SG568"/>
      <c r="SH568"/>
      <c r="SI568"/>
      <c r="SJ568"/>
      <c r="SK568"/>
      <c r="SL568"/>
      <c r="SM568"/>
      <c r="SN568"/>
      <c r="SO568"/>
      <c r="SP568"/>
      <c r="SQ568"/>
      <c r="SR568"/>
      <c r="SS568"/>
      <c r="ST568"/>
      <c r="SU568"/>
      <c r="SV568"/>
      <c r="SW568"/>
      <c r="SX568"/>
      <c r="SY568"/>
      <c r="SZ568"/>
      <c r="TA568"/>
      <c r="TB568"/>
      <c r="TC568"/>
      <c r="TD568"/>
      <c r="TE568"/>
      <c r="TF568"/>
      <c r="TG568"/>
      <c r="TH568"/>
      <c r="TI568"/>
      <c r="TJ568"/>
      <c r="TK568"/>
      <c r="TL568"/>
      <c r="TM568"/>
      <c r="TN568"/>
      <c r="TO568"/>
      <c r="TP568"/>
      <c r="TQ568"/>
      <c r="TR568"/>
      <c r="TS568"/>
      <c r="TT568"/>
      <c r="TU568"/>
      <c r="TV568"/>
      <c r="TW568"/>
      <c r="TX568"/>
      <c r="TY568"/>
      <c r="TZ568"/>
      <c r="UA568"/>
      <c r="UB568"/>
      <c r="UC568"/>
      <c r="UD568"/>
      <c r="UE568"/>
      <c r="UF568"/>
      <c r="UG568"/>
      <c r="UH568"/>
      <c r="UI568"/>
      <c r="UJ568"/>
      <c r="UK568"/>
      <c r="UL568"/>
      <c r="UM568"/>
      <c r="UN568"/>
      <c r="UO568"/>
      <c r="UP568"/>
      <c r="UQ568"/>
      <c r="UR568"/>
      <c r="US568"/>
      <c r="UT568"/>
      <c r="UU568"/>
      <c r="UV568"/>
      <c r="UW568"/>
      <c r="UX568"/>
      <c r="UY568"/>
      <c r="UZ568"/>
      <c r="VA568"/>
      <c r="VB568"/>
      <c r="VC568"/>
      <c r="VD568"/>
      <c r="VE568"/>
      <c r="VF568"/>
      <c r="VG568"/>
      <c r="VH568"/>
      <c r="VI568"/>
      <c r="VJ568"/>
      <c r="VK568"/>
      <c r="VL568"/>
      <c r="VM568"/>
      <c r="VN568"/>
      <c r="VO568"/>
      <c r="VP568"/>
      <c r="VQ568"/>
      <c r="VR568"/>
      <c r="VS568"/>
      <c r="VT568"/>
      <c r="VU568"/>
      <c r="VV568"/>
      <c r="VW568"/>
      <c r="VX568"/>
      <c r="VY568"/>
      <c r="VZ568"/>
      <c r="WA568"/>
      <c r="WB568"/>
      <c r="WC568"/>
      <c r="WD568"/>
      <c r="WE568"/>
      <c r="WF568"/>
      <c r="WG568"/>
      <c r="WH568"/>
      <c r="WI568"/>
      <c r="WJ568"/>
      <c r="WK568"/>
      <c r="WL568"/>
      <c r="WM568"/>
      <c r="WN568"/>
      <c r="WO568"/>
      <c r="WP568"/>
      <c r="WQ568"/>
      <c r="WR568"/>
      <c r="WS568"/>
      <c r="WT568"/>
      <c r="WU568"/>
      <c r="WV568"/>
      <c r="WW568"/>
      <c r="WX568"/>
      <c r="WY568"/>
      <c r="WZ568"/>
      <c r="XA568"/>
      <c r="XB568"/>
      <c r="XC568"/>
      <c r="XD568"/>
      <c r="XE568"/>
      <c r="XF568"/>
      <c r="XG568"/>
      <c r="XH568"/>
      <c r="XI568"/>
      <c r="XJ568"/>
      <c r="XK568"/>
      <c r="XL568"/>
      <c r="XM568"/>
      <c r="XN568"/>
      <c r="XO568"/>
      <c r="XP568"/>
      <c r="XQ568"/>
      <c r="XR568"/>
      <c r="XS568"/>
      <c r="XT568"/>
      <c r="XU568"/>
      <c r="XV568"/>
      <c r="XW568"/>
      <c r="XX568"/>
      <c r="XY568"/>
      <c r="XZ568"/>
      <c r="YA568"/>
      <c r="YB568"/>
      <c r="YC568"/>
      <c r="YD568"/>
      <c r="YE568"/>
      <c r="YF568"/>
      <c r="YG568"/>
      <c r="YH568"/>
      <c r="YI568"/>
      <c r="YJ568"/>
      <c r="YK568"/>
      <c r="YL568"/>
      <c r="YM568"/>
      <c r="YN568"/>
      <c r="YO568"/>
      <c r="YP568"/>
      <c r="YQ568"/>
      <c r="YR568"/>
      <c r="YS568"/>
      <c r="YT568"/>
      <c r="YU568"/>
      <c r="YV568"/>
      <c r="YW568"/>
      <c r="YX568"/>
      <c r="YY568"/>
      <c r="YZ568"/>
      <c r="ZA568"/>
      <c r="ZB568"/>
      <c r="ZC568"/>
      <c r="ZD568"/>
      <c r="ZE568"/>
      <c r="ZF568"/>
      <c r="ZG568"/>
      <c r="ZH568"/>
      <c r="ZI568"/>
      <c r="ZJ568"/>
      <c r="ZK568"/>
      <c r="ZL568"/>
      <c r="ZM568"/>
      <c r="ZN568"/>
      <c r="ZO568"/>
      <c r="ZP568"/>
      <c r="ZQ568"/>
      <c r="ZR568"/>
      <c r="ZS568"/>
      <c r="ZT568"/>
      <c r="ZU568"/>
      <c r="ZV568"/>
      <c r="ZW568"/>
      <c r="ZX568"/>
      <c r="ZY568"/>
      <c r="ZZ568" s="52"/>
      <c r="AAA568" s="192" t="s">
        <v>508</v>
      </c>
      <c r="AAD568" s="90"/>
      <c r="AAE568" s="519">
        <f>IF(S.Notice.Involved="Y",1,0)</f>
        <v>1</v>
      </c>
      <c r="AAF568" s="90"/>
      <c r="AAG568" s="73">
        <f>IF(AAE568=0,,WORKDAY(S.Notice.InOregonBulletin+1,1,S.DDL_DEQClosed))</f>
        <v>41642</v>
      </c>
      <c r="AAH568" s="73">
        <f>S.EQC.SubmitStaffRpt</f>
        <v>41676</v>
      </c>
      <c r="AAI568" s="72"/>
      <c r="AAJ568" s="74"/>
      <c r="AAK568" s="75"/>
      <c r="AAL568" s="90"/>
    </row>
    <row r="569" spans="1:715" s="23" customFormat="1" ht="15" customHeight="1" outlineLevel="1">
      <c r="A569" s="171"/>
      <c r="B569" s="626" t="str">
        <f>AAK569</f>
        <v>* holds the following hearings with assigned team:</v>
      </c>
      <c r="C569" s="376" t="s">
        <v>0</v>
      </c>
      <c r="D569"/>
      <c r="E569"/>
      <c r="F569"/>
      <c r="G569"/>
      <c r="H569"/>
      <c r="I569" s="244"/>
      <c r="J569" s="194"/>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9"/>
      <c r="CD569" s="49"/>
      <c r="CE569" s="49"/>
      <c r="CF569" s="49"/>
      <c r="CG569" s="49"/>
      <c r="CH569" s="49"/>
      <c r="CI569" s="49"/>
      <c r="CJ569" s="49"/>
      <c r="CK569" s="49"/>
      <c r="CL569" s="49"/>
      <c r="CM569" s="49"/>
      <c r="CN569" s="49"/>
      <c r="CO569" s="49"/>
      <c r="CP569" s="49"/>
      <c r="CQ569" s="49"/>
      <c r="CR569" s="49"/>
      <c r="CS569" s="49"/>
      <c r="CT569" s="49"/>
      <c r="CU569" s="49"/>
      <c r="CV569" s="49"/>
      <c r="CW569" s="49"/>
      <c r="CX569" s="49"/>
      <c r="CY569" s="49"/>
      <c r="CZ569" s="49"/>
      <c r="DA569" s="49"/>
      <c r="DB569" s="49"/>
      <c r="DC569" s="49"/>
      <c r="DD569" s="49"/>
      <c r="DE569" s="49"/>
      <c r="DF569" s="49"/>
      <c r="DG569" s="49"/>
      <c r="DH569" s="49"/>
      <c r="DI569" s="49"/>
      <c r="DJ569" s="49"/>
      <c r="DK569" s="49"/>
      <c r="DL569" s="49"/>
      <c r="DM569" s="49"/>
      <c r="DN569" s="49"/>
      <c r="DO569" s="49"/>
      <c r="DP569" s="4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c r="IW569"/>
      <c r="IX569"/>
      <c r="IY569"/>
      <c r="IZ569"/>
      <c r="JA569"/>
      <c r="JB569"/>
      <c r="JC569"/>
      <c r="JD569"/>
      <c r="JE569"/>
      <c r="JF569"/>
      <c r="JG569"/>
      <c r="JH569"/>
      <c r="JI569"/>
      <c r="JJ569"/>
      <c r="JK569"/>
      <c r="JL569"/>
      <c r="JM569"/>
      <c r="JN569"/>
      <c r="JO569"/>
      <c r="JP569"/>
      <c r="JQ569"/>
      <c r="JR569"/>
      <c r="JS569"/>
      <c r="JT569"/>
      <c r="JU569"/>
      <c r="JV569"/>
      <c r="JW569"/>
      <c r="JX569"/>
      <c r="JY569"/>
      <c r="JZ569"/>
      <c r="KA569"/>
      <c r="KB569"/>
      <c r="KC569"/>
      <c r="KD569"/>
      <c r="KE569"/>
      <c r="KF569"/>
      <c r="KG569"/>
      <c r="KH569"/>
      <c r="KI569"/>
      <c r="KJ569"/>
      <c r="KK569"/>
      <c r="KL569"/>
      <c r="KM569"/>
      <c r="KN569"/>
      <c r="KO569"/>
      <c r="KP569"/>
      <c r="KQ569"/>
      <c r="KR569"/>
      <c r="KS569"/>
      <c r="KT569"/>
      <c r="KU569"/>
      <c r="KV569"/>
      <c r="KW569"/>
      <c r="KX569"/>
      <c r="KY569"/>
      <c r="KZ569"/>
      <c r="LA569"/>
      <c r="LB569"/>
      <c r="LC569"/>
      <c r="LD569"/>
      <c r="LE569"/>
      <c r="LF569"/>
      <c r="LG569"/>
      <c r="LH569"/>
      <c r="LI569"/>
      <c r="LJ569"/>
      <c r="LK569"/>
      <c r="LL569"/>
      <c r="LM569"/>
      <c r="LN569"/>
      <c r="LO569"/>
      <c r="LP569"/>
      <c r="LQ569"/>
      <c r="LR569"/>
      <c r="LS569"/>
      <c r="LT569"/>
      <c r="LU569"/>
      <c r="LV569"/>
      <c r="LW569"/>
      <c r="LX569"/>
      <c r="LY569"/>
      <c r="LZ569"/>
      <c r="MA569"/>
      <c r="MB569"/>
      <c r="MC569"/>
      <c r="MD569"/>
      <c r="ME569"/>
      <c r="MF569"/>
      <c r="MG569"/>
      <c r="MH569"/>
      <c r="MI569"/>
      <c r="MJ569"/>
      <c r="MK569"/>
      <c r="ML569"/>
      <c r="MM569"/>
      <c r="MN569"/>
      <c r="MO569"/>
      <c r="MP569"/>
      <c r="MQ569"/>
      <c r="MR569"/>
      <c r="MS569"/>
      <c r="MT569"/>
      <c r="MU569"/>
      <c r="MV569"/>
      <c r="MW569"/>
      <c r="MX569"/>
      <c r="MY569"/>
      <c r="MZ569"/>
      <c r="NA569"/>
      <c r="NB569"/>
      <c r="NC569"/>
      <c r="ND569"/>
      <c r="NE569"/>
      <c r="NF569"/>
      <c r="NG569"/>
      <c r="NH569"/>
      <c r="NI569"/>
      <c r="NJ569"/>
      <c r="NK569"/>
      <c r="NL569"/>
      <c r="NM569"/>
      <c r="NN569"/>
      <c r="NO569"/>
      <c r="NP569"/>
      <c r="NQ569"/>
      <c r="NR569"/>
      <c r="NS569"/>
      <c r="NT569"/>
      <c r="NU569"/>
      <c r="NV569"/>
      <c r="NW569"/>
      <c r="NX569"/>
      <c r="NY569"/>
      <c r="NZ569"/>
      <c r="OA569"/>
      <c r="OB569"/>
      <c r="OC569"/>
      <c r="OD569"/>
      <c r="OE569"/>
      <c r="OF569"/>
      <c r="OG569"/>
      <c r="OH569"/>
      <c r="OI569"/>
      <c r="OJ569"/>
      <c r="OK569"/>
      <c r="OL569"/>
      <c r="OM569"/>
      <c r="ON569"/>
      <c r="OO569"/>
      <c r="OP569"/>
      <c r="OQ569"/>
      <c r="OR569"/>
      <c r="OS569"/>
      <c r="OT569"/>
      <c r="OU569"/>
      <c r="OV569"/>
      <c r="OW569"/>
      <c r="OX569"/>
      <c r="OY569"/>
      <c r="OZ569"/>
      <c r="PA569"/>
      <c r="PB569"/>
      <c r="PC569"/>
      <c r="PD569"/>
      <c r="PE569"/>
      <c r="PF569"/>
      <c r="PG569"/>
      <c r="PH569"/>
      <c r="PI569"/>
      <c r="PJ569"/>
      <c r="PK569"/>
      <c r="PL569"/>
      <c r="PM569"/>
      <c r="PN569"/>
      <c r="PO569"/>
      <c r="PP569"/>
      <c r="PQ569"/>
      <c r="PR569"/>
      <c r="PS569"/>
      <c r="PT569"/>
      <c r="PU569"/>
      <c r="PV569"/>
      <c r="PW569"/>
      <c r="PX569"/>
      <c r="PY569"/>
      <c r="PZ569"/>
      <c r="QA569"/>
      <c r="QB569"/>
      <c r="QC569"/>
      <c r="QD569"/>
      <c r="QE569"/>
      <c r="QF569"/>
      <c r="QG569"/>
      <c r="QH569"/>
      <c r="QI569"/>
      <c r="QJ569"/>
      <c r="QK569"/>
      <c r="QL569"/>
      <c r="QM569"/>
      <c r="QN569"/>
      <c r="QO569"/>
      <c r="QP569"/>
      <c r="QQ569"/>
      <c r="QR569"/>
      <c r="QS569"/>
      <c r="QT569"/>
      <c r="QU569"/>
      <c r="QV569"/>
      <c r="QW569"/>
      <c r="QX569"/>
      <c r="QY569"/>
      <c r="QZ569"/>
      <c r="RA569"/>
      <c r="RB569"/>
      <c r="RC569"/>
      <c r="RD569"/>
      <c r="RE569"/>
      <c r="RF569"/>
      <c r="RG569"/>
      <c r="RH569"/>
      <c r="RI569"/>
      <c r="RJ569"/>
      <c r="RK569"/>
      <c r="RL569"/>
      <c r="RM569"/>
      <c r="RN569"/>
      <c r="RO569"/>
      <c r="RP569"/>
      <c r="RQ569"/>
      <c r="RR569"/>
      <c r="RS569"/>
      <c r="RT569"/>
      <c r="RU569"/>
      <c r="RV569"/>
      <c r="RW569"/>
      <c r="RX569"/>
      <c r="RY569"/>
      <c r="RZ569"/>
      <c r="SA569"/>
      <c r="SB569"/>
      <c r="SC569"/>
      <c r="SD569"/>
      <c r="SE569"/>
      <c r="SF569"/>
      <c r="SG569"/>
      <c r="SH569"/>
      <c r="SI569"/>
      <c r="SJ569"/>
      <c r="SK569"/>
      <c r="SL569"/>
      <c r="SM569"/>
      <c r="SN569"/>
      <c r="SO569"/>
      <c r="SP569"/>
      <c r="SQ569"/>
      <c r="SR569"/>
      <c r="SS569"/>
      <c r="ST569"/>
      <c r="SU569"/>
      <c r="SV569"/>
      <c r="SW569"/>
      <c r="SX569"/>
      <c r="SY569"/>
      <c r="SZ569"/>
      <c r="TA569"/>
      <c r="TB569"/>
      <c r="TC569"/>
      <c r="TD569"/>
      <c r="TE569"/>
      <c r="TF569"/>
      <c r="TG569"/>
      <c r="TH569"/>
      <c r="TI569"/>
      <c r="TJ569"/>
      <c r="TK569"/>
      <c r="TL569"/>
      <c r="TM569"/>
      <c r="TN569"/>
      <c r="TO569"/>
      <c r="TP569"/>
      <c r="TQ569"/>
      <c r="TR569"/>
      <c r="TS569"/>
      <c r="TT569"/>
      <c r="TU569"/>
      <c r="TV569"/>
      <c r="TW569"/>
      <c r="TX569"/>
      <c r="TY569"/>
      <c r="TZ569"/>
      <c r="UA569"/>
      <c r="UB569"/>
      <c r="UC569"/>
      <c r="UD569"/>
      <c r="UE569"/>
      <c r="UF569"/>
      <c r="UG569"/>
      <c r="UH569"/>
      <c r="UI569"/>
      <c r="UJ569"/>
      <c r="UK569"/>
      <c r="UL569"/>
      <c r="UM569"/>
      <c r="UN569"/>
      <c r="UO569"/>
      <c r="UP569"/>
      <c r="UQ569"/>
      <c r="UR569"/>
      <c r="US569"/>
      <c r="UT569"/>
      <c r="UU569"/>
      <c r="UV569"/>
      <c r="UW569"/>
      <c r="UX569"/>
      <c r="UY569"/>
      <c r="UZ569"/>
      <c r="VA569"/>
      <c r="VB569"/>
      <c r="VC569"/>
      <c r="VD569"/>
      <c r="VE569"/>
      <c r="VF569"/>
      <c r="VG569"/>
      <c r="VH569"/>
      <c r="VI569"/>
      <c r="VJ569"/>
      <c r="VK569"/>
      <c r="VL569"/>
      <c r="VM569"/>
      <c r="VN569"/>
      <c r="VO569"/>
      <c r="VP569"/>
      <c r="VQ569"/>
      <c r="VR569"/>
      <c r="VS569"/>
      <c r="VT569"/>
      <c r="VU569"/>
      <c r="VV569"/>
      <c r="VW569"/>
      <c r="VX569"/>
      <c r="VY569"/>
      <c r="VZ569"/>
      <c r="WA569"/>
      <c r="WB569"/>
      <c r="WC569"/>
      <c r="WD569"/>
      <c r="WE569"/>
      <c r="WF569"/>
      <c r="WG569"/>
      <c r="WH569"/>
      <c r="WI569"/>
      <c r="WJ569"/>
      <c r="WK569"/>
      <c r="WL569"/>
      <c r="WM569"/>
      <c r="WN569"/>
      <c r="WO569"/>
      <c r="WP569"/>
      <c r="WQ569"/>
      <c r="WR569"/>
      <c r="WS569"/>
      <c r="WT569"/>
      <c r="WU569"/>
      <c r="WV569"/>
      <c r="WW569"/>
      <c r="WX569"/>
      <c r="WY569"/>
      <c r="WZ569"/>
      <c r="XA569"/>
      <c r="XB569"/>
      <c r="XC569"/>
      <c r="XD569"/>
      <c r="XE569"/>
      <c r="XF569"/>
      <c r="XG569"/>
      <c r="XH569"/>
      <c r="XI569"/>
      <c r="XJ569"/>
      <c r="XK569"/>
      <c r="XL569"/>
      <c r="XM569"/>
      <c r="XN569"/>
      <c r="XO569"/>
      <c r="XP569"/>
      <c r="XQ569"/>
      <c r="XR569"/>
      <c r="XS569"/>
      <c r="XT569"/>
      <c r="XU569"/>
      <c r="XV569"/>
      <c r="XW569"/>
      <c r="XX569"/>
      <c r="XY569"/>
      <c r="XZ569"/>
      <c r="YA569"/>
      <c r="YB569"/>
      <c r="YC569"/>
      <c r="YD569"/>
      <c r="YE569"/>
      <c r="YF569"/>
      <c r="YG569"/>
      <c r="YH569"/>
      <c r="YI569"/>
      <c r="YJ569"/>
      <c r="YK569"/>
      <c r="YL569"/>
      <c r="YM569"/>
      <c r="YN569"/>
      <c r="YO569"/>
      <c r="YP569"/>
      <c r="YQ569"/>
      <c r="YR569"/>
      <c r="YS569"/>
      <c r="YT569"/>
      <c r="YU569"/>
      <c r="YV569"/>
      <c r="YW569"/>
      <c r="YX569"/>
      <c r="YY569"/>
      <c r="YZ569"/>
      <c r="ZA569"/>
      <c r="ZB569"/>
      <c r="ZC569"/>
      <c r="ZD569"/>
      <c r="ZE569"/>
      <c r="ZF569"/>
      <c r="ZG569"/>
      <c r="ZH569"/>
      <c r="ZI569"/>
      <c r="ZJ569"/>
      <c r="ZK569"/>
      <c r="ZL569"/>
      <c r="ZM569"/>
      <c r="ZN569"/>
      <c r="ZO569"/>
      <c r="ZP569"/>
      <c r="ZQ569"/>
      <c r="ZR569"/>
      <c r="ZS569"/>
      <c r="ZT569"/>
      <c r="ZU569"/>
      <c r="ZV569"/>
      <c r="ZW569"/>
      <c r="ZX569"/>
      <c r="ZY569"/>
      <c r="ZZ569" s="52"/>
      <c r="AAA569" s="192"/>
      <c r="AAD569" s="90"/>
      <c r="AAE569" s="519">
        <f>IF(S.Notice.Involved="Y",1,0)</f>
        <v>1</v>
      </c>
      <c r="AAF569" s="90"/>
      <c r="AAG569" s="72"/>
      <c r="AAH569" s="72"/>
      <c r="AAI569" s="72"/>
      <c r="AAJ569" s="74"/>
      <c r="AAK569" s="86" t="str">
        <f>IF(S.Hearing.1stInvolve="Y","* holds the following hearings with assigned team:","No hearings planned (change under Oveview of Key Dates")</f>
        <v>* holds the following hearings with assigned team:</v>
      </c>
      <c r="AAL569" s="90"/>
    </row>
    <row r="570" spans="1:715" ht="15" customHeight="1" outlineLevel="1">
      <c r="A570" s="171"/>
      <c r="B570" s="370" t="str">
        <f>AAK570</f>
        <v>1. LRAPA hearing</v>
      </c>
      <c r="C570" s="376" t="s">
        <v>0</v>
      </c>
      <c r="D570"/>
      <c r="E570"/>
      <c r="F570" s="457">
        <f t="shared" ca="1" si="462"/>
        <v>52</v>
      </c>
      <c r="G570"/>
      <c r="H570" s="424">
        <f>AAH570</f>
        <v>41652</v>
      </c>
      <c r="I570" s="244"/>
      <c r="J570" s="194"/>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c r="BS570" s="49"/>
      <c r="BT570" s="49"/>
      <c r="BU570" s="49"/>
      <c r="BV570" s="49"/>
      <c r="BW570" s="49"/>
      <c r="BX570" s="49"/>
      <c r="BY570" s="49"/>
      <c r="BZ570" s="49"/>
      <c r="CA570" s="49"/>
      <c r="CB570" s="49"/>
      <c r="CC570" s="49"/>
      <c r="CD570" s="49"/>
      <c r="CE570" s="49"/>
      <c r="CF570" s="49"/>
      <c r="CG570" s="49"/>
      <c r="CH570" s="49"/>
      <c r="CI570" s="49"/>
      <c r="CJ570" s="49"/>
      <c r="CK570" s="49"/>
      <c r="CL570" s="49"/>
      <c r="CM570" s="49"/>
      <c r="CN570" s="49"/>
      <c r="CO570" s="49"/>
      <c r="CP570" s="49"/>
      <c r="CQ570" s="49"/>
      <c r="CR570" s="49"/>
      <c r="CS570" s="49"/>
      <c r="CT570" s="49"/>
      <c r="CU570" s="49"/>
      <c r="CV570" s="49"/>
      <c r="CW570" s="49"/>
      <c r="CX570" s="49"/>
      <c r="CY570" s="49"/>
      <c r="CZ570" s="49"/>
      <c r="DA570" s="49"/>
      <c r="DB570" s="49"/>
      <c r="DC570" s="49"/>
      <c r="DD570" s="49"/>
      <c r="DE570" s="49"/>
      <c r="DF570" s="49"/>
      <c r="DG570" s="49"/>
      <c r="DH570" s="49"/>
      <c r="DI570" s="49"/>
      <c r="DJ570" s="49"/>
      <c r="DK570" s="49"/>
      <c r="DL570" s="49"/>
      <c r="DM570" s="49"/>
      <c r="DN570" s="49"/>
      <c r="DO570" s="49"/>
      <c r="DP570" s="49"/>
      <c r="AAA570" s="192"/>
      <c r="AAD570" s="90"/>
      <c r="AAE570" s="519">
        <f>IF(AND(S.Notice.Involved="Y",S.Hearing.1stInvolve="Y",S.Hearing.2ndInvolve),1,0)</f>
        <v>1</v>
      </c>
      <c r="AAF570" s="90"/>
      <c r="AAG570" s="72"/>
      <c r="AAH570" s="73">
        <f>S.Hearing.1stDate</f>
        <v>41652</v>
      </c>
      <c r="AAI570" s="72"/>
      <c r="AAJ570" s="72"/>
      <c r="AAK570" s="80" t="str">
        <f>"1. "&amp;S.Hearing.1stCity&amp;" hearing"</f>
        <v>1. LRAPA hearing</v>
      </c>
      <c r="AAL570" s="90"/>
      <c r="AAM570"/>
    </row>
    <row r="571" spans="1:715" s="23" customFormat="1" ht="15.75" customHeight="1" outlineLevel="1">
      <c r="A571" s="171"/>
      <c r="B571" s="719" t="s">
        <v>400</v>
      </c>
      <c r="C571" s="362"/>
      <c r="D571" s="373"/>
      <c r="E571" s="350"/>
      <c r="F571" s="350"/>
      <c r="G571"/>
      <c r="H571" s="346"/>
      <c r="I571" s="244"/>
      <c r="J571" s="194"/>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9"/>
      <c r="CD571" s="49"/>
      <c r="CE571" s="49"/>
      <c r="CF571" s="49"/>
      <c r="CG571" s="49"/>
      <c r="CH571" s="49"/>
      <c r="CI571" s="49"/>
      <c r="CJ571" s="49"/>
      <c r="CK571" s="49"/>
      <c r="CL571" s="49"/>
      <c r="CM571" s="49"/>
      <c r="CN571" s="49"/>
      <c r="CO571" s="49"/>
      <c r="CP571" s="49"/>
      <c r="CQ571" s="49"/>
      <c r="CR571" s="49"/>
      <c r="CS571" s="49"/>
      <c r="CT571" s="49"/>
      <c r="CU571" s="49"/>
      <c r="CV571" s="49"/>
      <c r="CW571" s="49"/>
      <c r="CX571" s="49"/>
      <c r="CY571" s="49"/>
      <c r="CZ571" s="49"/>
      <c r="DA571" s="49"/>
      <c r="DB571" s="49"/>
      <c r="DC571" s="49"/>
      <c r="DD571" s="49"/>
      <c r="DE571" s="49"/>
      <c r="DF571" s="49"/>
      <c r="DG571" s="49"/>
      <c r="DH571" s="49"/>
      <c r="DI571" s="49"/>
      <c r="DJ571" s="49"/>
      <c r="DK571" s="49"/>
      <c r="DL571" s="49"/>
      <c r="DM571" s="49"/>
      <c r="DN571" s="49"/>
      <c r="DO571" s="49"/>
      <c r="DP571" s="49"/>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c r="IW571"/>
      <c r="IX571"/>
      <c r="IY571"/>
      <c r="IZ571"/>
      <c r="JA571"/>
      <c r="JB571"/>
      <c r="JC571"/>
      <c r="JD571"/>
      <c r="JE571"/>
      <c r="JF571"/>
      <c r="JG571"/>
      <c r="JH571"/>
      <c r="JI571"/>
      <c r="JJ571"/>
      <c r="JK571"/>
      <c r="JL571"/>
      <c r="JM571"/>
      <c r="JN571"/>
      <c r="JO571"/>
      <c r="JP571"/>
      <c r="JQ571"/>
      <c r="JR571"/>
      <c r="JS571"/>
      <c r="JT571"/>
      <c r="JU571"/>
      <c r="JV571"/>
      <c r="JW571"/>
      <c r="JX571"/>
      <c r="JY571"/>
      <c r="JZ571"/>
      <c r="KA571"/>
      <c r="KB571"/>
      <c r="KC571"/>
      <c r="KD571"/>
      <c r="KE571"/>
      <c r="KF571"/>
      <c r="KG571"/>
      <c r="KH571"/>
      <c r="KI571"/>
      <c r="KJ571"/>
      <c r="KK571"/>
      <c r="KL571"/>
      <c r="KM571"/>
      <c r="KN571"/>
      <c r="KO571"/>
      <c r="KP571"/>
      <c r="KQ571"/>
      <c r="KR571"/>
      <c r="KS571"/>
      <c r="KT571"/>
      <c r="KU571"/>
      <c r="KV571"/>
      <c r="KW571"/>
      <c r="KX571"/>
      <c r="KY571"/>
      <c r="KZ571"/>
      <c r="LA571"/>
      <c r="LB571"/>
      <c r="LC571"/>
      <c r="LD571"/>
      <c r="LE571"/>
      <c r="LF571"/>
      <c r="LG571"/>
      <c r="LH571"/>
      <c r="LI571"/>
      <c r="LJ571"/>
      <c r="LK571"/>
      <c r="LL571"/>
      <c r="LM571"/>
      <c r="LN571"/>
      <c r="LO571"/>
      <c r="LP571"/>
      <c r="LQ571"/>
      <c r="LR571"/>
      <c r="LS571"/>
      <c r="LT571"/>
      <c r="LU571"/>
      <c r="LV571"/>
      <c r="LW571"/>
      <c r="LX571"/>
      <c r="LY571"/>
      <c r="LZ571"/>
      <c r="MA571"/>
      <c r="MB571"/>
      <c r="MC571"/>
      <c r="MD571"/>
      <c r="ME571"/>
      <c r="MF571"/>
      <c r="MG571"/>
      <c r="MH571"/>
      <c r="MI571"/>
      <c r="MJ571"/>
      <c r="MK571"/>
      <c r="ML571"/>
      <c r="MM571"/>
      <c r="MN571"/>
      <c r="MO571"/>
      <c r="MP571"/>
      <c r="MQ571"/>
      <c r="MR571"/>
      <c r="MS571"/>
      <c r="MT571"/>
      <c r="MU571"/>
      <c r="MV571"/>
      <c r="MW571"/>
      <c r="MX571"/>
      <c r="MY571"/>
      <c r="MZ571"/>
      <c r="NA571"/>
      <c r="NB571"/>
      <c r="NC571"/>
      <c r="ND571"/>
      <c r="NE571"/>
      <c r="NF571"/>
      <c r="NG571"/>
      <c r="NH571"/>
      <c r="NI571"/>
      <c r="NJ571"/>
      <c r="NK571"/>
      <c r="NL571"/>
      <c r="NM571"/>
      <c r="NN571"/>
      <c r="NO571"/>
      <c r="NP571"/>
      <c r="NQ571"/>
      <c r="NR571"/>
      <c r="NS571"/>
      <c r="NT571"/>
      <c r="NU571"/>
      <c r="NV571"/>
      <c r="NW571"/>
      <c r="NX571"/>
      <c r="NY571"/>
      <c r="NZ571"/>
      <c r="OA571"/>
      <c r="OB571"/>
      <c r="OC571"/>
      <c r="OD571"/>
      <c r="OE571"/>
      <c r="OF571"/>
      <c r="OG571"/>
      <c r="OH571"/>
      <c r="OI571"/>
      <c r="OJ571"/>
      <c r="OK571"/>
      <c r="OL571"/>
      <c r="OM571"/>
      <c r="ON571"/>
      <c r="OO571"/>
      <c r="OP571"/>
      <c r="OQ571"/>
      <c r="OR571"/>
      <c r="OS571"/>
      <c r="OT571"/>
      <c r="OU571"/>
      <c r="OV571"/>
      <c r="OW571"/>
      <c r="OX571"/>
      <c r="OY571"/>
      <c r="OZ571"/>
      <c r="PA571"/>
      <c r="PB571"/>
      <c r="PC571"/>
      <c r="PD571"/>
      <c r="PE571"/>
      <c r="PF571"/>
      <c r="PG571"/>
      <c r="PH571"/>
      <c r="PI571"/>
      <c r="PJ571"/>
      <c r="PK571"/>
      <c r="PL571"/>
      <c r="PM571"/>
      <c r="PN571"/>
      <c r="PO571"/>
      <c r="PP571"/>
      <c r="PQ571"/>
      <c r="PR571"/>
      <c r="PS571"/>
      <c r="PT571"/>
      <c r="PU571"/>
      <c r="PV571"/>
      <c r="PW571"/>
      <c r="PX571"/>
      <c r="PY571"/>
      <c r="PZ571"/>
      <c r="QA571"/>
      <c r="QB571"/>
      <c r="QC571"/>
      <c r="QD571"/>
      <c r="QE571"/>
      <c r="QF571"/>
      <c r="QG571"/>
      <c r="QH571"/>
      <c r="QI571"/>
      <c r="QJ571"/>
      <c r="QK571"/>
      <c r="QL571"/>
      <c r="QM571"/>
      <c r="QN571"/>
      <c r="QO571"/>
      <c r="QP571"/>
      <c r="QQ571"/>
      <c r="QR571"/>
      <c r="QS571"/>
      <c r="QT571"/>
      <c r="QU571"/>
      <c r="QV571"/>
      <c r="QW571"/>
      <c r="QX571"/>
      <c r="QY571"/>
      <c r="QZ571"/>
      <c r="RA571"/>
      <c r="RB571"/>
      <c r="RC571"/>
      <c r="RD571"/>
      <c r="RE571"/>
      <c r="RF571"/>
      <c r="RG571"/>
      <c r="RH571"/>
      <c r="RI571"/>
      <c r="RJ571"/>
      <c r="RK571"/>
      <c r="RL571"/>
      <c r="RM571"/>
      <c r="RN571"/>
      <c r="RO571"/>
      <c r="RP571"/>
      <c r="RQ571"/>
      <c r="RR571"/>
      <c r="RS571"/>
      <c r="RT571"/>
      <c r="RU571"/>
      <c r="RV571"/>
      <c r="RW571"/>
      <c r="RX571"/>
      <c r="RY571"/>
      <c r="RZ571"/>
      <c r="SA571"/>
      <c r="SB571"/>
      <c r="SC571"/>
      <c r="SD571"/>
      <c r="SE571"/>
      <c r="SF571"/>
      <c r="SG571"/>
      <c r="SH571"/>
      <c r="SI571"/>
      <c r="SJ571"/>
      <c r="SK571"/>
      <c r="SL571"/>
      <c r="SM571"/>
      <c r="SN571"/>
      <c r="SO571"/>
      <c r="SP571"/>
      <c r="SQ571"/>
      <c r="SR571"/>
      <c r="SS571"/>
      <c r="ST571"/>
      <c r="SU571"/>
      <c r="SV571"/>
      <c r="SW571"/>
      <c r="SX571"/>
      <c r="SY571"/>
      <c r="SZ571"/>
      <c r="TA571"/>
      <c r="TB571"/>
      <c r="TC571"/>
      <c r="TD571"/>
      <c r="TE571"/>
      <c r="TF571"/>
      <c r="TG571"/>
      <c r="TH571"/>
      <c r="TI571"/>
      <c r="TJ571"/>
      <c r="TK571"/>
      <c r="TL571"/>
      <c r="TM571"/>
      <c r="TN571"/>
      <c r="TO571"/>
      <c r="TP571"/>
      <c r="TQ571"/>
      <c r="TR571"/>
      <c r="TS571"/>
      <c r="TT571"/>
      <c r="TU571"/>
      <c r="TV571"/>
      <c r="TW571"/>
      <c r="TX571"/>
      <c r="TY571"/>
      <c r="TZ571"/>
      <c r="UA571"/>
      <c r="UB571"/>
      <c r="UC571"/>
      <c r="UD571"/>
      <c r="UE571"/>
      <c r="UF571"/>
      <c r="UG571"/>
      <c r="UH571"/>
      <c r="UI571"/>
      <c r="UJ571"/>
      <c r="UK571"/>
      <c r="UL571"/>
      <c r="UM571"/>
      <c r="UN571"/>
      <c r="UO571"/>
      <c r="UP571"/>
      <c r="UQ571"/>
      <c r="UR571"/>
      <c r="US571"/>
      <c r="UT571"/>
      <c r="UU571"/>
      <c r="UV571"/>
      <c r="UW571"/>
      <c r="UX571"/>
      <c r="UY571"/>
      <c r="UZ571"/>
      <c r="VA571"/>
      <c r="VB571"/>
      <c r="VC571"/>
      <c r="VD571"/>
      <c r="VE571"/>
      <c r="VF571"/>
      <c r="VG571"/>
      <c r="VH571"/>
      <c r="VI571"/>
      <c r="VJ571"/>
      <c r="VK571"/>
      <c r="VL571"/>
      <c r="VM571"/>
      <c r="VN571"/>
      <c r="VO571"/>
      <c r="VP571"/>
      <c r="VQ571"/>
      <c r="VR571"/>
      <c r="VS571"/>
      <c r="VT571"/>
      <c r="VU571"/>
      <c r="VV571"/>
      <c r="VW571"/>
      <c r="VX571"/>
      <c r="VY571"/>
      <c r="VZ571"/>
      <c r="WA571"/>
      <c r="WB571"/>
      <c r="WC571"/>
      <c r="WD571"/>
      <c r="WE571"/>
      <c r="WF571"/>
      <c r="WG571"/>
      <c r="WH571"/>
      <c r="WI571"/>
      <c r="WJ571"/>
      <c r="WK571"/>
      <c r="WL571"/>
      <c r="WM571"/>
      <c r="WN571"/>
      <c r="WO571"/>
      <c r="WP571"/>
      <c r="WQ571"/>
      <c r="WR571"/>
      <c r="WS571"/>
      <c r="WT571"/>
      <c r="WU571"/>
      <c r="WV571"/>
      <c r="WW571"/>
      <c r="WX571"/>
      <c r="WY571"/>
      <c r="WZ571"/>
      <c r="XA571"/>
      <c r="XB571"/>
      <c r="XC571"/>
      <c r="XD571"/>
      <c r="XE571"/>
      <c r="XF571"/>
      <c r="XG571"/>
      <c r="XH571"/>
      <c r="XI571"/>
      <c r="XJ571"/>
      <c r="XK571"/>
      <c r="XL571"/>
      <c r="XM571"/>
      <c r="XN571"/>
      <c r="XO571"/>
      <c r="XP571"/>
      <c r="XQ571"/>
      <c r="XR571"/>
      <c r="XS571"/>
      <c r="XT571"/>
      <c r="XU571"/>
      <c r="XV571"/>
      <c r="XW571"/>
      <c r="XX571"/>
      <c r="XY571"/>
      <c r="XZ571"/>
      <c r="YA571"/>
      <c r="YB571"/>
      <c r="YC571"/>
      <c r="YD571"/>
      <c r="YE571"/>
      <c r="YF571"/>
      <c r="YG571"/>
      <c r="YH571"/>
      <c r="YI571"/>
      <c r="YJ571"/>
      <c r="YK571"/>
      <c r="YL571"/>
      <c r="YM571"/>
      <c r="YN571"/>
      <c r="YO571"/>
      <c r="YP571"/>
      <c r="YQ571"/>
      <c r="YR571"/>
      <c r="YS571"/>
      <c r="YT571"/>
      <c r="YU571"/>
      <c r="YV571"/>
      <c r="YW571"/>
      <c r="YX571"/>
      <c r="YY571"/>
      <c r="YZ571"/>
      <c r="ZA571"/>
      <c r="ZB571"/>
      <c r="ZC571"/>
      <c r="ZD571"/>
      <c r="ZE571"/>
      <c r="ZF571"/>
      <c r="ZG571"/>
      <c r="ZH571"/>
      <c r="ZI571"/>
      <c r="ZJ571"/>
      <c r="ZK571"/>
      <c r="ZL571"/>
      <c r="ZM571"/>
      <c r="ZN571"/>
      <c r="ZO571"/>
      <c r="ZP571"/>
      <c r="ZQ571"/>
      <c r="ZR571"/>
      <c r="ZS571"/>
      <c r="ZT571"/>
      <c r="ZU571"/>
      <c r="ZV571"/>
      <c r="ZW571"/>
      <c r="ZX571"/>
      <c r="ZY571"/>
      <c r="ZZ571" s="52"/>
      <c r="AAA571" s="192"/>
      <c r="AAD571" s="90"/>
      <c r="AAE571" s="519">
        <f>IF(AND(S.Notice.Involved="Y",S.Hearing.1stInvolve="Y",S.Hearing.2ndInvolve),1,0)</f>
        <v>1</v>
      </c>
      <c r="AAF571" s="190" t="s">
        <v>52</v>
      </c>
      <c r="AAG571" s="72"/>
      <c r="AAH571" s="71"/>
      <c r="AAI571" s="71"/>
      <c r="AAJ571" s="56"/>
      <c r="AAK571" s="71" t="s">
        <v>0</v>
      </c>
      <c r="AAL571" s="90"/>
    </row>
    <row r="572" spans="1:715" ht="15" customHeight="1" outlineLevel="2">
      <c r="A572" s="171"/>
      <c r="B572" s="370" t="str">
        <f t="shared" ref="B572:B584" si="466">AAK572</f>
        <v>2. Enter city name hearing</v>
      </c>
      <c r="C572" s="376" t="s">
        <v>0</v>
      </c>
      <c r="D572"/>
      <c r="E572"/>
      <c r="F572" s="457">
        <f t="shared" ca="1" si="462"/>
        <v>0</v>
      </c>
      <c r="G572"/>
      <c r="H572" s="424">
        <f t="shared" ref="H572:H584" si="467">AAH572</f>
        <v>0</v>
      </c>
      <c r="I572" s="244"/>
      <c r="J572" s="194"/>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9"/>
      <c r="CD572" s="49"/>
      <c r="CE572" s="49"/>
      <c r="CF572" s="49"/>
      <c r="CG572" s="49"/>
      <c r="CH572" s="49"/>
      <c r="CI572" s="49"/>
      <c r="CJ572" s="49"/>
      <c r="CK572" s="49"/>
      <c r="CL572" s="49"/>
      <c r="CM572" s="49"/>
      <c r="CN572" s="49"/>
      <c r="CO572" s="49"/>
      <c r="CP572" s="49"/>
      <c r="CQ572" s="49"/>
      <c r="CR572" s="49"/>
      <c r="CS572" s="49"/>
      <c r="CT572" s="49"/>
      <c r="CU572" s="49"/>
      <c r="CV572" s="49"/>
      <c r="CW572" s="49"/>
      <c r="CX572" s="49"/>
      <c r="CY572" s="49"/>
      <c r="CZ572" s="49"/>
      <c r="DA572" s="49"/>
      <c r="DB572" s="49"/>
      <c r="DC572" s="49"/>
      <c r="DD572" s="49"/>
      <c r="DE572" s="49"/>
      <c r="DF572" s="49"/>
      <c r="DG572" s="49"/>
      <c r="DH572" s="49"/>
      <c r="DI572" s="49"/>
      <c r="DJ572" s="49"/>
      <c r="DK572" s="49"/>
      <c r="DL572" s="49"/>
      <c r="DM572" s="49"/>
      <c r="DN572" s="49"/>
      <c r="DO572" s="49"/>
      <c r="DP572" s="49"/>
      <c r="AAA572" s="192"/>
      <c r="AAD572" s="90"/>
      <c r="AAE572" s="519">
        <f>IF(AND(S.Notice.Involved="Y",S.Hearing.1stInvolve="Y",S.Hearing.2ndInvolve="Y"),1,0)</f>
        <v>0</v>
      </c>
      <c r="AAF572" s="90"/>
      <c r="AAG572" s="72"/>
      <c r="AAH572" s="73">
        <f>IF(S.Hearing.2ndInvolve="N",,S.Hearing.2ndDate)</f>
        <v>0</v>
      </c>
      <c r="AAI572" s="72"/>
      <c r="AAJ572" s="72"/>
      <c r="AAK572" s="80" t="str">
        <f>"2. "&amp;S.Hearing.2ndCity&amp;" hearing"</f>
        <v>2. Enter city name hearing</v>
      </c>
      <c r="AAL572" s="90"/>
      <c r="AAM572"/>
    </row>
    <row r="573" spans="1:715" s="23" customFormat="1" ht="15.75" customHeight="1" outlineLevel="2">
      <c r="A573" s="171"/>
      <c r="B573" s="719" t="s">
        <v>401</v>
      </c>
      <c r="C573" s="362"/>
      <c r="D573"/>
      <c r="E573"/>
      <c r="F573" s="350"/>
      <c r="G573"/>
      <c r="H573" s="346"/>
      <c r="I573" s="244"/>
      <c r="J573" s="194"/>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9"/>
      <c r="CD573" s="49"/>
      <c r="CE573" s="49"/>
      <c r="CF573" s="49"/>
      <c r="CG573" s="49"/>
      <c r="CH573" s="49"/>
      <c r="CI573" s="49"/>
      <c r="CJ573" s="49"/>
      <c r="CK573" s="49"/>
      <c r="CL573" s="49"/>
      <c r="CM573" s="49"/>
      <c r="CN573" s="49"/>
      <c r="CO573" s="49"/>
      <c r="CP573" s="49"/>
      <c r="CQ573" s="49"/>
      <c r="CR573" s="49"/>
      <c r="CS573" s="49"/>
      <c r="CT573" s="49"/>
      <c r="CU573" s="49"/>
      <c r="CV573" s="49"/>
      <c r="CW573" s="49"/>
      <c r="CX573" s="49"/>
      <c r="CY573" s="49"/>
      <c r="CZ573" s="49"/>
      <c r="DA573" s="49"/>
      <c r="DB573" s="49"/>
      <c r="DC573" s="49"/>
      <c r="DD573" s="49"/>
      <c r="DE573" s="49"/>
      <c r="DF573" s="49"/>
      <c r="DG573" s="49"/>
      <c r="DH573" s="49"/>
      <c r="DI573" s="49"/>
      <c r="DJ573" s="49"/>
      <c r="DK573" s="49"/>
      <c r="DL573" s="49"/>
      <c r="DM573" s="49"/>
      <c r="DN573" s="49"/>
      <c r="DO573" s="49"/>
      <c r="DP573" s="49"/>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c r="IW573"/>
      <c r="IX573"/>
      <c r="IY573"/>
      <c r="IZ573"/>
      <c r="JA573"/>
      <c r="JB573"/>
      <c r="JC573"/>
      <c r="JD573"/>
      <c r="JE573"/>
      <c r="JF573"/>
      <c r="JG573"/>
      <c r="JH573"/>
      <c r="JI573"/>
      <c r="JJ573"/>
      <c r="JK573"/>
      <c r="JL573"/>
      <c r="JM573"/>
      <c r="JN573"/>
      <c r="JO573"/>
      <c r="JP573"/>
      <c r="JQ573"/>
      <c r="JR573"/>
      <c r="JS573"/>
      <c r="JT573"/>
      <c r="JU573"/>
      <c r="JV573"/>
      <c r="JW573"/>
      <c r="JX573"/>
      <c r="JY573"/>
      <c r="JZ573"/>
      <c r="KA573"/>
      <c r="KB573"/>
      <c r="KC573"/>
      <c r="KD573"/>
      <c r="KE573"/>
      <c r="KF573"/>
      <c r="KG573"/>
      <c r="KH573"/>
      <c r="KI573"/>
      <c r="KJ573"/>
      <c r="KK573"/>
      <c r="KL573"/>
      <c r="KM573"/>
      <c r="KN573"/>
      <c r="KO573"/>
      <c r="KP573"/>
      <c r="KQ573"/>
      <c r="KR573"/>
      <c r="KS573"/>
      <c r="KT573"/>
      <c r="KU573"/>
      <c r="KV573"/>
      <c r="KW573"/>
      <c r="KX573"/>
      <c r="KY573"/>
      <c r="KZ573"/>
      <c r="LA573"/>
      <c r="LB573"/>
      <c r="LC573"/>
      <c r="LD573"/>
      <c r="LE573"/>
      <c r="LF573"/>
      <c r="LG573"/>
      <c r="LH573"/>
      <c r="LI573"/>
      <c r="LJ573"/>
      <c r="LK573"/>
      <c r="LL573"/>
      <c r="LM573"/>
      <c r="LN573"/>
      <c r="LO573"/>
      <c r="LP573"/>
      <c r="LQ573"/>
      <c r="LR573"/>
      <c r="LS573"/>
      <c r="LT573"/>
      <c r="LU573"/>
      <c r="LV573"/>
      <c r="LW573"/>
      <c r="LX573"/>
      <c r="LY573"/>
      <c r="LZ573"/>
      <c r="MA573"/>
      <c r="MB573"/>
      <c r="MC573"/>
      <c r="MD573"/>
      <c r="ME573"/>
      <c r="MF573"/>
      <c r="MG573"/>
      <c r="MH573"/>
      <c r="MI573"/>
      <c r="MJ573"/>
      <c r="MK573"/>
      <c r="ML573"/>
      <c r="MM573"/>
      <c r="MN573"/>
      <c r="MO573"/>
      <c r="MP573"/>
      <c r="MQ573"/>
      <c r="MR573"/>
      <c r="MS573"/>
      <c r="MT573"/>
      <c r="MU573"/>
      <c r="MV573"/>
      <c r="MW573"/>
      <c r="MX573"/>
      <c r="MY573"/>
      <c r="MZ573"/>
      <c r="NA573"/>
      <c r="NB573"/>
      <c r="NC573"/>
      <c r="ND573"/>
      <c r="NE573"/>
      <c r="NF573"/>
      <c r="NG573"/>
      <c r="NH573"/>
      <c r="NI573"/>
      <c r="NJ573"/>
      <c r="NK573"/>
      <c r="NL573"/>
      <c r="NM573"/>
      <c r="NN573"/>
      <c r="NO573"/>
      <c r="NP573"/>
      <c r="NQ573"/>
      <c r="NR573"/>
      <c r="NS573"/>
      <c r="NT573"/>
      <c r="NU573"/>
      <c r="NV573"/>
      <c r="NW573"/>
      <c r="NX573"/>
      <c r="NY573"/>
      <c r="NZ573"/>
      <c r="OA573"/>
      <c r="OB573"/>
      <c r="OC573"/>
      <c r="OD573"/>
      <c r="OE573"/>
      <c r="OF573"/>
      <c r="OG573"/>
      <c r="OH573"/>
      <c r="OI573"/>
      <c r="OJ573"/>
      <c r="OK573"/>
      <c r="OL573"/>
      <c r="OM573"/>
      <c r="ON573"/>
      <c r="OO573"/>
      <c r="OP573"/>
      <c r="OQ573"/>
      <c r="OR573"/>
      <c r="OS573"/>
      <c r="OT573"/>
      <c r="OU573"/>
      <c r="OV573"/>
      <c r="OW573"/>
      <c r="OX573"/>
      <c r="OY573"/>
      <c r="OZ573"/>
      <c r="PA573"/>
      <c r="PB573"/>
      <c r="PC573"/>
      <c r="PD573"/>
      <c r="PE573"/>
      <c r="PF573"/>
      <c r="PG573"/>
      <c r="PH573"/>
      <c r="PI573"/>
      <c r="PJ573"/>
      <c r="PK573"/>
      <c r="PL573"/>
      <c r="PM573"/>
      <c r="PN573"/>
      <c r="PO573"/>
      <c r="PP573"/>
      <c r="PQ573"/>
      <c r="PR573"/>
      <c r="PS573"/>
      <c r="PT573"/>
      <c r="PU573"/>
      <c r="PV573"/>
      <c r="PW573"/>
      <c r="PX573"/>
      <c r="PY573"/>
      <c r="PZ573"/>
      <c r="QA573"/>
      <c r="QB573"/>
      <c r="QC573"/>
      <c r="QD573"/>
      <c r="QE573"/>
      <c r="QF573"/>
      <c r="QG573"/>
      <c r="QH573"/>
      <c r="QI573"/>
      <c r="QJ573"/>
      <c r="QK573"/>
      <c r="QL573"/>
      <c r="QM573"/>
      <c r="QN573"/>
      <c r="QO573"/>
      <c r="QP573"/>
      <c r="QQ573"/>
      <c r="QR573"/>
      <c r="QS573"/>
      <c r="QT573"/>
      <c r="QU573"/>
      <c r="QV573"/>
      <c r="QW573"/>
      <c r="QX573"/>
      <c r="QY573"/>
      <c r="QZ573"/>
      <c r="RA573"/>
      <c r="RB573"/>
      <c r="RC573"/>
      <c r="RD573"/>
      <c r="RE573"/>
      <c r="RF573"/>
      <c r="RG573"/>
      <c r="RH573"/>
      <c r="RI573"/>
      <c r="RJ573"/>
      <c r="RK573"/>
      <c r="RL573"/>
      <c r="RM573"/>
      <c r="RN573"/>
      <c r="RO573"/>
      <c r="RP573"/>
      <c r="RQ573"/>
      <c r="RR573"/>
      <c r="RS573"/>
      <c r="RT573"/>
      <c r="RU573"/>
      <c r="RV573"/>
      <c r="RW573"/>
      <c r="RX573"/>
      <c r="RY573"/>
      <c r="RZ573"/>
      <c r="SA573"/>
      <c r="SB573"/>
      <c r="SC573"/>
      <c r="SD573"/>
      <c r="SE573"/>
      <c r="SF573"/>
      <c r="SG573"/>
      <c r="SH573"/>
      <c r="SI573"/>
      <c r="SJ573"/>
      <c r="SK573"/>
      <c r="SL573"/>
      <c r="SM573"/>
      <c r="SN573"/>
      <c r="SO573"/>
      <c r="SP573"/>
      <c r="SQ573"/>
      <c r="SR573"/>
      <c r="SS573"/>
      <c r="ST573"/>
      <c r="SU573"/>
      <c r="SV573"/>
      <c r="SW573"/>
      <c r="SX573"/>
      <c r="SY573"/>
      <c r="SZ573"/>
      <c r="TA573"/>
      <c r="TB573"/>
      <c r="TC573"/>
      <c r="TD573"/>
      <c r="TE573"/>
      <c r="TF573"/>
      <c r="TG573"/>
      <c r="TH573"/>
      <c r="TI573"/>
      <c r="TJ573"/>
      <c r="TK573"/>
      <c r="TL573"/>
      <c r="TM573"/>
      <c r="TN573"/>
      <c r="TO573"/>
      <c r="TP573"/>
      <c r="TQ573"/>
      <c r="TR573"/>
      <c r="TS573"/>
      <c r="TT573"/>
      <c r="TU573"/>
      <c r="TV573"/>
      <c r="TW573"/>
      <c r="TX573"/>
      <c r="TY573"/>
      <c r="TZ573"/>
      <c r="UA573"/>
      <c r="UB573"/>
      <c r="UC573"/>
      <c r="UD573"/>
      <c r="UE573"/>
      <c r="UF573"/>
      <c r="UG573"/>
      <c r="UH573"/>
      <c r="UI573"/>
      <c r="UJ573"/>
      <c r="UK573"/>
      <c r="UL573"/>
      <c r="UM573"/>
      <c r="UN573"/>
      <c r="UO573"/>
      <c r="UP573"/>
      <c r="UQ573"/>
      <c r="UR573"/>
      <c r="US573"/>
      <c r="UT573"/>
      <c r="UU573"/>
      <c r="UV573"/>
      <c r="UW573"/>
      <c r="UX573"/>
      <c r="UY573"/>
      <c r="UZ573"/>
      <c r="VA573"/>
      <c r="VB573"/>
      <c r="VC573"/>
      <c r="VD573"/>
      <c r="VE573"/>
      <c r="VF573"/>
      <c r="VG573"/>
      <c r="VH573"/>
      <c r="VI573"/>
      <c r="VJ573"/>
      <c r="VK573"/>
      <c r="VL573"/>
      <c r="VM573"/>
      <c r="VN573"/>
      <c r="VO573"/>
      <c r="VP573"/>
      <c r="VQ573"/>
      <c r="VR573"/>
      <c r="VS573"/>
      <c r="VT573"/>
      <c r="VU573"/>
      <c r="VV573"/>
      <c r="VW573"/>
      <c r="VX573"/>
      <c r="VY573"/>
      <c r="VZ573"/>
      <c r="WA573"/>
      <c r="WB573"/>
      <c r="WC573"/>
      <c r="WD573"/>
      <c r="WE573"/>
      <c r="WF573"/>
      <c r="WG573"/>
      <c r="WH573"/>
      <c r="WI573"/>
      <c r="WJ573"/>
      <c r="WK573"/>
      <c r="WL573"/>
      <c r="WM573"/>
      <c r="WN573"/>
      <c r="WO573"/>
      <c r="WP573"/>
      <c r="WQ573"/>
      <c r="WR573"/>
      <c r="WS573"/>
      <c r="WT573"/>
      <c r="WU573"/>
      <c r="WV573"/>
      <c r="WW573"/>
      <c r="WX573"/>
      <c r="WY573"/>
      <c r="WZ573"/>
      <c r="XA573"/>
      <c r="XB573"/>
      <c r="XC573"/>
      <c r="XD573"/>
      <c r="XE573"/>
      <c r="XF573"/>
      <c r="XG573"/>
      <c r="XH573"/>
      <c r="XI573"/>
      <c r="XJ573"/>
      <c r="XK573"/>
      <c r="XL573"/>
      <c r="XM573"/>
      <c r="XN573"/>
      <c r="XO573"/>
      <c r="XP573"/>
      <c r="XQ573"/>
      <c r="XR573"/>
      <c r="XS573"/>
      <c r="XT573"/>
      <c r="XU573"/>
      <c r="XV573"/>
      <c r="XW573"/>
      <c r="XX573"/>
      <c r="XY573"/>
      <c r="XZ573"/>
      <c r="YA573"/>
      <c r="YB573"/>
      <c r="YC573"/>
      <c r="YD573"/>
      <c r="YE573"/>
      <c r="YF573"/>
      <c r="YG573"/>
      <c r="YH573"/>
      <c r="YI573"/>
      <c r="YJ573"/>
      <c r="YK573"/>
      <c r="YL573"/>
      <c r="YM573"/>
      <c r="YN573"/>
      <c r="YO573"/>
      <c r="YP573"/>
      <c r="YQ573"/>
      <c r="YR573"/>
      <c r="YS573"/>
      <c r="YT573"/>
      <c r="YU573"/>
      <c r="YV573"/>
      <c r="YW573"/>
      <c r="YX573"/>
      <c r="YY573"/>
      <c r="YZ573"/>
      <c r="ZA573"/>
      <c r="ZB573"/>
      <c r="ZC573"/>
      <c r="ZD573"/>
      <c r="ZE573"/>
      <c r="ZF573"/>
      <c r="ZG573"/>
      <c r="ZH573"/>
      <c r="ZI573"/>
      <c r="ZJ573"/>
      <c r="ZK573"/>
      <c r="ZL573"/>
      <c r="ZM573"/>
      <c r="ZN573"/>
      <c r="ZO573"/>
      <c r="ZP573"/>
      <c r="ZQ573"/>
      <c r="ZR573"/>
      <c r="ZS573"/>
      <c r="ZT573"/>
      <c r="ZU573"/>
      <c r="ZV573"/>
      <c r="ZW573"/>
      <c r="ZX573"/>
      <c r="ZY573"/>
      <c r="ZZ573" s="52"/>
      <c r="AAA573" s="192"/>
      <c r="AAD573" s="90"/>
      <c r="AAE573" s="519">
        <f>IF(AND(S.Notice.Involved="Y",S.Hearing.1stInvolve="Y",S.Hearing.2ndInvolve="Y"),1,0)</f>
        <v>0</v>
      </c>
      <c r="AAF573" s="190" t="s">
        <v>52</v>
      </c>
      <c r="AAG573" s="72"/>
      <c r="AAH573" s="71"/>
      <c r="AAI573" s="71"/>
      <c r="AAJ573" s="56"/>
      <c r="AAK573" s="71" t="s">
        <v>0</v>
      </c>
      <c r="AAL573" s="90"/>
    </row>
    <row r="574" spans="1:715" ht="15" customHeight="1" outlineLevel="2">
      <c r="A574" s="171"/>
      <c r="B574" s="370" t="str">
        <f t="shared" si="466"/>
        <v>3. Enter city name hearing</v>
      </c>
      <c r="C574" s="376" t="s">
        <v>0</v>
      </c>
      <c r="D574"/>
      <c r="E574"/>
      <c r="F574" s="457">
        <f t="shared" ca="1" si="462"/>
        <v>0</v>
      </c>
      <c r="G574"/>
      <c r="H574" s="424">
        <f t="shared" si="467"/>
        <v>0</v>
      </c>
      <c r="I574" s="244"/>
      <c r="J574" s="194"/>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9"/>
      <c r="CD574" s="49"/>
      <c r="CE574" s="49"/>
      <c r="CF574" s="49"/>
      <c r="CG574" s="49"/>
      <c r="CH574" s="49"/>
      <c r="CI574" s="49"/>
      <c r="CJ574" s="49"/>
      <c r="CK574" s="49"/>
      <c r="CL574" s="49"/>
      <c r="CM574" s="49"/>
      <c r="CN574" s="49"/>
      <c r="CO574" s="49"/>
      <c r="CP574" s="49"/>
      <c r="CQ574" s="49"/>
      <c r="CR574" s="49"/>
      <c r="CS574" s="49"/>
      <c r="CT574" s="49"/>
      <c r="CU574" s="49"/>
      <c r="CV574" s="49"/>
      <c r="CW574" s="49"/>
      <c r="CX574" s="49"/>
      <c r="CY574" s="49"/>
      <c r="CZ574" s="49"/>
      <c r="DA574" s="49"/>
      <c r="DB574" s="49"/>
      <c r="DC574" s="49"/>
      <c r="DD574" s="49"/>
      <c r="DE574" s="49"/>
      <c r="DF574" s="49"/>
      <c r="DG574" s="49"/>
      <c r="DH574" s="49"/>
      <c r="DI574" s="49"/>
      <c r="DJ574" s="49"/>
      <c r="DK574" s="49"/>
      <c r="DL574" s="49"/>
      <c r="DM574" s="49"/>
      <c r="DN574" s="49"/>
      <c r="DO574" s="49"/>
      <c r="DP574" s="49"/>
      <c r="AAA574" s="192"/>
      <c r="AAD574" s="90"/>
      <c r="AAE574" s="519">
        <f>IF(AND(S.Notice.Involved="Y",S.Hearing.1stInvolve="Y",S.Hearing.3rdInvolve="Y"),1,0)</f>
        <v>0</v>
      </c>
      <c r="AAF574" s="90"/>
      <c r="AAG574" s="72"/>
      <c r="AAH574" s="73">
        <f>IF(S.Hearing.2ndInvolve="N",,S.Hearing.3rdDate)</f>
        <v>0</v>
      </c>
      <c r="AAI574" s="72"/>
      <c r="AAJ574" s="72"/>
      <c r="AAK574" s="80" t="str">
        <f>"3. "&amp; S.Hearing.3rdCity&amp;" hearing"</f>
        <v>3. Enter city name hearing</v>
      </c>
      <c r="AAL574" s="90"/>
      <c r="AAM574"/>
    </row>
    <row r="575" spans="1:715" s="23" customFormat="1" ht="15.75" customHeight="1" outlineLevel="2">
      <c r="A575" s="171"/>
      <c r="B575" s="719" t="s">
        <v>402</v>
      </c>
      <c r="C575" s="362"/>
      <c r="D575"/>
      <c r="E575"/>
      <c r="F575" s="350"/>
      <c r="G575"/>
      <c r="H575" s="346"/>
      <c r="I575" s="244"/>
      <c r="J575" s="194"/>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9"/>
      <c r="CD575" s="49"/>
      <c r="CE575" s="49"/>
      <c r="CF575" s="49"/>
      <c r="CG575" s="49"/>
      <c r="CH575" s="49"/>
      <c r="CI575" s="49"/>
      <c r="CJ575" s="49"/>
      <c r="CK575" s="49"/>
      <c r="CL575" s="49"/>
      <c r="CM575" s="49"/>
      <c r="CN575" s="49"/>
      <c r="CO575" s="49"/>
      <c r="CP575" s="49"/>
      <c r="CQ575" s="49"/>
      <c r="CR575" s="49"/>
      <c r="CS575" s="49"/>
      <c r="CT575" s="49"/>
      <c r="CU575" s="49"/>
      <c r="CV575" s="49"/>
      <c r="CW575" s="49"/>
      <c r="CX575" s="49"/>
      <c r="CY575" s="49"/>
      <c r="CZ575" s="49"/>
      <c r="DA575" s="49"/>
      <c r="DB575" s="49"/>
      <c r="DC575" s="49"/>
      <c r="DD575" s="49"/>
      <c r="DE575" s="49"/>
      <c r="DF575" s="49"/>
      <c r="DG575" s="49"/>
      <c r="DH575" s="49"/>
      <c r="DI575" s="49"/>
      <c r="DJ575" s="49"/>
      <c r="DK575" s="49"/>
      <c r="DL575" s="49"/>
      <c r="DM575" s="49"/>
      <c r="DN575" s="49"/>
      <c r="DO575" s="49"/>
      <c r="DP575" s="49"/>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c r="IW575"/>
      <c r="IX575"/>
      <c r="IY575"/>
      <c r="IZ575"/>
      <c r="JA575"/>
      <c r="JB575"/>
      <c r="JC575"/>
      <c r="JD575"/>
      <c r="JE575"/>
      <c r="JF575"/>
      <c r="JG575"/>
      <c r="JH575"/>
      <c r="JI575"/>
      <c r="JJ575"/>
      <c r="JK575"/>
      <c r="JL575"/>
      <c r="JM575"/>
      <c r="JN575"/>
      <c r="JO575"/>
      <c r="JP575"/>
      <c r="JQ575"/>
      <c r="JR575"/>
      <c r="JS575"/>
      <c r="JT575"/>
      <c r="JU575"/>
      <c r="JV575"/>
      <c r="JW575"/>
      <c r="JX575"/>
      <c r="JY575"/>
      <c r="JZ575"/>
      <c r="KA575"/>
      <c r="KB575"/>
      <c r="KC575"/>
      <c r="KD575"/>
      <c r="KE575"/>
      <c r="KF575"/>
      <c r="KG575"/>
      <c r="KH575"/>
      <c r="KI575"/>
      <c r="KJ575"/>
      <c r="KK575"/>
      <c r="KL575"/>
      <c r="KM575"/>
      <c r="KN575"/>
      <c r="KO575"/>
      <c r="KP575"/>
      <c r="KQ575"/>
      <c r="KR575"/>
      <c r="KS575"/>
      <c r="KT575"/>
      <c r="KU575"/>
      <c r="KV575"/>
      <c r="KW575"/>
      <c r="KX575"/>
      <c r="KY575"/>
      <c r="KZ575"/>
      <c r="LA575"/>
      <c r="LB575"/>
      <c r="LC575"/>
      <c r="LD575"/>
      <c r="LE575"/>
      <c r="LF575"/>
      <c r="LG575"/>
      <c r="LH575"/>
      <c r="LI575"/>
      <c r="LJ575"/>
      <c r="LK575"/>
      <c r="LL575"/>
      <c r="LM575"/>
      <c r="LN575"/>
      <c r="LO575"/>
      <c r="LP575"/>
      <c r="LQ575"/>
      <c r="LR575"/>
      <c r="LS575"/>
      <c r="LT575"/>
      <c r="LU575"/>
      <c r="LV575"/>
      <c r="LW575"/>
      <c r="LX575"/>
      <c r="LY575"/>
      <c r="LZ575"/>
      <c r="MA575"/>
      <c r="MB575"/>
      <c r="MC575"/>
      <c r="MD575"/>
      <c r="ME575"/>
      <c r="MF575"/>
      <c r="MG575"/>
      <c r="MH575"/>
      <c r="MI575"/>
      <c r="MJ575"/>
      <c r="MK575"/>
      <c r="ML575"/>
      <c r="MM575"/>
      <c r="MN575"/>
      <c r="MO575"/>
      <c r="MP575"/>
      <c r="MQ575"/>
      <c r="MR575"/>
      <c r="MS575"/>
      <c r="MT575"/>
      <c r="MU575"/>
      <c r="MV575"/>
      <c r="MW575"/>
      <c r="MX575"/>
      <c r="MY575"/>
      <c r="MZ575"/>
      <c r="NA575"/>
      <c r="NB575"/>
      <c r="NC575"/>
      <c r="ND575"/>
      <c r="NE575"/>
      <c r="NF575"/>
      <c r="NG575"/>
      <c r="NH575"/>
      <c r="NI575"/>
      <c r="NJ575"/>
      <c r="NK575"/>
      <c r="NL575"/>
      <c r="NM575"/>
      <c r="NN575"/>
      <c r="NO575"/>
      <c r="NP575"/>
      <c r="NQ575"/>
      <c r="NR575"/>
      <c r="NS575"/>
      <c r="NT575"/>
      <c r="NU575"/>
      <c r="NV575"/>
      <c r="NW575"/>
      <c r="NX575"/>
      <c r="NY575"/>
      <c r="NZ575"/>
      <c r="OA575"/>
      <c r="OB575"/>
      <c r="OC575"/>
      <c r="OD575"/>
      <c r="OE575"/>
      <c r="OF575"/>
      <c r="OG575"/>
      <c r="OH575"/>
      <c r="OI575"/>
      <c r="OJ575"/>
      <c r="OK575"/>
      <c r="OL575"/>
      <c r="OM575"/>
      <c r="ON575"/>
      <c r="OO575"/>
      <c r="OP575"/>
      <c r="OQ575"/>
      <c r="OR575"/>
      <c r="OS575"/>
      <c r="OT575"/>
      <c r="OU575"/>
      <c r="OV575"/>
      <c r="OW575"/>
      <c r="OX575"/>
      <c r="OY575"/>
      <c r="OZ575"/>
      <c r="PA575"/>
      <c r="PB575"/>
      <c r="PC575"/>
      <c r="PD575"/>
      <c r="PE575"/>
      <c r="PF575"/>
      <c r="PG575"/>
      <c r="PH575"/>
      <c r="PI575"/>
      <c r="PJ575"/>
      <c r="PK575"/>
      <c r="PL575"/>
      <c r="PM575"/>
      <c r="PN575"/>
      <c r="PO575"/>
      <c r="PP575"/>
      <c r="PQ575"/>
      <c r="PR575"/>
      <c r="PS575"/>
      <c r="PT575"/>
      <c r="PU575"/>
      <c r="PV575"/>
      <c r="PW575"/>
      <c r="PX575"/>
      <c r="PY575"/>
      <c r="PZ575"/>
      <c r="QA575"/>
      <c r="QB575"/>
      <c r="QC575"/>
      <c r="QD575"/>
      <c r="QE575"/>
      <c r="QF575"/>
      <c r="QG575"/>
      <c r="QH575"/>
      <c r="QI575"/>
      <c r="QJ575"/>
      <c r="QK575"/>
      <c r="QL575"/>
      <c r="QM575"/>
      <c r="QN575"/>
      <c r="QO575"/>
      <c r="QP575"/>
      <c r="QQ575"/>
      <c r="QR575"/>
      <c r="QS575"/>
      <c r="QT575"/>
      <c r="QU575"/>
      <c r="QV575"/>
      <c r="QW575"/>
      <c r="QX575"/>
      <c r="QY575"/>
      <c r="QZ575"/>
      <c r="RA575"/>
      <c r="RB575"/>
      <c r="RC575"/>
      <c r="RD575"/>
      <c r="RE575"/>
      <c r="RF575"/>
      <c r="RG575"/>
      <c r="RH575"/>
      <c r="RI575"/>
      <c r="RJ575"/>
      <c r="RK575"/>
      <c r="RL575"/>
      <c r="RM575"/>
      <c r="RN575"/>
      <c r="RO575"/>
      <c r="RP575"/>
      <c r="RQ575"/>
      <c r="RR575"/>
      <c r="RS575"/>
      <c r="RT575"/>
      <c r="RU575"/>
      <c r="RV575"/>
      <c r="RW575"/>
      <c r="RX575"/>
      <c r="RY575"/>
      <c r="RZ575"/>
      <c r="SA575"/>
      <c r="SB575"/>
      <c r="SC575"/>
      <c r="SD575"/>
      <c r="SE575"/>
      <c r="SF575"/>
      <c r="SG575"/>
      <c r="SH575"/>
      <c r="SI575"/>
      <c r="SJ575"/>
      <c r="SK575"/>
      <c r="SL575"/>
      <c r="SM575"/>
      <c r="SN575"/>
      <c r="SO575"/>
      <c r="SP575"/>
      <c r="SQ575"/>
      <c r="SR575"/>
      <c r="SS575"/>
      <c r="ST575"/>
      <c r="SU575"/>
      <c r="SV575"/>
      <c r="SW575"/>
      <c r="SX575"/>
      <c r="SY575"/>
      <c r="SZ575"/>
      <c r="TA575"/>
      <c r="TB575"/>
      <c r="TC575"/>
      <c r="TD575"/>
      <c r="TE575"/>
      <c r="TF575"/>
      <c r="TG575"/>
      <c r="TH575"/>
      <c r="TI575"/>
      <c r="TJ575"/>
      <c r="TK575"/>
      <c r="TL575"/>
      <c r="TM575"/>
      <c r="TN575"/>
      <c r="TO575"/>
      <c r="TP575"/>
      <c r="TQ575"/>
      <c r="TR575"/>
      <c r="TS575"/>
      <c r="TT575"/>
      <c r="TU575"/>
      <c r="TV575"/>
      <c r="TW575"/>
      <c r="TX575"/>
      <c r="TY575"/>
      <c r="TZ575"/>
      <c r="UA575"/>
      <c r="UB575"/>
      <c r="UC575"/>
      <c r="UD575"/>
      <c r="UE575"/>
      <c r="UF575"/>
      <c r="UG575"/>
      <c r="UH575"/>
      <c r="UI575"/>
      <c r="UJ575"/>
      <c r="UK575"/>
      <c r="UL575"/>
      <c r="UM575"/>
      <c r="UN575"/>
      <c r="UO575"/>
      <c r="UP575"/>
      <c r="UQ575"/>
      <c r="UR575"/>
      <c r="US575"/>
      <c r="UT575"/>
      <c r="UU575"/>
      <c r="UV575"/>
      <c r="UW575"/>
      <c r="UX575"/>
      <c r="UY575"/>
      <c r="UZ575"/>
      <c r="VA575"/>
      <c r="VB575"/>
      <c r="VC575"/>
      <c r="VD575"/>
      <c r="VE575"/>
      <c r="VF575"/>
      <c r="VG575"/>
      <c r="VH575"/>
      <c r="VI575"/>
      <c r="VJ575"/>
      <c r="VK575"/>
      <c r="VL575"/>
      <c r="VM575"/>
      <c r="VN575"/>
      <c r="VO575"/>
      <c r="VP575"/>
      <c r="VQ575"/>
      <c r="VR575"/>
      <c r="VS575"/>
      <c r="VT575"/>
      <c r="VU575"/>
      <c r="VV575"/>
      <c r="VW575"/>
      <c r="VX575"/>
      <c r="VY575"/>
      <c r="VZ575"/>
      <c r="WA575"/>
      <c r="WB575"/>
      <c r="WC575"/>
      <c r="WD575"/>
      <c r="WE575"/>
      <c r="WF575"/>
      <c r="WG575"/>
      <c r="WH575"/>
      <c r="WI575"/>
      <c r="WJ575"/>
      <c r="WK575"/>
      <c r="WL575"/>
      <c r="WM575"/>
      <c r="WN575"/>
      <c r="WO575"/>
      <c r="WP575"/>
      <c r="WQ575"/>
      <c r="WR575"/>
      <c r="WS575"/>
      <c r="WT575"/>
      <c r="WU575"/>
      <c r="WV575"/>
      <c r="WW575"/>
      <c r="WX575"/>
      <c r="WY575"/>
      <c r="WZ575"/>
      <c r="XA575"/>
      <c r="XB575"/>
      <c r="XC575"/>
      <c r="XD575"/>
      <c r="XE575"/>
      <c r="XF575"/>
      <c r="XG575"/>
      <c r="XH575"/>
      <c r="XI575"/>
      <c r="XJ575"/>
      <c r="XK575"/>
      <c r="XL575"/>
      <c r="XM575"/>
      <c r="XN575"/>
      <c r="XO575"/>
      <c r="XP575"/>
      <c r="XQ575"/>
      <c r="XR575"/>
      <c r="XS575"/>
      <c r="XT575"/>
      <c r="XU575"/>
      <c r="XV575"/>
      <c r="XW575"/>
      <c r="XX575"/>
      <c r="XY575"/>
      <c r="XZ575"/>
      <c r="YA575"/>
      <c r="YB575"/>
      <c r="YC575"/>
      <c r="YD575"/>
      <c r="YE575"/>
      <c r="YF575"/>
      <c r="YG575"/>
      <c r="YH575"/>
      <c r="YI575"/>
      <c r="YJ575"/>
      <c r="YK575"/>
      <c r="YL575"/>
      <c r="YM575"/>
      <c r="YN575"/>
      <c r="YO575"/>
      <c r="YP575"/>
      <c r="YQ575"/>
      <c r="YR575"/>
      <c r="YS575"/>
      <c r="YT575"/>
      <c r="YU575"/>
      <c r="YV575"/>
      <c r="YW575"/>
      <c r="YX575"/>
      <c r="YY575"/>
      <c r="YZ575"/>
      <c r="ZA575"/>
      <c r="ZB575"/>
      <c r="ZC575"/>
      <c r="ZD575"/>
      <c r="ZE575"/>
      <c r="ZF575"/>
      <c r="ZG575"/>
      <c r="ZH575"/>
      <c r="ZI575"/>
      <c r="ZJ575"/>
      <c r="ZK575"/>
      <c r="ZL575"/>
      <c r="ZM575"/>
      <c r="ZN575"/>
      <c r="ZO575"/>
      <c r="ZP575"/>
      <c r="ZQ575"/>
      <c r="ZR575"/>
      <c r="ZS575"/>
      <c r="ZT575"/>
      <c r="ZU575"/>
      <c r="ZV575"/>
      <c r="ZW575"/>
      <c r="ZX575"/>
      <c r="ZY575"/>
      <c r="ZZ575" s="52"/>
      <c r="AAA575" s="192"/>
      <c r="AAD575" s="90"/>
      <c r="AAE575" s="519">
        <f>IF(AND(S.Notice.Involved="Y",S.Hearing.1stInvolve="Y",S.Hearing.3rdInvolve="Y"),1,0)</f>
        <v>0</v>
      </c>
      <c r="AAF575" s="190" t="s">
        <v>52</v>
      </c>
      <c r="AAG575" s="72"/>
      <c r="AAH575" s="71"/>
      <c r="AAI575" s="71"/>
      <c r="AAJ575" s="56"/>
      <c r="AAK575" s="71" t="s">
        <v>0</v>
      </c>
      <c r="AAL575" s="90"/>
    </row>
    <row r="576" spans="1:715" ht="15" customHeight="1" outlineLevel="2">
      <c r="A576" s="171"/>
      <c r="B576" s="370" t="str">
        <f t="shared" si="466"/>
        <v>4. Enter city name hearing</v>
      </c>
      <c r="C576" s="376" t="s">
        <v>0</v>
      </c>
      <c r="D576"/>
      <c r="E576"/>
      <c r="F576" s="457">
        <f t="shared" ca="1" si="462"/>
        <v>0</v>
      </c>
      <c r="G576"/>
      <c r="H576" s="424">
        <f t="shared" si="467"/>
        <v>0</v>
      </c>
      <c r="I576" s="244"/>
      <c r="J576" s="194"/>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9"/>
      <c r="CD576" s="49"/>
      <c r="CE576" s="49"/>
      <c r="CF576" s="49"/>
      <c r="CG576" s="49"/>
      <c r="CH576" s="49"/>
      <c r="CI576" s="49"/>
      <c r="CJ576" s="49"/>
      <c r="CK576" s="49"/>
      <c r="CL576" s="49"/>
      <c r="CM576" s="49"/>
      <c r="CN576" s="49"/>
      <c r="CO576" s="49"/>
      <c r="CP576" s="49"/>
      <c r="CQ576" s="49"/>
      <c r="CR576" s="49"/>
      <c r="CS576" s="49"/>
      <c r="CT576" s="49"/>
      <c r="CU576" s="49"/>
      <c r="CV576" s="49"/>
      <c r="CW576" s="49"/>
      <c r="CX576" s="49"/>
      <c r="CY576" s="49"/>
      <c r="CZ576" s="49"/>
      <c r="DA576" s="49"/>
      <c r="DB576" s="49"/>
      <c r="DC576" s="49"/>
      <c r="DD576" s="49"/>
      <c r="DE576" s="49"/>
      <c r="DF576" s="49"/>
      <c r="DG576" s="49"/>
      <c r="DH576" s="49"/>
      <c r="DI576" s="49"/>
      <c r="DJ576" s="49"/>
      <c r="DK576" s="49"/>
      <c r="DL576" s="49"/>
      <c r="DM576" s="49"/>
      <c r="DN576" s="49"/>
      <c r="DO576" s="49"/>
      <c r="DP576" s="49"/>
      <c r="AAA576" s="192"/>
      <c r="AAD576" s="90"/>
      <c r="AAE576" s="519">
        <f>IF(AND(S.Notice.Involved="Y",S.Hearing.1stInvolve="Y",S.Hearing.4thInvolve="Y"),1,0)</f>
        <v>0</v>
      </c>
      <c r="AAF576" s="90"/>
      <c r="AAG576" s="72"/>
      <c r="AAH576" s="73">
        <f>IF(S.Hearing.2ndInvolve="N",,S.Hearing.4thDate)</f>
        <v>0</v>
      </c>
      <c r="AAI576" s="72"/>
      <c r="AAJ576" s="72"/>
      <c r="AAK576" s="80" t="str">
        <f>"4. "&amp;S.Hearing.4thCity&amp;" hearing"</f>
        <v>4. Enter city name hearing</v>
      </c>
      <c r="AAL576" s="90"/>
      <c r="AAM576"/>
    </row>
    <row r="577" spans="1:715" s="23" customFormat="1" ht="15.75" customHeight="1" outlineLevel="2">
      <c r="A577" s="171"/>
      <c r="B577" s="719" t="s">
        <v>403</v>
      </c>
      <c r="C577" s="362"/>
      <c r="D577"/>
      <c r="E577"/>
      <c r="F577" s="350"/>
      <c r="G577"/>
      <c r="H577" s="346"/>
      <c r="I577" s="244"/>
      <c r="J577" s="194"/>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9"/>
      <c r="CD577" s="49"/>
      <c r="CE577" s="49"/>
      <c r="CF577" s="49"/>
      <c r="CG577" s="49"/>
      <c r="CH577" s="49"/>
      <c r="CI577" s="49"/>
      <c r="CJ577" s="49"/>
      <c r="CK577" s="49"/>
      <c r="CL577" s="49"/>
      <c r="CM577" s="49"/>
      <c r="CN577" s="49"/>
      <c r="CO577" s="49"/>
      <c r="CP577" s="49"/>
      <c r="CQ577" s="49"/>
      <c r="CR577" s="49"/>
      <c r="CS577" s="49"/>
      <c r="CT577" s="49"/>
      <c r="CU577" s="49"/>
      <c r="CV577" s="49"/>
      <c r="CW577" s="49"/>
      <c r="CX577" s="49"/>
      <c r="CY577" s="49"/>
      <c r="CZ577" s="49"/>
      <c r="DA577" s="49"/>
      <c r="DB577" s="49"/>
      <c r="DC577" s="49"/>
      <c r="DD577" s="49"/>
      <c r="DE577" s="49"/>
      <c r="DF577" s="49"/>
      <c r="DG577" s="49"/>
      <c r="DH577" s="49"/>
      <c r="DI577" s="49"/>
      <c r="DJ577" s="49"/>
      <c r="DK577" s="49"/>
      <c r="DL577" s="49"/>
      <c r="DM577" s="49"/>
      <c r="DN577" s="49"/>
      <c r="DO577" s="49"/>
      <c r="DP577" s="49"/>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c r="IW577"/>
      <c r="IX577"/>
      <c r="IY577"/>
      <c r="IZ577"/>
      <c r="JA577"/>
      <c r="JB577"/>
      <c r="JC577"/>
      <c r="JD577"/>
      <c r="JE577"/>
      <c r="JF577"/>
      <c r="JG577"/>
      <c r="JH577"/>
      <c r="JI577"/>
      <c r="JJ577"/>
      <c r="JK577"/>
      <c r="JL577"/>
      <c r="JM577"/>
      <c r="JN577"/>
      <c r="JO577"/>
      <c r="JP577"/>
      <c r="JQ577"/>
      <c r="JR577"/>
      <c r="JS577"/>
      <c r="JT577"/>
      <c r="JU577"/>
      <c r="JV577"/>
      <c r="JW577"/>
      <c r="JX577"/>
      <c r="JY577"/>
      <c r="JZ577"/>
      <c r="KA577"/>
      <c r="KB577"/>
      <c r="KC577"/>
      <c r="KD577"/>
      <c r="KE577"/>
      <c r="KF577"/>
      <c r="KG577"/>
      <c r="KH577"/>
      <c r="KI577"/>
      <c r="KJ577"/>
      <c r="KK577"/>
      <c r="KL577"/>
      <c r="KM577"/>
      <c r="KN577"/>
      <c r="KO577"/>
      <c r="KP577"/>
      <c r="KQ577"/>
      <c r="KR577"/>
      <c r="KS577"/>
      <c r="KT577"/>
      <c r="KU577"/>
      <c r="KV577"/>
      <c r="KW577"/>
      <c r="KX577"/>
      <c r="KY577"/>
      <c r="KZ577"/>
      <c r="LA577"/>
      <c r="LB577"/>
      <c r="LC577"/>
      <c r="LD577"/>
      <c r="LE577"/>
      <c r="LF577"/>
      <c r="LG577"/>
      <c r="LH577"/>
      <c r="LI577"/>
      <c r="LJ577"/>
      <c r="LK577"/>
      <c r="LL577"/>
      <c r="LM577"/>
      <c r="LN577"/>
      <c r="LO577"/>
      <c r="LP577"/>
      <c r="LQ577"/>
      <c r="LR577"/>
      <c r="LS577"/>
      <c r="LT577"/>
      <c r="LU577"/>
      <c r="LV577"/>
      <c r="LW577"/>
      <c r="LX577"/>
      <c r="LY577"/>
      <c r="LZ577"/>
      <c r="MA577"/>
      <c r="MB577"/>
      <c r="MC577"/>
      <c r="MD577"/>
      <c r="ME577"/>
      <c r="MF577"/>
      <c r="MG577"/>
      <c r="MH577"/>
      <c r="MI577"/>
      <c r="MJ577"/>
      <c r="MK577"/>
      <c r="ML577"/>
      <c r="MM577"/>
      <c r="MN577"/>
      <c r="MO577"/>
      <c r="MP577"/>
      <c r="MQ577"/>
      <c r="MR577"/>
      <c r="MS577"/>
      <c r="MT577"/>
      <c r="MU577"/>
      <c r="MV577"/>
      <c r="MW577"/>
      <c r="MX577"/>
      <c r="MY577"/>
      <c r="MZ577"/>
      <c r="NA577"/>
      <c r="NB577"/>
      <c r="NC577"/>
      <c r="ND577"/>
      <c r="NE577"/>
      <c r="NF577"/>
      <c r="NG577"/>
      <c r="NH577"/>
      <c r="NI577"/>
      <c r="NJ577"/>
      <c r="NK577"/>
      <c r="NL577"/>
      <c r="NM577"/>
      <c r="NN577"/>
      <c r="NO577"/>
      <c r="NP577"/>
      <c r="NQ577"/>
      <c r="NR577"/>
      <c r="NS577"/>
      <c r="NT577"/>
      <c r="NU577"/>
      <c r="NV577"/>
      <c r="NW577"/>
      <c r="NX577"/>
      <c r="NY577"/>
      <c r="NZ577"/>
      <c r="OA577"/>
      <c r="OB577"/>
      <c r="OC577"/>
      <c r="OD577"/>
      <c r="OE577"/>
      <c r="OF577"/>
      <c r="OG577"/>
      <c r="OH577"/>
      <c r="OI577"/>
      <c r="OJ577"/>
      <c r="OK577"/>
      <c r="OL577"/>
      <c r="OM577"/>
      <c r="ON577"/>
      <c r="OO577"/>
      <c r="OP577"/>
      <c r="OQ577"/>
      <c r="OR577"/>
      <c r="OS577"/>
      <c r="OT577"/>
      <c r="OU577"/>
      <c r="OV577"/>
      <c r="OW577"/>
      <c r="OX577"/>
      <c r="OY577"/>
      <c r="OZ577"/>
      <c r="PA577"/>
      <c r="PB577"/>
      <c r="PC577"/>
      <c r="PD577"/>
      <c r="PE577"/>
      <c r="PF577"/>
      <c r="PG577"/>
      <c r="PH577"/>
      <c r="PI577"/>
      <c r="PJ577"/>
      <c r="PK577"/>
      <c r="PL577"/>
      <c r="PM577"/>
      <c r="PN577"/>
      <c r="PO577"/>
      <c r="PP577"/>
      <c r="PQ577"/>
      <c r="PR577"/>
      <c r="PS577"/>
      <c r="PT577"/>
      <c r="PU577"/>
      <c r="PV577"/>
      <c r="PW577"/>
      <c r="PX577"/>
      <c r="PY577"/>
      <c r="PZ577"/>
      <c r="QA577"/>
      <c r="QB577"/>
      <c r="QC577"/>
      <c r="QD577"/>
      <c r="QE577"/>
      <c r="QF577"/>
      <c r="QG577"/>
      <c r="QH577"/>
      <c r="QI577"/>
      <c r="QJ577"/>
      <c r="QK577"/>
      <c r="QL577"/>
      <c r="QM577"/>
      <c r="QN577"/>
      <c r="QO577"/>
      <c r="QP577"/>
      <c r="QQ577"/>
      <c r="QR577"/>
      <c r="QS577"/>
      <c r="QT577"/>
      <c r="QU577"/>
      <c r="QV577"/>
      <c r="QW577"/>
      <c r="QX577"/>
      <c r="QY577"/>
      <c r="QZ577"/>
      <c r="RA577"/>
      <c r="RB577"/>
      <c r="RC577"/>
      <c r="RD577"/>
      <c r="RE577"/>
      <c r="RF577"/>
      <c r="RG577"/>
      <c r="RH577"/>
      <c r="RI577"/>
      <c r="RJ577"/>
      <c r="RK577"/>
      <c r="RL577"/>
      <c r="RM577"/>
      <c r="RN577"/>
      <c r="RO577"/>
      <c r="RP577"/>
      <c r="RQ577"/>
      <c r="RR577"/>
      <c r="RS577"/>
      <c r="RT577"/>
      <c r="RU577"/>
      <c r="RV577"/>
      <c r="RW577"/>
      <c r="RX577"/>
      <c r="RY577"/>
      <c r="RZ577"/>
      <c r="SA577"/>
      <c r="SB577"/>
      <c r="SC577"/>
      <c r="SD577"/>
      <c r="SE577"/>
      <c r="SF577"/>
      <c r="SG577"/>
      <c r="SH577"/>
      <c r="SI577"/>
      <c r="SJ577"/>
      <c r="SK577"/>
      <c r="SL577"/>
      <c r="SM577"/>
      <c r="SN577"/>
      <c r="SO577"/>
      <c r="SP577"/>
      <c r="SQ577"/>
      <c r="SR577"/>
      <c r="SS577"/>
      <c r="ST577"/>
      <c r="SU577"/>
      <c r="SV577"/>
      <c r="SW577"/>
      <c r="SX577"/>
      <c r="SY577"/>
      <c r="SZ577"/>
      <c r="TA577"/>
      <c r="TB577"/>
      <c r="TC577"/>
      <c r="TD577"/>
      <c r="TE577"/>
      <c r="TF577"/>
      <c r="TG577"/>
      <c r="TH577"/>
      <c r="TI577"/>
      <c r="TJ577"/>
      <c r="TK577"/>
      <c r="TL577"/>
      <c r="TM577"/>
      <c r="TN577"/>
      <c r="TO577"/>
      <c r="TP577"/>
      <c r="TQ577"/>
      <c r="TR577"/>
      <c r="TS577"/>
      <c r="TT577"/>
      <c r="TU577"/>
      <c r="TV577"/>
      <c r="TW577"/>
      <c r="TX577"/>
      <c r="TY577"/>
      <c r="TZ577"/>
      <c r="UA577"/>
      <c r="UB577"/>
      <c r="UC577"/>
      <c r="UD577"/>
      <c r="UE577"/>
      <c r="UF577"/>
      <c r="UG577"/>
      <c r="UH577"/>
      <c r="UI577"/>
      <c r="UJ577"/>
      <c r="UK577"/>
      <c r="UL577"/>
      <c r="UM577"/>
      <c r="UN577"/>
      <c r="UO577"/>
      <c r="UP577"/>
      <c r="UQ577"/>
      <c r="UR577"/>
      <c r="US577"/>
      <c r="UT577"/>
      <c r="UU577"/>
      <c r="UV577"/>
      <c r="UW577"/>
      <c r="UX577"/>
      <c r="UY577"/>
      <c r="UZ577"/>
      <c r="VA577"/>
      <c r="VB577"/>
      <c r="VC577"/>
      <c r="VD577"/>
      <c r="VE577"/>
      <c r="VF577"/>
      <c r="VG577"/>
      <c r="VH577"/>
      <c r="VI577"/>
      <c r="VJ577"/>
      <c r="VK577"/>
      <c r="VL577"/>
      <c r="VM577"/>
      <c r="VN577"/>
      <c r="VO577"/>
      <c r="VP577"/>
      <c r="VQ577"/>
      <c r="VR577"/>
      <c r="VS577"/>
      <c r="VT577"/>
      <c r="VU577"/>
      <c r="VV577"/>
      <c r="VW577"/>
      <c r="VX577"/>
      <c r="VY577"/>
      <c r="VZ577"/>
      <c r="WA577"/>
      <c r="WB577"/>
      <c r="WC577"/>
      <c r="WD577"/>
      <c r="WE577"/>
      <c r="WF577"/>
      <c r="WG577"/>
      <c r="WH577"/>
      <c r="WI577"/>
      <c r="WJ577"/>
      <c r="WK577"/>
      <c r="WL577"/>
      <c r="WM577"/>
      <c r="WN577"/>
      <c r="WO577"/>
      <c r="WP577"/>
      <c r="WQ577"/>
      <c r="WR577"/>
      <c r="WS577"/>
      <c r="WT577"/>
      <c r="WU577"/>
      <c r="WV577"/>
      <c r="WW577"/>
      <c r="WX577"/>
      <c r="WY577"/>
      <c r="WZ577"/>
      <c r="XA577"/>
      <c r="XB577"/>
      <c r="XC577"/>
      <c r="XD577"/>
      <c r="XE577"/>
      <c r="XF577"/>
      <c r="XG577"/>
      <c r="XH577"/>
      <c r="XI577"/>
      <c r="XJ577"/>
      <c r="XK577"/>
      <c r="XL577"/>
      <c r="XM577"/>
      <c r="XN577"/>
      <c r="XO577"/>
      <c r="XP577"/>
      <c r="XQ577"/>
      <c r="XR577"/>
      <c r="XS577"/>
      <c r="XT577"/>
      <c r="XU577"/>
      <c r="XV577"/>
      <c r="XW577"/>
      <c r="XX577"/>
      <c r="XY577"/>
      <c r="XZ577"/>
      <c r="YA577"/>
      <c r="YB577"/>
      <c r="YC577"/>
      <c r="YD577"/>
      <c r="YE577"/>
      <c r="YF577"/>
      <c r="YG577"/>
      <c r="YH577"/>
      <c r="YI577"/>
      <c r="YJ577"/>
      <c r="YK577"/>
      <c r="YL577"/>
      <c r="YM577"/>
      <c r="YN577"/>
      <c r="YO577"/>
      <c r="YP577"/>
      <c r="YQ577"/>
      <c r="YR577"/>
      <c r="YS577"/>
      <c r="YT577"/>
      <c r="YU577"/>
      <c r="YV577"/>
      <c r="YW577"/>
      <c r="YX577"/>
      <c r="YY577"/>
      <c r="YZ577"/>
      <c r="ZA577"/>
      <c r="ZB577"/>
      <c r="ZC577"/>
      <c r="ZD577"/>
      <c r="ZE577"/>
      <c r="ZF577"/>
      <c r="ZG577"/>
      <c r="ZH577"/>
      <c r="ZI577"/>
      <c r="ZJ577"/>
      <c r="ZK577"/>
      <c r="ZL577"/>
      <c r="ZM577"/>
      <c r="ZN577"/>
      <c r="ZO577"/>
      <c r="ZP577"/>
      <c r="ZQ577"/>
      <c r="ZR577"/>
      <c r="ZS577"/>
      <c r="ZT577"/>
      <c r="ZU577"/>
      <c r="ZV577"/>
      <c r="ZW577"/>
      <c r="ZX577"/>
      <c r="ZY577"/>
      <c r="ZZ577" s="52"/>
      <c r="AAA577" s="192"/>
      <c r="AAD577" s="90"/>
      <c r="AAE577" s="519">
        <f>IF(AND(S.Notice.Involved="Y",S.Hearing.1stInvolve="Y",S.Hearing.4thInvolve="Y"),1,0)</f>
        <v>0</v>
      </c>
      <c r="AAF577" s="190" t="s">
        <v>52</v>
      </c>
      <c r="AAG577" s="72"/>
      <c r="AAH577" s="71"/>
      <c r="AAI577" s="71"/>
      <c r="AAJ577" s="56"/>
      <c r="AAK577" s="71" t="s">
        <v>0</v>
      </c>
      <c r="AAL577" s="90"/>
    </row>
    <row r="578" spans="1:715" ht="15" customHeight="1" outlineLevel="2">
      <c r="A578" s="171"/>
      <c r="B578" s="370" t="str">
        <f t="shared" si="466"/>
        <v>5. Enter city name hearing</v>
      </c>
      <c r="C578" s="376" t="s">
        <v>0</v>
      </c>
      <c r="D578"/>
      <c r="E578"/>
      <c r="F578" s="457">
        <f t="shared" ca="1" si="462"/>
        <v>0</v>
      </c>
      <c r="G578"/>
      <c r="H578" s="424">
        <f t="shared" si="467"/>
        <v>0</v>
      </c>
      <c r="I578" s="244"/>
      <c r="J578" s="194"/>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9"/>
      <c r="CD578" s="49"/>
      <c r="CE578" s="49"/>
      <c r="CF578" s="49"/>
      <c r="CG578" s="49"/>
      <c r="CH578" s="49"/>
      <c r="CI578" s="49"/>
      <c r="CJ578" s="49"/>
      <c r="CK578" s="49"/>
      <c r="CL578" s="49"/>
      <c r="CM578" s="49"/>
      <c r="CN578" s="49"/>
      <c r="CO578" s="49"/>
      <c r="CP578" s="49"/>
      <c r="CQ578" s="49"/>
      <c r="CR578" s="49"/>
      <c r="CS578" s="49"/>
      <c r="CT578" s="49"/>
      <c r="CU578" s="49"/>
      <c r="CV578" s="49"/>
      <c r="CW578" s="49"/>
      <c r="CX578" s="49"/>
      <c r="CY578" s="49"/>
      <c r="CZ578" s="49"/>
      <c r="DA578" s="49"/>
      <c r="DB578" s="49"/>
      <c r="DC578" s="49"/>
      <c r="DD578" s="49"/>
      <c r="DE578" s="49"/>
      <c r="DF578" s="49"/>
      <c r="DG578" s="49"/>
      <c r="DH578" s="49"/>
      <c r="DI578" s="49"/>
      <c r="DJ578" s="49"/>
      <c r="DK578" s="49"/>
      <c r="DL578" s="49"/>
      <c r="DM578" s="49"/>
      <c r="DN578" s="49"/>
      <c r="DO578" s="49"/>
      <c r="DP578" s="49"/>
      <c r="AAA578" s="192"/>
      <c r="AAD578" s="90"/>
      <c r="AAE578" s="519">
        <f>IF(AND(S.Notice.Involved="Y",S.Hearing.1stInvolve="Y",S.Hearing.5thInvolve="Y"),1,0)</f>
        <v>0</v>
      </c>
      <c r="AAF578" s="90"/>
      <c r="AAG578" s="72"/>
      <c r="AAH578" s="73">
        <f>IF(S.Hearing.2ndInvolve="N",,S.Hearing.5thDate)</f>
        <v>0</v>
      </c>
      <c r="AAI578" s="72"/>
      <c r="AAJ578" s="72"/>
      <c r="AAK578" s="80" t="str">
        <f>"5. "&amp;S.Hearing.5thCity&amp;" hearing"</f>
        <v>5. Enter city name hearing</v>
      </c>
      <c r="AAL578" s="90"/>
      <c r="AAM578"/>
    </row>
    <row r="579" spans="1:715" s="23" customFormat="1" ht="15.75" customHeight="1" outlineLevel="2">
      <c r="A579" s="171"/>
      <c r="B579" s="719" t="s">
        <v>404</v>
      </c>
      <c r="C579" s="362"/>
      <c r="D579"/>
      <c r="E579"/>
      <c r="F579" s="350"/>
      <c r="G579"/>
      <c r="H579" s="346"/>
      <c r="I579" s="244"/>
      <c r="J579" s="194"/>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9"/>
      <c r="CD579" s="49"/>
      <c r="CE579" s="49"/>
      <c r="CF579" s="49"/>
      <c r="CG579" s="49"/>
      <c r="CH579" s="49"/>
      <c r="CI579" s="49"/>
      <c r="CJ579" s="49"/>
      <c r="CK579" s="49"/>
      <c r="CL579" s="49"/>
      <c r="CM579" s="49"/>
      <c r="CN579" s="49"/>
      <c r="CO579" s="49"/>
      <c r="CP579" s="49"/>
      <c r="CQ579" s="49"/>
      <c r="CR579" s="49"/>
      <c r="CS579" s="49"/>
      <c r="CT579" s="49"/>
      <c r="CU579" s="49"/>
      <c r="CV579" s="49"/>
      <c r="CW579" s="49"/>
      <c r="CX579" s="49"/>
      <c r="CY579" s="49"/>
      <c r="CZ579" s="49"/>
      <c r="DA579" s="49"/>
      <c r="DB579" s="49"/>
      <c r="DC579" s="49"/>
      <c r="DD579" s="49"/>
      <c r="DE579" s="49"/>
      <c r="DF579" s="49"/>
      <c r="DG579" s="49"/>
      <c r="DH579" s="49"/>
      <c r="DI579" s="49"/>
      <c r="DJ579" s="49"/>
      <c r="DK579" s="49"/>
      <c r="DL579" s="49"/>
      <c r="DM579" s="49"/>
      <c r="DN579" s="49"/>
      <c r="DO579" s="49"/>
      <c r="DP579" s="4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c r="IW579"/>
      <c r="IX579"/>
      <c r="IY579"/>
      <c r="IZ579"/>
      <c r="JA579"/>
      <c r="JB579"/>
      <c r="JC579"/>
      <c r="JD579"/>
      <c r="JE579"/>
      <c r="JF579"/>
      <c r="JG579"/>
      <c r="JH579"/>
      <c r="JI579"/>
      <c r="JJ579"/>
      <c r="JK579"/>
      <c r="JL579"/>
      <c r="JM579"/>
      <c r="JN579"/>
      <c r="JO579"/>
      <c r="JP579"/>
      <c r="JQ579"/>
      <c r="JR579"/>
      <c r="JS579"/>
      <c r="JT579"/>
      <c r="JU579"/>
      <c r="JV579"/>
      <c r="JW579"/>
      <c r="JX579"/>
      <c r="JY579"/>
      <c r="JZ579"/>
      <c r="KA579"/>
      <c r="KB579"/>
      <c r="KC579"/>
      <c r="KD579"/>
      <c r="KE579"/>
      <c r="KF579"/>
      <c r="KG579"/>
      <c r="KH579"/>
      <c r="KI579"/>
      <c r="KJ579"/>
      <c r="KK579"/>
      <c r="KL579"/>
      <c r="KM579"/>
      <c r="KN579"/>
      <c r="KO579"/>
      <c r="KP579"/>
      <c r="KQ579"/>
      <c r="KR579"/>
      <c r="KS579"/>
      <c r="KT579"/>
      <c r="KU579"/>
      <c r="KV579"/>
      <c r="KW579"/>
      <c r="KX579"/>
      <c r="KY579"/>
      <c r="KZ579"/>
      <c r="LA579"/>
      <c r="LB579"/>
      <c r="LC579"/>
      <c r="LD579"/>
      <c r="LE579"/>
      <c r="LF579"/>
      <c r="LG579"/>
      <c r="LH579"/>
      <c r="LI579"/>
      <c r="LJ579"/>
      <c r="LK579"/>
      <c r="LL579"/>
      <c r="LM579"/>
      <c r="LN579"/>
      <c r="LO579"/>
      <c r="LP579"/>
      <c r="LQ579"/>
      <c r="LR579"/>
      <c r="LS579"/>
      <c r="LT579"/>
      <c r="LU579"/>
      <c r="LV579"/>
      <c r="LW579"/>
      <c r="LX579"/>
      <c r="LY579"/>
      <c r="LZ579"/>
      <c r="MA579"/>
      <c r="MB579"/>
      <c r="MC579"/>
      <c r="MD579"/>
      <c r="ME579"/>
      <c r="MF579"/>
      <c r="MG579"/>
      <c r="MH579"/>
      <c r="MI579"/>
      <c r="MJ579"/>
      <c r="MK579"/>
      <c r="ML579"/>
      <c r="MM579"/>
      <c r="MN579"/>
      <c r="MO579"/>
      <c r="MP579"/>
      <c r="MQ579"/>
      <c r="MR579"/>
      <c r="MS579"/>
      <c r="MT579"/>
      <c r="MU579"/>
      <c r="MV579"/>
      <c r="MW579"/>
      <c r="MX579"/>
      <c r="MY579"/>
      <c r="MZ579"/>
      <c r="NA579"/>
      <c r="NB579"/>
      <c r="NC579"/>
      <c r="ND579"/>
      <c r="NE579"/>
      <c r="NF579"/>
      <c r="NG579"/>
      <c r="NH579"/>
      <c r="NI579"/>
      <c r="NJ579"/>
      <c r="NK579"/>
      <c r="NL579"/>
      <c r="NM579"/>
      <c r="NN579"/>
      <c r="NO579"/>
      <c r="NP579"/>
      <c r="NQ579"/>
      <c r="NR579"/>
      <c r="NS579"/>
      <c r="NT579"/>
      <c r="NU579"/>
      <c r="NV579"/>
      <c r="NW579"/>
      <c r="NX579"/>
      <c r="NY579"/>
      <c r="NZ579"/>
      <c r="OA579"/>
      <c r="OB579"/>
      <c r="OC579"/>
      <c r="OD579"/>
      <c r="OE579"/>
      <c r="OF579"/>
      <c r="OG579"/>
      <c r="OH579"/>
      <c r="OI579"/>
      <c r="OJ579"/>
      <c r="OK579"/>
      <c r="OL579"/>
      <c r="OM579"/>
      <c r="ON579"/>
      <c r="OO579"/>
      <c r="OP579"/>
      <c r="OQ579"/>
      <c r="OR579"/>
      <c r="OS579"/>
      <c r="OT579"/>
      <c r="OU579"/>
      <c r="OV579"/>
      <c r="OW579"/>
      <c r="OX579"/>
      <c r="OY579"/>
      <c r="OZ579"/>
      <c r="PA579"/>
      <c r="PB579"/>
      <c r="PC579"/>
      <c r="PD579"/>
      <c r="PE579"/>
      <c r="PF579"/>
      <c r="PG579"/>
      <c r="PH579"/>
      <c r="PI579"/>
      <c r="PJ579"/>
      <c r="PK579"/>
      <c r="PL579"/>
      <c r="PM579"/>
      <c r="PN579"/>
      <c r="PO579"/>
      <c r="PP579"/>
      <c r="PQ579"/>
      <c r="PR579"/>
      <c r="PS579"/>
      <c r="PT579"/>
      <c r="PU579"/>
      <c r="PV579"/>
      <c r="PW579"/>
      <c r="PX579"/>
      <c r="PY579"/>
      <c r="PZ579"/>
      <c r="QA579"/>
      <c r="QB579"/>
      <c r="QC579"/>
      <c r="QD579"/>
      <c r="QE579"/>
      <c r="QF579"/>
      <c r="QG579"/>
      <c r="QH579"/>
      <c r="QI579"/>
      <c r="QJ579"/>
      <c r="QK579"/>
      <c r="QL579"/>
      <c r="QM579"/>
      <c r="QN579"/>
      <c r="QO579"/>
      <c r="QP579"/>
      <c r="QQ579"/>
      <c r="QR579"/>
      <c r="QS579"/>
      <c r="QT579"/>
      <c r="QU579"/>
      <c r="QV579"/>
      <c r="QW579"/>
      <c r="QX579"/>
      <c r="QY579"/>
      <c r="QZ579"/>
      <c r="RA579"/>
      <c r="RB579"/>
      <c r="RC579"/>
      <c r="RD579"/>
      <c r="RE579"/>
      <c r="RF579"/>
      <c r="RG579"/>
      <c r="RH579"/>
      <c r="RI579"/>
      <c r="RJ579"/>
      <c r="RK579"/>
      <c r="RL579"/>
      <c r="RM579"/>
      <c r="RN579"/>
      <c r="RO579"/>
      <c r="RP579"/>
      <c r="RQ579"/>
      <c r="RR579"/>
      <c r="RS579"/>
      <c r="RT579"/>
      <c r="RU579"/>
      <c r="RV579"/>
      <c r="RW579"/>
      <c r="RX579"/>
      <c r="RY579"/>
      <c r="RZ579"/>
      <c r="SA579"/>
      <c r="SB579"/>
      <c r="SC579"/>
      <c r="SD579"/>
      <c r="SE579"/>
      <c r="SF579"/>
      <c r="SG579"/>
      <c r="SH579"/>
      <c r="SI579"/>
      <c r="SJ579"/>
      <c r="SK579"/>
      <c r="SL579"/>
      <c r="SM579"/>
      <c r="SN579"/>
      <c r="SO579"/>
      <c r="SP579"/>
      <c r="SQ579"/>
      <c r="SR579"/>
      <c r="SS579"/>
      <c r="ST579"/>
      <c r="SU579"/>
      <c r="SV579"/>
      <c r="SW579"/>
      <c r="SX579"/>
      <c r="SY579"/>
      <c r="SZ579"/>
      <c r="TA579"/>
      <c r="TB579"/>
      <c r="TC579"/>
      <c r="TD579"/>
      <c r="TE579"/>
      <c r="TF579"/>
      <c r="TG579"/>
      <c r="TH579"/>
      <c r="TI579"/>
      <c r="TJ579"/>
      <c r="TK579"/>
      <c r="TL579"/>
      <c r="TM579"/>
      <c r="TN579"/>
      <c r="TO579"/>
      <c r="TP579"/>
      <c r="TQ579"/>
      <c r="TR579"/>
      <c r="TS579"/>
      <c r="TT579"/>
      <c r="TU579"/>
      <c r="TV579"/>
      <c r="TW579"/>
      <c r="TX579"/>
      <c r="TY579"/>
      <c r="TZ579"/>
      <c r="UA579"/>
      <c r="UB579"/>
      <c r="UC579"/>
      <c r="UD579"/>
      <c r="UE579"/>
      <c r="UF579"/>
      <c r="UG579"/>
      <c r="UH579"/>
      <c r="UI579"/>
      <c r="UJ579"/>
      <c r="UK579"/>
      <c r="UL579"/>
      <c r="UM579"/>
      <c r="UN579"/>
      <c r="UO579"/>
      <c r="UP579"/>
      <c r="UQ579"/>
      <c r="UR579"/>
      <c r="US579"/>
      <c r="UT579"/>
      <c r="UU579"/>
      <c r="UV579"/>
      <c r="UW579"/>
      <c r="UX579"/>
      <c r="UY579"/>
      <c r="UZ579"/>
      <c r="VA579"/>
      <c r="VB579"/>
      <c r="VC579"/>
      <c r="VD579"/>
      <c r="VE579"/>
      <c r="VF579"/>
      <c r="VG579"/>
      <c r="VH579"/>
      <c r="VI579"/>
      <c r="VJ579"/>
      <c r="VK579"/>
      <c r="VL579"/>
      <c r="VM579"/>
      <c r="VN579"/>
      <c r="VO579"/>
      <c r="VP579"/>
      <c r="VQ579"/>
      <c r="VR579"/>
      <c r="VS579"/>
      <c r="VT579"/>
      <c r="VU579"/>
      <c r="VV579"/>
      <c r="VW579"/>
      <c r="VX579"/>
      <c r="VY579"/>
      <c r="VZ579"/>
      <c r="WA579"/>
      <c r="WB579"/>
      <c r="WC579"/>
      <c r="WD579"/>
      <c r="WE579"/>
      <c r="WF579"/>
      <c r="WG579"/>
      <c r="WH579"/>
      <c r="WI579"/>
      <c r="WJ579"/>
      <c r="WK579"/>
      <c r="WL579"/>
      <c r="WM579"/>
      <c r="WN579"/>
      <c r="WO579"/>
      <c r="WP579"/>
      <c r="WQ579"/>
      <c r="WR579"/>
      <c r="WS579"/>
      <c r="WT579"/>
      <c r="WU579"/>
      <c r="WV579"/>
      <c r="WW579"/>
      <c r="WX579"/>
      <c r="WY579"/>
      <c r="WZ579"/>
      <c r="XA579"/>
      <c r="XB579"/>
      <c r="XC579"/>
      <c r="XD579"/>
      <c r="XE579"/>
      <c r="XF579"/>
      <c r="XG579"/>
      <c r="XH579"/>
      <c r="XI579"/>
      <c r="XJ579"/>
      <c r="XK579"/>
      <c r="XL579"/>
      <c r="XM579"/>
      <c r="XN579"/>
      <c r="XO579"/>
      <c r="XP579"/>
      <c r="XQ579"/>
      <c r="XR579"/>
      <c r="XS579"/>
      <c r="XT579"/>
      <c r="XU579"/>
      <c r="XV579"/>
      <c r="XW579"/>
      <c r="XX579"/>
      <c r="XY579"/>
      <c r="XZ579"/>
      <c r="YA579"/>
      <c r="YB579"/>
      <c r="YC579"/>
      <c r="YD579"/>
      <c r="YE579"/>
      <c r="YF579"/>
      <c r="YG579"/>
      <c r="YH579"/>
      <c r="YI579"/>
      <c r="YJ579"/>
      <c r="YK579"/>
      <c r="YL579"/>
      <c r="YM579"/>
      <c r="YN579"/>
      <c r="YO579"/>
      <c r="YP579"/>
      <c r="YQ579"/>
      <c r="YR579"/>
      <c r="YS579"/>
      <c r="YT579"/>
      <c r="YU579"/>
      <c r="YV579"/>
      <c r="YW579"/>
      <c r="YX579"/>
      <c r="YY579"/>
      <c r="YZ579"/>
      <c r="ZA579"/>
      <c r="ZB579"/>
      <c r="ZC579"/>
      <c r="ZD579"/>
      <c r="ZE579"/>
      <c r="ZF579"/>
      <c r="ZG579"/>
      <c r="ZH579"/>
      <c r="ZI579"/>
      <c r="ZJ579"/>
      <c r="ZK579"/>
      <c r="ZL579"/>
      <c r="ZM579"/>
      <c r="ZN579"/>
      <c r="ZO579"/>
      <c r="ZP579"/>
      <c r="ZQ579"/>
      <c r="ZR579"/>
      <c r="ZS579"/>
      <c r="ZT579"/>
      <c r="ZU579"/>
      <c r="ZV579"/>
      <c r="ZW579"/>
      <c r="ZX579"/>
      <c r="ZY579"/>
      <c r="ZZ579" s="52"/>
      <c r="AAA579" s="192"/>
      <c r="AAD579" s="90"/>
      <c r="AAE579" s="519">
        <f>IF(AND(S.Notice.Involved="Y",S.Hearing.1stInvolve="Y",S.Hearing.5thInvolve="Y"),1,0)</f>
        <v>0</v>
      </c>
      <c r="AAF579" s="190" t="s">
        <v>52</v>
      </c>
      <c r="AAG579" s="72"/>
      <c r="AAH579" s="71"/>
      <c r="AAI579" s="71"/>
      <c r="AAJ579" s="56"/>
      <c r="AAK579" s="71" t="s">
        <v>0</v>
      </c>
      <c r="AAL579" s="90"/>
    </row>
    <row r="580" spans="1:715" ht="15" customHeight="1" outlineLevel="2">
      <c r="A580" s="171"/>
      <c r="B580" s="370" t="str">
        <f t="shared" si="466"/>
        <v>6. Enter city name hearing</v>
      </c>
      <c r="C580" s="376" t="s">
        <v>0</v>
      </c>
      <c r="D580"/>
      <c r="E580"/>
      <c r="F580" s="457">
        <f t="shared" ca="1" si="462"/>
        <v>0</v>
      </c>
      <c r="G580"/>
      <c r="H580" s="424">
        <f t="shared" si="467"/>
        <v>0</v>
      </c>
      <c r="I580" s="244"/>
      <c r="J580" s="194"/>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9"/>
      <c r="CD580" s="49"/>
      <c r="CE580" s="49"/>
      <c r="CF580" s="49"/>
      <c r="CG580" s="49"/>
      <c r="CH580" s="49"/>
      <c r="CI580" s="49"/>
      <c r="CJ580" s="49"/>
      <c r="CK580" s="49"/>
      <c r="CL580" s="49"/>
      <c r="CM580" s="49"/>
      <c r="CN580" s="49"/>
      <c r="CO580" s="49"/>
      <c r="CP580" s="49"/>
      <c r="CQ580" s="49"/>
      <c r="CR580" s="49"/>
      <c r="CS580" s="49"/>
      <c r="CT580" s="49"/>
      <c r="CU580" s="49"/>
      <c r="CV580" s="49"/>
      <c r="CW580" s="49"/>
      <c r="CX580" s="49"/>
      <c r="CY580" s="49"/>
      <c r="CZ580" s="49"/>
      <c r="DA580" s="49"/>
      <c r="DB580" s="49"/>
      <c r="DC580" s="49"/>
      <c r="DD580" s="49"/>
      <c r="DE580" s="49"/>
      <c r="DF580" s="49"/>
      <c r="DG580" s="49"/>
      <c r="DH580" s="49"/>
      <c r="DI580" s="49"/>
      <c r="DJ580" s="49"/>
      <c r="DK580" s="49"/>
      <c r="DL580" s="49"/>
      <c r="DM580" s="49"/>
      <c r="DN580" s="49"/>
      <c r="DO580" s="49"/>
      <c r="DP580" s="49"/>
      <c r="AAA580" s="192"/>
      <c r="AAD580" s="90"/>
      <c r="AAE580" s="519">
        <f>IF(AND(S.Notice.Involved="Y",S.Hearing.1stInvolve="Y",S.Hearing.6thInvolve="Y"),1,0)</f>
        <v>0</v>
      </c>
      <c r="AAF580" s="90"/>
      <c r="AAG580" s="72"/>
      <c r="AAH580" s="73">
        <f>IF(S.Hearing.2ndInvolve="N",,S.Hearing.6thDate)</f>
        <v>0</v>
      </c>
      <c r="AAI580" s="72"/>
      <c r="AAJ580" s="72"/>
      <c r="AAK580" s="80" t="str">
        <f>"6. "&amp;S.Hearing.6thCity&amp;" hearing"</f>
        <v>6. Enter city name hearing</v>
      </c>
      <c r="AAL580" s="90"/>
      <c r="AAM580"/>
    </row>
    <row r="581" spans="1:715" s="23" customFormat="1" ht="15.75" customHeight="1" outlineLevel="2">
      <c r="A581" s="171"/>
      <c r="B581" s="719" t="s">
        <v>405</v>
      </c>
      <c r="C581" s="362"/>
      <c r="D581"/>
      <c r="E581"/>
      <c r="F581" s="350"/>
      <c r="G581"/>
      <c r="H581" s="346"/>
      <c r="I581" s="244"/>
      <c r="J581" s="194"/>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9"/>
      <c r="CD581" s="49"/>
      <c r="CE581" s="49"/>
      <c r="CF581" s="49"/>
      <c r="CG581" s="49"/>
      <c r="CH581" s="49"/>
      <c r="CI581" s="49"/>
      <c r="CJ581" s="49"/>
      <c r="CK581" s="49"/>
      <c r="CL581" s="49"/>
      <c r="CM581" s="49"/>
      <c r="CN581" s="49"/>
      <c r="CO581" s="49"/>
      <c r="CP581" s="49"/>
      <c r="CQ581" s="49"/>
      <c r="CR581" s="49"/>
      <c r="CS581" s="49"/>
      <c r="CT581" s="49"/>
      <c r="CU581" s="49"/>
      <c r="CV581" s="49"/>
      <c r="CW581" s="49"/>
      <c r="CX581" s="49"/>
      <c r="CY581" s="49"/>
      <c r="CZ581" s="49"/>
      <c r="DA581" s="49"/>
      <c r="DB581" s="49"/>
      <c r="DC581" s="49"/>
      <c r="DD581" s="49"/>
      <c r="DE581" s="49"/>
      <c r="DF581" s="49"/>
      <c r="DG581" s="49"/>
      <c r="DH581" s="49"/>
      <c r="DI581" s="49"/>
      <c r="DJ581" s="49"/>
      <c r="DK581" s="49"/>
      <c r="DL581" s="49"/>
      <c r="DM581" s="49"/>
      <c r="DN581" s="49"/>
      <c r="DO581" s="49"/>
      <c r="DP581" s="49"/>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c r="IW581"/>
      <c r="IX581"/>
      <c r="IY581"/>
      <c r="IZ581"/>
      <c r="JA581"/>
      <c r="JB581"/>
      <c r="JC581"/>
      <c r="JD581"/>
      <c r="JE581"/>
      <c r="JF581"/>
      <c r="JG581"/>
      <c r="JH581"/>
      <c r="JI581"/>
      <c r="JJ581"/>
      <c r="JK581"/>
      <c r="JL581"/>
      <c r="JM581"/>
      <c r="JN581"/>
      <c r="JO581"/>
      <c r="JP581"/>
      <c r="JQ581"/>
      <c r="JR581"/>
      <c r="JS581"/>
      <c r="JT581"/>
      <c r="JU581"/>
      <c r="JV581"/>
      <c r="JW581"/>
      <c r="JX581"/>
      <c r="JY581"/>
      <c r="JZ581"/>
      <c r="KA581"/>
      <c r="KB581"/>
      <c r="KC581"/>
      <c r="KD581"/>
      <c r="KE581"/>
      <c r="KF581"/>
      <c r="KG581"/>
      <c r="KH581"/>
      <c r="KI581"/>
      <c r="KJ581"/>
      <c r="KK581"/>
      <c r="KL581"/>
      <c r="KM581"/>
      <c r="KN581"/>
      <c r="KO581"/>
      <c r="KP581"/>
      <c r="KQ581"/>
      <c r="KR581"/>
      <c r="KS581"/>
      <c r="KT581"/>
      <c r="KU581"/>
      <c r="KV581"/>
      <c r="KW581"/>
      <c r="KX581"/>
      <c r="KY581"/>
      <c r="KZ581"/>
      <c r="LA581"/>
      <c r="LB581"/>
      <c r="LC581"/>
      <c r="LD581"/>
      <c r="LE581"/>
      <c r="LF581"/>
      <c r="LG581"/>
      <c r="LH581"/>
      <c r="LI581"/>
      <c r="LJ581"/>
      <c r="LK581"/>
      <c r="LL581"/>
      <c r="LM581"/>
      <c r="LN581"/>
      <c r="LO581"/>
      <c r="LP581"/>
      <c r="LQ581"/>
      <c r="LR581"/>
      <c r="LS581"/>
      <c r="LT581"/>
      <c r="LU581"/>
      <c r="LV581"/>
      <c r="LW581"/>
      <c r="LX581"/>
      <c r="LY581"/>
      <c r="LZ581"/>
      <c r="MA581"/>
      <c r="MB581"/>
      <c r="MC581"/>
      <c r="MD581"/>
      <c r="ME581"/>
      <c r="MF581"/>
      <c r="MG581"/>
      <c r="MH581"/>
      <c r="MI581"/>
      <c r="MJ581"/>
      <c r="MK581"/>
      <c r="ML581"/>
      <c r="MM581"/>
      <c r="MN581"/>
      <c r="MO581"/>
      <c r="MP581"/>
      <c r="MQ581"/>
      <c r="MR581"/>
      <c r="MS581"/>
      <c r="MT581"/>
      <c r="MU581"/>
      <c r="MV581"/>
      <c r="MW581"/>
      <c r="MX581"/>
      <c r="MY581"/>
      <c r="MZ581"/>
      <c r="NA581"/>
      <c r="NB581"/>
      <c r="NC581"/>
      <c r="ND581"/>
      <c r="NE581"/>
      <c r="NF581"/>
      <c r="NG581"/>
      <c r="NH581"/>
      <c r="NI581"/>
      <c r="NJ581"/>
      <c r="NK581"/>
      <c r="NL581"/>
      <c r="NM581"/>
      <c r="NN581"/>
      <c r="NO581"/>
      <c r="NP581"/>
      <c r="NQ581"/>
      <c r="NR581"/>
      <c r="NS581"/>
      <c r="NT581"/>
      <c r="NU581"/>
      <c r="NV581"/>
      <c r="NW581"/>
      <c r="NX581"/>
      <c r="NY581"/>
      <c r="NZ581"/>
      <c r="OA581"/>
      <c r="OB581"/>
      <c r="OC581"/>
      <c r="OD581"/>
      <c r="OE581"/>
      <c r="OF581"/>
      <c r="OG581"/>
      <c r="OH581"/>
      <c r="OI581"/>
      <c r="OJ581"/>
      <c r="OK581"/>
      <c r="OL581"/>
      <c r="OM581"/>
      <c r="ON581"/>
      <c r="OO581"/>
      <c r="OP581"/>
      <c r="OQ581"/>
      <c r="OR581"/>
      <c r="OS581"/>
      <c r="OT581"/>
      <c r="OU581"/>
      <c r="OV581"/>
      <c r="OW581"/>
      <c r="OX581"/>
      <c r="OY581"/>
      <c r="OZ581"/>
      <c r="PA581"/>
      <c r="PB581"/>
      <c r="PC581"/>
      <c r="PD581"/>
      <c r="PE581"/>
      <c r="PF581"/>
      <c r="PG581"/>
      <c r="PH581"/>
      <c r="PI581"/>
      <c r="PJ581"/>
      <c r="PK581"/>
      <c r="PL581"/>
      <c r="PM581"/>
      <c r="PN581"/>
      <c r="PO581"/>
      <c r="PP581"/>
      <c r="PQ581"/>
      <c r="PR581"/>
      <c r="PS581"/>
      <c r="PT581"/>
      <c r="PU581"/>
      <c r="PV581"/>
      <c r="PW581"/>
      <c r="PX581"/>
      <c r="PY581"/>
      <c r="PZ581"/>
      <c r="QA581"/>
      <c r="QB581"/>
      <c r="QC581"/>
      <c r="QD581"/>
      <c r="QE581"/>
      <c r="QF581"/>
      <c r="QG581"/>
      <c r="QH581"/>
      <c r="QI581"/>
      <c r="QJ581"/>
      <c r="QK581"/>
      <c r="QL581"/>
      <c r="QM581"/>
      <c r="QN581"/>
      <c r="QO581"/>
      <c r="QP581"/>
      <c r="QQ581"/>
      <c r="QR581"/>
      <c r="QS581"/>
      <c r="QT581"/>
      <c r="QU581"/>
      <c r="QV581"/>
      <c r="QW581"/>
      <c r="QX581"/>
      <c r="QY581"/>
      <c r="QZ581"/>
      <c r="RA581"/>
      <c r="RB581"/>
      <c r="RC581"/>
      <c r="RD581"/>
      <c r="RE581"/>
      <c r="RF581"/>
      <c r="RG581"/>
      <c r="RH581"/>
      <c r="RI581"/>
      <c r="RJ581"/>
      <c r="RK581"/>
      <c r="RL581"/>
      <c r="RM581"/>
      <c r="RN581"/>
      <c r="RO581"/>
      <c r="RP581"/>
      <c r="RQ581"/>
      <c r="RR581"/>
      <c r="RS581"/>
      <c r="RT581"/>
      <c r="RU581"/>
      <c r="RV581"/>
      <c r="RW581"/>
      <c r="RX581"/>
      <c r="RY581"/>
      <c r="RZ581"/>
      <c r="SA581"/>
      <c r="SB581"/>
      <c r="SC581"/>
      <c r="SD581"/>
      <c r="SE581"/>
      <c r="SF581"/>
      <c r="SG581"/>
      <c r="SH581"/>
      <c r="SI581"/>
      <c r="SJ581"/>
      <c r="SK581"/>
      <c r="SL581"/>
      <c r="SM581"/>
      <c r="SN581"/>
      <c r="SO581"/>
      <c r="SP581"/>
      <c r="SQ581"/>
      <c r="SR581"/>
      <c r="SS581"/>
      <c r="ST581"/>
      <c r="SU581"/>
      <c r="SV581"/>
      <c r="SW581"/>
      <c r="SX581"/>
      <c r="SY581"/>
      <c r="SZ581"/>
      <c r="TA581"/>
      <c r="TB581"/>
      <c r="TC581"/>
      <c r="TD581"/>
      <c r="TE581"/>
      <c r="TF581"/>
      <c r="TG581"/>
      <c r="TH581"/>
      <c r="TI581"/>
      <c r="TJ581"/>
      <c r="TK581"/>
      <c r="TL581"/>
      <c r="TM581"/>
      <c r="TN581"/>
      <c r="TO581"/>
      <c r="TP581"/>
      <c r="TQ581"/>
      <c r="TR581"/>
      <c r="TS581"/>
      <c r="TT581"/>
      <c r="TU581"/>
      <c r="TV581"/>
      <c r="TW581"/>
      <c r="TX581"/>
      <c r="TY581"/>
      <c r="TZ581"/>
      <c r="UA581"/>
      <c r="UB581"/>
      <c r="UC581"/>
      <c r="UD581"/>
      <c r="UE581"/>
      <c r="UF581"/>
      <c r="UG581"/>
      <c r="UH581"/>
      <c r="UI581"/>
      <c r="UJ581"/>
      <c r="UK581"/>
      <c r="UL581"/>
      <c r="UM581"/>
      <c r="UN581"/>
      <c r="UO581"/>
      <c r="UP581"/>
      <c r="UQ581"/>
      <c r="UR581"/>
      <c r="US581"/>
      <c r="UT581"/>
      <c r="UU581"/>
      <c r="UV581"/>
      <c r="UW581"/>
      <c r="UX581"/>
      <c r="UY581"/>
      <c r="UZ581"/>
      <c r="VA581"/>
      <c r="VB581"/>
      <c r="VC581"/>
      <c r="VD581"/>
      <c r="VE581"/>
      <c r="VF581"/>
      <c r="VG581"/>
      <c r="VH581"/>
      <c r="VI581"/>
      <c r="VJ581"/>
      <c r="VK581"/>
      <c r="VL581"/>
      <c r="VM581"/>
      <c r="VN581"/>
      <c r="VO581"/>
      <c r="VP581"/>
      <c r="VQ581"/>
      <c r="VR581"/>
      <c r="VS581"/>
      <c r="VT581"/>
      <c r="VU581"/>
      <c r="VV581"/>
      <c r="VW581"/>
      <c r="VX581"/>
      <c r="VY581"/>
      <c r="VZ581"/>
      <c r="WA581"/>
      <c r="WB581"/>
      <c r="WC581"/>
      <c r="WD581"/>
      <c r="WE581"/>
      <c r="WF581"/>
      <c r="WG581"/>
      <c r="WH581"/>
      <c r="WI581"/>
      <c r="WJ581"/>
      <c r="WK581"/>
      <c r="WL581"/>
      <c r="WM581"/>
      <c r="WN581"/>
      <c r="WO581"/>
      <c r="WP581"/>
      <c r="WQ581"/>
      <c r="WR581"/>
      <c r="WS581"/>
      <c r="WT581"/>
      <c r="WU581"/>
      <c r="WV581"/>
      <c r="WW581"/>
      <c r="WX581"/>
      <c r="WY581"/>
      <c r="WZ581"/>
      <c r="XA581"/>
      <c r="XB581"/>
      <c r="XC581"/>
      <c r="XD581"/>
      <c r="XE581"/>
      <c r="XF581"/>
      <c r="XG581"/>
      <c r="XH581"/>
      <c r="XI581"/>
      <c r="XJ581"/>
      <c r="XK581"/>
      <c r="XL581"/>
      <c r="XM581"/>
      <c r="XN581"/>
      <c r="XO581"/>
      <c r="XP581"/>
      <c r="XQ581"/>
      <c r="XR581"/>
      <c r="XS581"/>
      <c r="XT581"/>
      <c r="XU581"/>
      <c r="XV581"/>
      <c r="XW581"/>
      <c r="XX581"/>
      <c r="XY581"/>
      <c r="XZ581"/>
      <c r="YA581"/>
      <c r="YB581"/>
      <c r="YC581"/>
      <c r="YD581"/>
      <c r="YE581"/>
      <c r="YF581"/>
      <c r="YG581"/>
      <c r="YH581"/>
      <c r="YI581"/>
      <c r="YJ581"/>
      <c r="YK581"/>
      <c r="YL581"/>
      <c r="YM581"/>
      <c r="YN581"/>
      <c r="YO581"/>
      <c r="YP581"/>
      <c r="YQ581"/>
      <c r="YR581"/>
      <c r="YS581"/>
      <c r="YT581"/>
      <c r="YU581"/>
      <c r="YV581"/>
      <c r="YW581"/>
      <c r="YX581"/>
      <c r="YY581"/>
      <c r="YZ581"/>
      <c r="ZA581"/>
      <c r="ZB581"/>
      <c r="ZC581"/>
      <c r="ZD581"/>
      <c r="ZE581"/>
      <c r="ZF581"/>
      <c r="ZG581"/>
      <c r="ZH581"/>
      <c r="ZI581"/>
      <c r="ZJ581"/>
      <c r="ZK581"/>
      <c r="ZL581"/>
      <c r="ZM581"/>
      <c r="ZN581"/>
      <c r="ZO581"/>
      <c r="ZP581"/>
      <c r="ZQ581"/>
      <c r="ZR581"/>
      <c r="ZS581"/>
      <c r="ZT581"/>
      <c r="ZU581"/>
      <c r="ZV581"/>
      <c r="ZW581"/>
      <c r="ZX581"/>
      <c r="ZY581"/>
      <c r="ZZ581" s="52"/>
      <c r="AAA581" s="192"/>
      <c r="AAD581" s="90"/>
      <c r="AAE581" s="519">
        <f>IF(AND(S.Notice.Involved="Y",S.Hearing.1stInvolve="Y",S.Hearing.6thInvolve="Y"),1,0)</f>
        <v>0</v>
      </c>
      <c r="AAF581" s="190" t="s">
        <v>52</v>
      </c>
      <c r="AAG581" s="72"/>
      <c r="AAH581" s="71"/>
      <c r="AAI581" s="71"/>
      <c r="AAJ581" s="56"/>
      <c r="AAK581" s="71" t="s">
        <v>0</v>
      </c>
      <c r="AAL581" s="90"/>
    </row>
    <row r="582" spans="1:715" ht="15" customHeight="1" outlineLevel="2">
      <c r="A582" s="171"/>
      <c r="B582" s="370" t="str">
        <f t="shared" si="466"/>
        <v>7. Enter city name hearing</v>
      </c>
      <c r="C582" s="376" t="s">
        <v>0</v>
      </c>
      <c r="D582"/>
      <c r="E582"/>
      <c r="F582" s="457">
        <f t="shared" ca="1" si="462"/>
        <v>0</v>
      </c>
      <c r="G582"/>
      <c r="H582" s="424">
        <f t="shared" si="467"/>
        <v>0</v>
      </c>
      <c r="I582" s="244"/>
      <c r="J582" s="194"/>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9"/>
      <c r="CD582" s="49"/>
      <c r="CE582" s="49"/>
      <c r="CF582" s="49"/>
      <c r="CG582" s="49"/>
      <c r="CH582" s="49"/>
      <c r="CI582" s="49"/>
      <c r="CJ582" s="49"/>
      <c r="CK582" s="49"/>
      <c r="CL582" s="49"/>
      <c r="CM582" s="49"/>
      <c r="CN582" s="49"/>
      <c r="CO582" s="49"/>
      <c r="CP582" s="49"/>
      <c r="CQ582" s="49"/>
      <c r="CR582" s="49"/>
      <c r="CS582" s="49"/>
      <c r="CT582" s="49"/>
      <c r="CU582" s="49"/>
      <c r="CV582" s="49"/>
      <c r="CW582" s="49"/>
      <c r="CX582" s="49"/>
      <c r="CY582" s="49"/>
      <c r="CZ582" s="49"/>
      <c r="DA582" s="49"/>
      <c r="DB582" s="49"/>
      <c r="DC582" s="49"/>
      <c r="DD582" s="49"/>
      <c r="DE582" s="49"/>
      <c r="DF582" s="49"/>
      <c r="DG582" s="49"/>
      <c r="DH582" s="49"/>
      <c r="DI582" s="49"/>
      <c r="DJ582" s="49"/>
      <c r="DK582" s="49"/>
      <c r="DL582" s="49"/>
      <c r="DM582" s="49"/>
      <c r="DN582" s="49"/>
      <c r="DO582" s="49"/>
      <c r="DP582" s="49"/>
      <c r="AAA582" s="192"/>
      <c r="AAD582" s="90"/>
      <c r="AAE582" s="519">
        <f>IF(AND(S.Notice.Involved="Y",S.Hearing.1stInvolve="Y",S.Hearing.7thInvolve="Y"),1,0)</f>
        <v>0</v>
      </c>
      <c r="AAF582" s="90"/>
      <c r="AAG582" s="72"/>
      <c r="AAH582" s="73">
        <f>IF(S.Hearing.2ndInvolve="N",,S.Hearing.7thDate)</f>
        <v>0</v>
      </c>
      <c r="AAI582" s="72"/>
      <c r="AAJ582" s="72"/>
      <c r="AAK582" s="80" t="str">
        <f>"7. "&amp;S.Hearing.7thCity&amp;" hearing"</f>
        <v>7. Enter city name hearing</v>
      </c>
      <c r="AAL582" s="90"/>
      <c r="AAM582"/>
    </row>
    <row r="583" spans="1:715" s="23" customFormat="1" ht="15.75" customHeight="1" outlineLevel="2">
      <c r="A583" s="171"/>
      <c r="B583" s="719" t="s">
        <v>406</v>
      </c>
      <c r="C583" s="362"/>
      <c r="D583"/>
      <c r="E583"/>
      <c r="F583" s="350"/>
      <c r="G583"/>
      <c r="H583" s="346"/>
      <c r="I583" s="244"/>
      <c r="J583" s="194"/>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9"/>
      <c r="CD583" s="49"/>
      <c r="CE583" s="49"/>
      <c r="CF583" s="49"/>
      <c r="CG583" s="49"/>
      <c r="CH583" s="49"/>
      <c r="CI583" s="49"/>
      <c r="CJ583" s="49"/>
      <c r="CK583" s="49"/>
      <c r="CL583" s="49"/>
      <c r="CM583" s="49"/>
      <c r="CN583" s="49"/>
      <c r="CO583" s="49"/>
      <c r="CP583" s="49"/>
      <c r="CQ583" s="49"/>
      <c r="CR583" s="49"/>
      <c r="CS583" s="49"/>
      <c r="CT583" s="49"/>
      <c r="CU583" s="49"/>
      <c r="CV583" s="49"/>
      <c r="CW583" s="49"/>
      <c r="CX583" s="49"/>
      <c r="CY583" s="49"/>
      <c r="CZ583" s="49"/>
      <c r="DA583" s="49"/>
      <c r="DB583" s="49"/>
      <c r="DC583" s="49"/>
      <c r="DD583" s="49"/>
      <c r="DE583" s="49"/>
      <c r="DF583" s="49"/>
      <c r="DG583" s="49"/>
      <c r="DH583" s="49"/>
      <c r="DI583" s="49"/>
      <c r="DJ583" s="49"/>
      <c r="DK583" s="49"/>
      <c r="DL583" s="49"/>
      <c r="DM583" s="49"/>
      <c r="DN583" s="49"/>
      <c r="DO583" s="49"/>
      <c r="DP583" s="49"/>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c r="IW583"/>
      <c r="IX583"/>
      <c r="IY583"/>
      <c r="IZ583"/>
      <c r="JA583"/>
      <c r="JB583"/>
      <c r="JC583"/>
      <c r="JD583"/>
      <c r="JE583"/>
      <c r="JF583"/>
      <c r="JG583"/>
      <c r="JH583"/>
      <c r="JI583"/>
      <c r="JJ583"/>
      <c r="JK583"/>
      <c r="JL583"/>
      <c r="JM583"/>
      <c r="JN583"/>
      <c r="JO583"/>
      <c r="JP583"/>
      <c r="JQ583"/>
      <c r="JR583"/>
      <c r="JS583"/>
      <c r="JT583"/>
      <c r="JU583"/>
      <c r="JV583"/>
      <c r="JW583"/>
      <c r="JX583"/>
      <c r="JY583"/>
      <c r="JZ583"/>
      <c r="KA583"/>
      <c r="KB583"/>
      <c r="KC583"/>
      <c r="KD583"/>
      <c r="KE583"/>
      <c r="KF583"/>
      <c r="KG583"/>
      <c r="KH583"/>
      <c r="KI583"/>
      <c r="KJ583"/>
      <c r="KK583"/>
      <c r="KL583"/>
      <c r="KM583"/>
      <c r="KN583"/>
      <c r="KO583"/>
      <c r="KP583"/>
      <c r="KQ583"/>
      <c r="KR583"/>
      <c r="KS583"/>
      <c r="KT583"/>
      <c r="KU583"/>
      <c r="KV583"/>
      <c r="KW583"/>
      <c r="KX583"/>
      <c r="KY583"/>
      <c r="KZ583"/>
      <c r="LA583"/>
      <c r="LB583"/>
      <c r="LC583"/>
      <c r="LD583"/>
      <c r="LE583"/>
      <c r="LF583"/>
      <c r="LG583"/>
      <c r="LH583"/>
      <c r="LI583"/>
      <c r="LJ583"/>
      <c r="LK583"/>
      <c r="LL583"/>
      <c r="LM583"/>
      <c r="LN583"/>
      <c r="LO583"/>
      <c r="LP583"/>
      <c r="LQ583"/>
      <c r="LR583"/>
      <c r="LS583"/>
      <c r="LT583"/>
      <c r="LU583"/>
      <c r="LV583"/>
      <c r="LW583"/>
      <c r="LX583"/>
      <c r="LY583"/>
      <c r="LZ583"/>
      <c r="MA583"/>
      <c r="MB583"/>
      <c r="MC583"/>
      <c r="MD583"/>
      <c r="ME583"/>
      <c r="MF583"/>
      <c r="MG583"/>
      <c r="MH583"/>
      <c r="MI583"/>
      <c r="MJ583"/>
      <c r="MK583"/>
      <c r="ML583"/>
      <c r="MM583"/>
      <c r="MN583"/>
      <c r="MO583"/>
      <c r="MP583"/>
      <c r="MQ583"/>
      <c r="MR583"/>
      <c r="MS583"/>
      <c r="MT583"/>
      <c r="MU583"/>
      <c r="MV583"/>
      <c r="MW583"/>
      <c r="MX583"/>
      <c r="MY583"/>
      <c r="MZ583"/>
      <c r="NA583"/>
      <c r="NB583"/>
      <c r="NC583"/>
      <c r="ND583"/>
      <c r="NE583"/>
      <c r="NF583"/>
      <c r="NG583"/>
      <c r="NH583"/>
      <c r="NI583"/>
      <c r="NJ583"/>
      <c r="NK583"/>
      <c r="NL583"/>
      <c r="NM583"/>
      <c r="NN583"/>
      <c r="NO583"/>
      <c r="NP583"/>
      <c r="NQ583"/>
      <c r="NR583"/>
      <c r="NS583"/>
      <c r="NT583"/>
      <c r="NU583"/>
      <c r="NV583"/>
      <c r="NW583"/>
      <c r="NX583"/>
      <c r="NY583"/>
      <c r="NZ583"/>
      <c r="OA583"/>
      <c r="OB583"/>
      <c r="OC583"/>
      <c r="OD583"/>
      <c r="OE583"/>
      <c r="OF583"/>
      <c r="OG583"/>
      <c r="OH583"/>
      <c r="OI583"/>
      <c r="OJ583"/>
      <c r="OK583"/>
      <c r="OL583"/>
      <c r="OM583"/>
      <c r="ON583"/>
      <c r="OO583"/>
      <c r="OP583"/>
      <c r="OQ583"/>
      <c r="OR583"/>
      <c r="OS583"/>
      <c r="OT583"/>
      <c r="OU583"/>
      <c r="OV583"/>
      <c r="OW583"/>
      <c r="OX583"/>
      <c r="OY583"/>
      <c r="OZ583"/>
      <c r="PA583"/>
      <c r="PB583"/>
      <c r="PC583"/>
      <c r="PD583"/>
      <c r="PE583"/>
      <c r="PF583"/>
      <c r="PG583"/>
      <c r="PH583"/>
      <c r="PI583"/>
      <c r="PJ583"/>
      <c r="PK583"/>
      <c r="PL583"/>
      <c r="PM583"/>
      <c r="PN583"/>
      <c r="PO583"/>
      <c r="PP583"/>
      <c r="PQ583"/>
      <c r="PR583"/>
      <c r="PS583"/>
      <c r="PT583"/>
      <c r="PU583"/>
      <c r="PV583"/>
      <c r="PW583"/>
      <c r="PX583"/>
      <c r="PY583"/>
      <c r="PZ583"/>
      <c r="QA583"/>
      <c r="QB583"/>
      <c r="QC583"/>
      <c r="QD583"/>
      <c r="QE583"/>
      <c r="QF583"/>
      <c r="QG583"/>
      <c r="QH583"/>
      <c r="QI583"/>
      <c r="QJ583"/>
      <c r="QK583"/>
      <c r="QL583"/>
      <c r="QM583"/>
      <c r="QN583"/>
      <c r="QO583"/>
      <c r="QP583"/>
      <c r="QQ583"/>
      <c r="QR583"/>
      <c r="QS583"/>
      <c r="QT583"/>
      <c r="QU583"/>
      <c r="QV583"/>
      <c r="QW583"/>
      <c r="QX583"/>
      <c r="QY583"/>
      <c r="QZ583"/>
      <c r="RA583"/>
      <c r="RB583"/>
      <c r="RC583"/>
      <c r="RD583"/>
      <c r="RE583"/>
      <c r="RF583"/>
      <c r="RG583"/>
      <c r="RH583"/>
      <c r="RI583"/>
      <c r="RJ583"/>
      <c r="RK583"/>
      <c r="RL583"/>
      <c r="RM583"/>
      <c r="RN583"/>
      <c r="RO583"/>
      <c r="RP583"/>
      <c r="RQ583"/>
      <c r="RR583"/>
      <c r="RS583"/>
      <c r="RT583"/>
      <c r="RU583"/>
      <c r="RV583"/>
      <c r="RW583"/>
      <c r="RX583"/>
      <c r="RY583"/>
      <c r="RZ583"/>
      <c r="SA583"/>
      <c r="SB583"/>
      <c r="SC583"/>
      <c r="SD583"/>
      <c r="SE583"/>
      <c r="SF583"/>
      <c r="SG583"/>
      <c r="SH583"/>
      <c r="SI583"/>
      <c r="SJ583"/>
      <c r="SK583"/>
      <c r="SL583"/>
      <c r="SM583"/>
      <c r="SN583"/>
      <c r="SO583"/>
      <c r="SP583"/>
      <c r="SQ583"/>
      <c r="SR583"/>
      <c r="SS583"/>
      <c r="ST583"/>
      <c r="SU583"/>
      <c r="SV583"/>
      <c r="SW583"/>
      <c r="SX583"/>
      <c r="SY583"/>
      <c r="SZ583"/>
      <c r="TA583"/>
      <c r="TB583"/>
      <c r="TC583"/>
      <c r="TD583"/>
      <c r="TE583"/>
      <c r="TF583"/>
      <c r="TG583"/>
      <c r="TH583"/>
      <c r="TI583"/>
      <c r="TJ583"/>
      <c r="TK583"/>
      <c r="TL583"/>
      <c r="TM583"/>
      <c r="TN583"/>
      <c r="TO583"/>
      <c r="TP583"/>
      <c r="TQ583"/>
      <c r="TR583"/>
      <c r="TS583"/>
      <c r="TT583"/>
      <c r="TU583"/>
      <c r="TV583"/>
      <c r="TW583"/>
      <c r="TX583"/>
      <c r="TY583"/>
      <c r="TZ583"/>
      <c r="UA583"/>
      <c r="UB583"/>
      <c r="UC583"/>
      <c r="UD583"/>
      <c r="UE583"/>
      <c r="UF583"/>
      <c r="UG583"/>
      <c r="UH583"/>
      <c r="UI583"/>
      <c r="UJ583"/>
      <c r="UK583"/>
      <c r="UL583"/>
      <c r="UM583"/>
      <c r="UN583"/>
      <c r="UO583"/>
      <c r="UP583"/>
      <c r="UQ583"/>
      <c r="UR583"/>
      <c r="US583"/>
      <c r="UT583"/>
      <c r="UU583"/>
      <c r="UV583"/>
      <c r="UW583"/>
      <c r="UX583"/>
      <c r="UY583"/>
      <c r="UZ583"/>
      <c r="VA583"/>
      <c r="VB583"/>
      <c r="VC583"/>
      <c r="VD583"/>
      <c r="VE583"/>
      <c r="VF583"/>
      <c r="VG583"/>
      <c r="VH583"/>
      <c r="VI583"/>
      <c r="VJ583"/>
      <c r="VK583"/>
      <c r="VL583"/>
      <c r="VM583"/>
      <c r="VN583"/>
      <c r="VO583"/>
      <c r="VP583"/>
      <c r="VQ583"/>
      <c r="VR583"/>
      <c r="VS583"/>
      <c r="VT583"/>
      <c r="VU583"/>
      <c r="VV583"/>
      <c r="VW583"/>
      <c r="VX583"/>
      <c r="VY583"/>
      <c r="VZ583"/>
      <c r="WA583"/>
      <c r="WB583"/>
      <c r="WC583"/>
      <c r="WD583"/>
      <c r="WE583"/>
      <c r="WF583"/>
      <c r="WG583"/>
      <c r="WH583"/>
      <c r="WI583"/>
      <c r="WJ583"/>
      <c r="WK583"/>
      <c r="WL583"/>
      <c r="WM583"/>
      <c r="WN583"/>
      <c r="WO583"/>
      <c r="WP583"/>
      <c r="WQ583"/>
      <c r="WR583"/>
      <c r="WS583"/>
      <c r="WT583"/>
      <c r="WU583"/>
      <c r="WV583"/>
      <c r="WW583"/>
      <c r="WX583"/>
      <c r="WY583"/>
      <c r="WZ583"/>
      <c r="XA583"/>
      <c r="XB583"/>
      <c r="XC583"/>
      <c r="XD583"/>
      <c r="XE583"/>
      <c r="XF583"/>
      <c r="XG583"/>
      <c r="XH583"/>
      <c r="XI583"/>
      <c r="XJ583"/>
      <c r="XK583"/>
      <c r="XL583"/>
      <c r="XM583"/>
      <c r="XN583"/>
      <c r="XO583"/>
      <c r="XP583"/>
      <c r="XQ583"/>
      <c r="XR583"/>
      <c r="XS583"/>
      <c r="XT583"/>
      <c r="XU583"/>
      <c r="XV583"/>
      <c r="XW583"/>
      <c r="XX583"/>
      <c r="XY583"/>
      <c r="XZ583"/>
      <c r="YA583"/>
      <c r="YB583"/>
      <c r="YC583"/>
      <c r="YD583"/>
      <c r="YE583"/>
      <c r="YF583"/>
      <c r="YG583"/>
      <c r="YH583"/>
      <c r="YI583"/>
      <c r="YJ583"/>
      <c r="YK583"/>
      <c r="YL583"/>
      <c r="YM583"/>
      <c r="YN583"/>
      <c r="YO583"/>
      <c r="YP583"/>
      <c r="YQ583"/>
      <c r="YR583"/>
      <c r="YS583"/>
      <c r="YT583"/>
      <c r="YU583"/>
      <c r="YV583"/>
      <c r="YW583"/>
      <c r="YX583"/>
      <c r="YY583"/>
      <c r="YZ583"/>
      <c r="ZA583"/>
      <c r="ZB583"/>
      <c r="ZC583"/>
      <c r="ZD583"/>
      <c r="ZE583"/>
      <c r="ZF583"/>
      <c r="ZG583"/>
      <c r="ZH583"/>
      <c r="ZI583"/>
      <c r="ZJ583"/>
      <c r="ZK583"/>
      <c r="ZL583"/>
      <c r="ZM583"/>
      <c r="ZN583"/>
      <c r="ZO583"/>
      <c r="ZP583"/>
      <c r="ZQ583"/>
      <c r="ZR583"/>
      <c r="ZS583"/>
      <c r="ZT583"/>
      <c r="ZU583"/>
      <c r="ZV583"/>
      <c r="ZW583"/>
      <c r="ZX583"/>
      <c r="ZY583"/>
      <c r="ZZ583" s="52"/>
      <c r="AAA583" s="192"/>
      <c r="AAD583" s="90"/>
      <c r="AAE583" s="519">
        <f>IF(AND(S.Notice.Involved="Y",S.Hearing.1stInvolve="Y",S.Hearing.7thInvolve="Y"),1,0)</f>
        <v>0</v>
      </c>
      <c r="AAF583" s="190" t="s">
        <v>52</v>
      </c>
      <c r="AAG583" s="72"/>
      <c r="AAH583" s="71"/>
      <c r="AAI583" s="71"/>
      <c r="AAJ583" s="56"/>
      <c r="AAK583" s="71" t="s">
        <v>0</v>
      </c>
      <c r="AAL583" s="90"/>
    </row>
    <row r="584" spans="1:715" ht="15" customHeight="1" outlineLevel="2">
      <c r="A584" s="171"/>
      <c r="B584" s="370" t="str">
        <f t="shared" si="466"/>
        <v>8. Enter city name hearing</v>
      </c>
      <c r="C584" s="376" t="s">
        <v>0</v>
      </c>
      <c r="D584"/>
      <c r="E584"/>
      <c r="F584" s="457">
        <f t="shared" ca="1" si="462"/>
        <v>0</v>
      </c>
      <c r="G584"/>
      <c r="H584" s="424">
        <f t="shared" si="467"/>
        <v>0</v>
      </c>
      <c r="I584" s="244"/>
      <c r="J584" s="194"/>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9"/>
      <c r="CD584" s="49"/>
      <c r="CE584" s="49"/>
      <c r="CF584" s="49"/>
      <c r="CG584" s="49"/>
      <c r="CH584" s="49"/>
      <c r="CI584" s="49"/>
      <c r="CJ584" s="49"/>
      <c r="CK584" s="49"/>
      <c r="CL584" s="49"/>
      <c r="CM584" s="49"/>
      <c r="CN584" s="49"/>
      <c r="CO584" s="49"/>
      <c r="CP584" s="49"/>
      <c r="CQ584" s="49"/>
      <c r="CR584" s="49"/>
      <c r="CS584" s="49"/>
      <c r="CT584" s="49"/>
      <c r="CU584" s="49"/>
      <c r="CV584" s="49"/>
      <c r="CW584" s="49"/>
      <c r="CX584" s="49"/>
      <c r="CY584" s="49"/>
      <c r="CZ584" s="49"/>
      <c r="DA584" s="49"/>
      <c r="DB584" s="49"/>
      <c r="DC584" s="49"/>
      <c r="DD584" s="49"/>
      <c r="DE584" s="49"/>
      <c r="DF584" s="49"/>
      <c r="DG584" s="49"/>
      <c r="DH584" s="49"/>
      <c r="DI584" s="49"/>
      <c r="DJ584" s="49"/>
      <c r="DK584" s="49"/>
      <c r="DL584" s="49"/>
      <c r="DM584" s="49"/>
      <c r="DN584" s="49"/>
      <c r="DO584" s="49"/>
      <c r="DP584" s="49"/>
      <c r="AAA584" s="192"/>
      <c r="AAD584" s="90"/>
      <c r="AAE584" s="519">
        <f>IF(AND(S.Notice.Involved="Y",S.Hearing.1stInvolve="Y",S.Hearing.8thtInvolve="Y"),1,0)</f>
        <v>0</v>
      </c>
      <c r="AAF584" s="90"/>
      <c r="AAG584" s="72"/>
      <c r="AAH584" s="73">
        <f>IF(S.Hearing.8thtInvolve="N",,S.Notice.LastHearingDate)</f>
        <v>0</v>
      </c>
      <c r="AAI584" s="83"/>
      <c r="AAJ584" s="56"/>
      <c r="AAK584" s="80" t="str">
        <f>"8. "&amp;S.Hearing.8thCity&amp;" hearing"</f>
        <v>8. Enter city name hearing</v>
      </c>
      <c r="AAL584" s="90"/>
      <c r="AAM584"/>
    </row>
    <row r="585" spans="1:715" s="23" customFormat="1" ht="15.75" customHeight="1" outlineLevel="2">
      <c r="A585" s="171"/>
      <c r="B585" s="719" t="s">
        <v>407</v>
      </c>
      <c r="C585" s="362"/>
      <c r="D585" s="373"/>
      <c r="E585" s="350"/>
      <c r="F585" s="350"/>
      <c r="G585" s="346"/>
      <c r="H585" s="346"/>
      <c r="I585" s="244"/>
      <c r="J585" s="194"/>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9"/>
      <c r="CD585" s="49"/>
      <c r="CE585" s="49"/>
      <c r="CF585" s="49"/>
      <c r="CG585" s="49"/>
      <c r="CH585" s="49"/>
      <c r="CI585" s="49"/>
      <c r="CJ585" s="49"/>
      <c r="CK585" s="49"/>
      <c r="CL585" s="49"/>
      <c r="CM585" s="49"/>
      <c r="CN585" s="49"/>
      <c r="CO585" s="49"/>
      <c r="CP585" s="49"/>
      <c r="CQ585" s="49"/>
      <c r="CR585" s="49"/>
      <c r="CS585" s="49"/>
      <c r="CT585" s="49"/>
      <c r="CU585" s="49"/>
      <c r="CV585" s="49"/>
      <c r="CW585" s="49"/>
      <c r="CX585" s="49"/>
      <c r="CY585" s="49"/>
      <c r="CZ585" s="49"/>
      <c r="DA585" s="49"/>
      <c r="DB585" s="49"/>
      <c r="DC585" s="49"/>
      <c r="DD585" s="49"/>
      <c r="DE585" s="49"/>
      <c r="DF585" s="49"/>
      <c r="DG585" s="49"/>
      <c r="DH585" s="49"/>
      <c r="DI585" s="49"/>
      <c r="DJ585" s="49"/>
      <c r="DK585" s="49"/>
      <c r="DL585" s="49"/>
      <c r="DM585" s="49"/>
      <c r="DN585" s="49"/>
      <c r="DO585" s="49"/>
      <c r="DP585" s="49"/>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c r="LP585"/>
      <c r="LQ585"/>
      <c r="LR585"/>
      <c r="LS585"/>
      <c r="LT585"/>
      <c r="LU585"/>
      <c r="LV585"/>
      <c r="LW585"/>
      <c r="LX585"/>
      <c r="LY585"/>
      <c r="LZ585"/>
      <c r="MA585"/>
      <c r="MB585"/>
      <c r="MC585"/>
      <c r="MD585"/>
      <c r="ME585"/>
      <c r="MF585"/>
      <c r="MG585"/>
      <c r="MH585"/>
      <c r="MI585"/>
      <c r="MJ585"/>
      <c r="MK585"/>
      <c r="ML585"/>
      <c r="MM585"/>
      <c r="MN585"/>
      <c r="MO585"/>
      <c r="MP585"/>
      <c r="MQ585"/>
      <c r="MR585"/>
      <c r="MS585"/>
      <c r="MT585"/>
      <c r="MU585"/>
      <c r="MV585"/>
      <c r="MW585"/>
      <c r="MX585"/>
      <c r="MY585"/>
      <c r="MZ585"/>
      <c r="NA585"/>
      <c r="NB585"/>
      <c r="NC585"/>
      <c r="ND585"/>
      <c r="NE585"/>
      <c r="NF585"/>
      <c r="NG585"/>
      <c r="NH585"/>
      <c r="NI585"/>
      <c r="NJ585"/>
      <c r="NK585"/>
      <c r="NL585"/>
      <c r="NM585"/>
      <c r="NN585"/>
      <c r="NO585"/>
      <c r="NP585"/>
      <c r="NQ585"/>
      <c r="NR585"/>
      <c r="NS585"/>
      <c r="NT585"/>
      <c r="NU585"/>
      <c r="NV585"/>
      <c r="NW585"/>
      <c r="NX585"/>
      <c r="NY585"/>
      <c r="NZ585"/>
      <c r="OA585"/>
      <c r="OB585"/>
      <c r="OC585"/>
      <c r="OD585"/>
      <c r="OE585"/>
      <c r="OF585"/>
      <c r="OG585"/>
      <c r="OH585"/>
      <c r="OI585"/>
      <c r="OJ585"/>
      <c r="OK585"/>
      <c r="OL585"/>
      <c r="OM585"/>
      <c r="ON585"/>
      <c r="OO585"/>
      <c r="OP585"/>
      <c r="OQ585"/>
      <c r="OR585"/>
      <c r="OS585"/>
      <c r="OT585"/>
      <c r="OU585"/>
      <c r="OV585"/>
      <c r="OW585"/>
      <c r="OX585"/>
      <c r="OY585"/>
      <c r="OZ585"/>
      <c r="PA585"/>
      <c r="PB585"/>
      <c r="PC585"/>
      <c r="PD585"/>
      <c r="PE585"/>
      <c r="PF585"/>
      <c r="PG585"/>
      <c r="PH585"/>
      <c r="PI585"/>
      <c r="PJ585"/>
      <c r="PK585"/>
      <c r="PL585"/>
      <c r="PM585"/>
      <c r="PN585"/>
      <c r="PO585"/>
      <c r="PP585"/>
      <c r="PQ585"/>
      <c r="PR585"/>
      <c r="PS585"/>
      <c r="PT585"/>
      <c r="PU585"/>
      <c r="PV585"/>
      <c r="PW585"/>
      <c r="PX585"/>
      <c r="PY585"/>
      <c r="PZ585"/>
      <c r="QA585"/>
      <c r="QB585"/>
      <c r="QC585"/>
      <c r="QD585"/>
      <c r="QE585"/>
      <c r="QF585"/>
      <c r="QG585"/>
      <c r="QH585"/>
      <c r="QI585"/>
      <c r="QJ585"/>
      <c r="QK585"/>
      <c r="QL585"/>
      <c r="QM585"/>
      <c r="QN585"/>
      <c r="QO585"/>
      <c r="QP585"/>
      <c r="QQ585"/>
      <c r="QR585"/>
      <c r="QS585"/>
      <c r="QT585"/>
      <c r="QU585"/>
      <c r="QV585"/>
      <c r="QW585"/>
      <c r="QX585"/>
      <c r="QY585"/>
      <c r="QZ585"/>
      <c r="RA585"/>
      <c r="RB585"/>
      <c r="RC585"/>
      <c r="RD585"/>
      <c r="RE585"/>
      <c r="RF585"/>
      <c r="RG585"/>
      <c r="RH585"/>
      <c r="RI585"/>
      <c r="RJ585"/>
      <c r="RK585"/>
      <c r="RL585"/>
      <c r="RM585"/>
      <c r="RN585"/>
      <c r="RO585"/>
      <c r="RP585"/>
      <c r="RQ585"/>
      <c r="RR585"/>
      <c r="RS585"/>
      <c r="RT585"/>
      <c r="RU585"/>
      <c r="RV585"/>
      <c r="RW585"/>
      <c r="RX585"/>
      <c r="RY585"/>
      <c r="RZ585"/>
      <c r="SA585"/>
      <c r="SB585"/>
      <c r="SC585"/>
      <c r="SD585"/>
      <c r="SE585"/>
      <c r="SF585"/>
      <c r="SG585"/>
      <c r="SH585"/>
      <c r="SI585"/>
      <c r="SJ585"/>
      <c r="SK585"/>
      <c r="SL585"/>
      <c r="SM585"/>
      <c r="SN585"/>
      <c r="SO585"/>
      <c r="SP585"/>
      <c r="SQ585"/>
      <c r="SR585"/>
      <c r="SS585"/>
      <c r="ST585"/>
      <c r="SU585"/>
      <c r="SV585"/>
      <c r="SW585"/>
      <c r="SX585"/>
      <c r="SY585"/>
      <c r="SZ585"/>
      <c r="TA585"/>
      <c r="TB585"/>
      <c r="TC585"/>
      <c r="TD585"/>
      <c r="TE585"/>
      <c r="TF585"/>
      <c r="TG585"/>
      <c r="TH585"/>
      <c r="TI585"/>
      <c r="TJ585"/>
      <c r="TK585"/>
      <c r="TL585"/>
      <c r="TM585"/>
      <c r="TN585"/>
      <c r="TO585"/>
      <c r="TP585"/>
      <c r="TQ585"/>
      <c r="TR585"/>
      <c r="TS585"/>
      <c r="TT585"/>
      <c r="TU585"/>
      <c r="TV585"/>
      <c r="TW585"/>
      <c r="TX585"/>
      <c r="TY585"/>
      <c r="TZ585"/>
      <c r="UA585"/>
      <c r="UB585"/>
      <c r="UC585"/>
      <c r="UD585"/>
      <c r="UE585"/>
      <c r="UF585"/>
      <c r="UG585"/>
      <c r="UH585"/>
      <c r="UI585"/>
      <c r="UJ585"/>
      <c r="UK585"/>
      <c r="UL585"/>
      <c r="UM585"/>
      <c r="UN585"/>
      <c r="UO585"/>
      <c r="UP585"/>
      <c r="UQ585"/>
      <c r="UR585"/>
      <c r="US585"/>
      <c r="UT585"/>
      <c r="UU585"/>
      <c r="UV585"/>
      <c r="UW585"/>
      <c r="UX585"/>
      <c r="UY585"/>
      <c r="UZ585"/>
      <c r="VA585"/>
      <c r="VB585"/>
      <c r="VC585"/>
      <c r="VD585"/>
      <c r="VE585"/>
      <c r="VF585"/>
      <c r="VG585"/>
      <c r="VH585"/>
      <c r="VI585"/>
      <c r="VJ585"/>
      <c r="VK585"/>
      <c r="VL585"/>
      <c r="VM585"/>
      <c r="VN585"/>
      <c r="VO585"/>
      <c r="VP585"/>
      <c r="VQ585"/>
      <c r="VR585"/>
      <c r="VS585"/>
      <c r="VT585"/>
      <c r="VU585"/>
      <c r="VV585"/>
      <c r="VW585"/>
      <c r="VX585"/>
      <c r="VY585"/>
      <c r="VZ585"/>
      <c r="WA585"/>
      <c r="WB585"/>
      <c r="WC585"/>
      <c r="WD585"/>
      <c r="WE585"/>
      <c r="WF585"/>
      <c r="WG585"/>
      <c r="WH585"/>
      <c r="WI585"/>
      <c r="WJ585"/>
      <c r="WK585"/>
      <c r="WL585"/>
      <c r="WM585"/>
      <c r="WN585"/>
      <c r="WO585"/>
      <c r="WP585"/>
      <c r="WQ585"/>
      <c r="WR585"/>
      <c r="WS585"/>
      <c r="WT585"/>
      <c r="WU585"/>
      <c r="WV585"/>
      <c r="WW585"/>
      <c r="WX585"/>
      <c r="WY585"/>
      <c r="WZ585"/>
      <c r="XA585"/>
      <c r="XB585"/>
      <c r="XC585"/>
      <c r="XD585"/>
      <c r="XE585"/>
      <c r="XF585"/>
      <c r="XG585"/>
      <c r="XH585"/>
      <c r="XI585"/>
      <c r="XJ585"/>
      <c r="XK585"/>
      <c r="XL585"/>
      <c r="XM585"/>
      <c r="XN585"/>
      <c r="XO585"/>
      <c r="XP585"/>
      <c r="XQ585"/>
      <c r="XR585"/>
      <c r="XS585"/>
      <c r="XT585"/>
      <c r="XU585"/>
      <c r="XV585"/>
      <c r="XW585"/>
      <c r="XX585"/>
      <c r="XY585"/>
      <c r="XZ585"/>
      <c r="YA585"/>
      <c r="YB585"/>
      <c r="YC585"/>
      <c r="YD585"/>
      <c r="YE585"/>
      <c r="YF585"/>
      <c r="YG585"/>
      <c r="YH585"/>
      <c r="YI585"/>
      <c r="YJ585"/>
      <c r="YK585"/>
      <c r="YL585"/>
      <c r="YM585"/>
      <c r="YN585"/>
      <c r="YO585"/>
      <c r="YP585"/>
      <c r="YQ585"/>
      <c r="YR585"/>
      <c r="YS585"/>
      <c r="YT585"/>
      <c r="YU585"/>
      <c r="YV585"/>
      <c r="YW585"/>
      <c r="YX585"/>
      <c r="YY585"/>
      <c r="YZ585"/>
      <c r="ZA585"/>
      <c r="ZB585"/>
      <c r="ZC585"/>
      <c r="ZD585"/>
      <c r="ZE585"/>
      <c r="ZF585"/>
      <c r="ZG585"/>
      <c r="ZH585"/>
      <c r="ZI585"/>
      <c r="ZJ585"/>
      <c r="ZK585"/>
      <c r="ZL585"/>
      <c r="ZM585"/>
      <c r="ZN585"/>
      <c r="ZO585"/>
      <c r="ZP585"/>
      <c r="ZQ585"/>
      <c r="ZR585"/>
      <c r="ZS585"/>
      <c r="ZT585"/>
      <c r="ZU585"/>
      <c r="ZV585"/>
      <c r="ZW585"/>
      <c r="ZX585"/>
      <c r="ZY585"/>
      <c r="ZZ585" s="52"/>
      <c r="AAA585" s="192"/>
      <c r="AAD585" s="90"/>
      <c r="AAE585" s="519">
        <f>IF(AND(S.Notice.Involved="Y",S.Hearing.1stInvolve="Y",S.Hearing.8thtInvolve="Y"),1,0)</f>
        <v>0</v>
      </c>
      <c r="AAF585" s="190" t="s">
        <v>52</v>
      </c>
      <c r="AAG585" s="71"/>
      <c r="AAH585" s="71"/>
      <c r="AAI585" s="71"/>
      <c r="AAJ585" s="56"/>
      <c r="AAK585" s="71" t="s">
        <v>0</v>
      </c>
      <c r="AAL585" s="90"/>
    </row>
    <row r="586" spans="1:715" s="23" customFormat="1" ht="15" customHeight="1" outlineLevel="1">
      <c r="A586" s="171"/>
      <c r="B586" s="291" t="str">
        <f>AAK586</f>
        <v>SavvySupport, for comments not received through online form:</v>
      </c>
      <c r="C586" s="386"/>
      <c r="D586" s="411"/>
      <c r="E586" s="412"/>
      <c r="F586" s="412"/>
      <c r="G586" s="386"/>
      <c r="H586" s="386"/>
      <c r="I586" s="244"/>
      <c r="J586" s="194"/>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9"/>
      <c r="CD586" s="49"/>
      <c r="CE586" s="49"/>
      <c r="CF586" s="49"/>
      <c r="CG586" s="49"/>
      <c r="CH586" s="49"/>
      <c r="CI586" s="49"/>
      <c r="CJ586" s="49"/>
      <c r="CK586" s="49"/>
      <c r="CL586" s="49"/>
      <c r="CM586" s="49"/>
      <c r="CN586" s="49"/>
      <c r="CO586" s="49"/>
      <c r="CP586" s="49"/>
      <c r="CQ586" s="49"/>
      <c r="CR586" s="49"/>
      <c r="CS586" s="49"/>
      <c r="CT586" s="49"/>
      <c r="CU586" s="49"/>
      <c r="CV586" s="49"/>
      <c r="CW586" s="49"/>
      <c r="CX586" s="49"/>
      <c r="CY586" s="49"/>
      <c r="CZ586" s="49"/>
      <c r="DA586" s="49"/>
      <c r="DB586" s="49"/>
      <c r="DC586" s="49"/>
      <c r="DD586" s="49"/>
      <c r="DE586" s="49"/>
      <c r="DF586" s="49"/>
      <c r="DG586" s="49"/>
      <c r="DH586" s="49"/>
      <c r="DI586" s="49"/>
      <c r="DJ586" s="49"/>
      <c r="DK586" s="49"/>
      <c r="DL586" s="49"/>
      <c r="DM586" s="49"/>
      <c r="DN586" s="49"/>
      <c r="DO586" s="49"/>
      <c r="DP586" s="49"/>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c r="LP586"/>
      <c r="LQ586"/>
      <c r="LR586"/>
      <c r="LS586"/>
      <c r="LT586"/>
      <c r="LU586"/>
      <c r="LV586"/>
      <c r="LW586"/>
      <c r="LX586"/>
      <c r="LY586"/>
      <c r="LZ586"/>
      <c r="MA586"/>
      <c r="MB586"/>
      <c r="MC586"/>
      <c r="MD586"/>
      <c r="ME586"/>
      <c r="MF586"/>
      <c r="MG586"/>
      <c r="MH586"/>
      <c r="MI586"/>
      <c r="MJ586"/>
      <c r="MK586"/>
      <c r="ML586"/>
      <c r="MM586"/>
      <c r="MN586"/>
      <c r="MO586"/>
      <c r="MP586"/>
      <c r="MQ586"/>
      <c r="MR586"/>
      <c r="MS586"/>
      <c r="MT586"/>
      <c r="MU586"/>
      <c r="MV586"/>
      <c r="MW586"/>
      <c r="MX586"/>
      <c r="MY586"/>
      <c r="MZ586"/>
      <c r="NA586"/>
      <c r="NB586"/>
      <c r="NC586"/>
      <c r="ND586"/>
      <c r="NE586"/>
      <c r="NF586"/>
      <c r="NG586"/>
      <c r="NH586"/>
      <c r="NI586"/>
      <c r="NJ586"/>
      <c r="NK586"/>
      <c r="NL586"/>
      <c r="NM586"/>
      <c r="NN586"/>
      <c r="NO586"/>
      <c r="NP586"/>
      <c r="NQ586"/>
      <c r="NR586"/>
      <c r="NS586"/>
      <c r="NT586"/>
      <c r="NU586"/>
      <c r="NV586"/>
      <c r="NW586"/>
      <c r="NX586"/>
      <c r="NY586"/>
      <c r="NZ586"/>
      <c r="OA586"/>
      <c r="OB586"/>
      <c r="OC586"/>
      <c r="OD586"/>
      <c r="OE586"/>
      <c r="OF586"/>
      <c r="OG586"/>
      <c r="OH586"/>
      <c r="OI586"/>
      <c r="OJ586"/>
      <c r="OK586"/>
      <c r="OL586"/>
      <c r="OM586"/>
      <c r="ON586"/>
      <c r="OO586"/>
      <c r="OP586"/>
      <c r="OQ586"/>
      <c r="OR586"/>
      <c r="OS586"/>
      <c r="OT586"/>
      <c r="OU586"/>
      <c r="OV586"/>
      <c r="OW586"/>
      <c r="OX586"/>
      <c r="OY586"/>
      <c r="OZ586"/>
      <c r="PA586"/>
      <c r="PB586"/>
      <c r="PC586"/>
      <c r="PD586"/>
      <c r="PE586"/>
      <c r="PF586"/>
      <c r="PG586"/>
      <c r="PH586"/>
      <c r="PI586"/>
      <c r="PJ586"/>
      <c r="PK586"/>
      <c r="PL586"/>
      <c r="PM586"/>
      <c r="PN586"/>
      <c r="PO586"/>
      <c r="PP586"/>
      <c r="PQ586"/>
      <c r="PR586"/>
      <c r="PS586"/>
      <c r="PT586"/>
      <c r="PU586"/>
      <c r="PV586"/>
      <c r="PW586"/>
      <c r="PX586"/>
      <c r="PY586"/>
      <c r="PZ586"/>
      <c r="QA586"/>
      <c r="QB586"/>
      <c r="QC586"/>
      <c r="QD586"/>
      <c r="QE586"/>
      <c r="QF586"/>
      <c r="QG586"/>
      <c r="QH586"/>
      <c r="QI586"/>
      <c r="QJ586"/>
      <c r="QK586"/>
      <c r="QL586"/>
      <c r="QM586"/>
      <c r="QN586"/>
      <c r="QO586"/>
      <c r="QP586"/>
      <c r="QQ586"/>
      <c r="QR586"/>
      <c r="QS586"/>
      <c r="QT586"/>
      <c r="QU586"/>
      <c r="QV586"/>
      <c r="QW586"/>
      <c r="QX586"/>
      <c r="QY586"/>
      <c r="QZ586"/>
      <c r="RA586"/>
      <c r="RB586"/>
      <c r="RC586"/>
      <c r="RD586"/>
      <c r="RE586"/>
      <c r="RF586"/>
      <c r="RG586"/>
      <c r="RH586"/>
      <c r="RI586"/>
      <c r="RJ586"/>
      <c r="RK586"/>
      <c r="RL586"/>
      <c r="RM586"/>
      <c r="RN586"/>
      <c r="RO586"/>
      <c r="RP586"/>
      <c r="RQ586"/>
      <c r="RR586"/>
      <c r="RS586"/>
      <c r="RT586"/>
      <c r="RU586"/>
      <c r="RV586"/>
      <c r="RW586"/>
      <c r="RX586"/>
      <c r="RY586"/>
      <c r="RZ586"/>
      <c r="SA586"/>
      <c r="SB586"/>
      <c r="SC586"/>
      <c r="SD586"/>
      <c r="SE586"/>
      <c r="SF586"/>
      <c r="SG586"/>
      <c r="SH586"/>
      <c r="SI586"/>
      <c r="SJ586"/>
      <c r="SK586"/>
      <c r="SL586"/>
      <c r="SM586"/>
      <c r="SN586"/>
      <c r="SO586"/>
      <c r="SP586"/>
      <c r="SQ586"/>
      <c r="SR586"/>
      <c r="SS586"/>
      <c r="ST586"/>
      <c r="SU586"/>
      <c r="SV586"/>
      <c r="SW586"/>
      <c r="SX586"/>
      <c r="SY586"/>
      <c r="SZ586"/>
      <c r="TA586"/>
      <c r="TB586"/>
      <c r="TC586"/>
      <c r="TD586"/>
      <c r="TE586"/>
      <c r="TF586"/>
      <c r="TG586"/>
      <c r="TH586"/>
      <c r="TI586"/>
      <c r="TJ586"/>
      <c r="TK586"/>
      <c r="TL586"/>
      <c r="TM586"/>
      <c r="TN586"/>
      <c r="TO586"/>
      <c r="TP586"/>
      <c r="TQ586"/>
      <c r="TR586"/>
      <c r="TS586"/>
      <c r="TT586"/>
      <c r="TU586"/>
      <c r="TV586"/>
      <c r="TW586"/>
      <c r="TX586"/>
      <c r="TY586"/>
      <c r="TZ586"/>
      <c r="UA586"/>
      <c r="UB586"/>
      <c r="UC586"/>
      <c r="UD586"/>
      <c r="UE586"/>
      <c r="UF586"/>
      <c r="UG586"/>
      <c r="UH586"/>
      <c r="UI586"/>
      <c r="UJ586"/>
      <c r="UK586"/>
      <c r="UL586"/>
      <c r="UM586"/>
      <c r="UN586"/>
      <c r="UO586"/>
      <c r="UP586"/>
      <c r="UQ586"/>
      <c r="UR586"/>
      <c r="US586"/>
      <c r="UT586"/>
      <c r="UU586"/>
      <c r="UV586"/>
      <c r="UW586"/>
      <c r="UX586"/>
      <c r="UY586"/>
      <c r="UZ586"/>
      <c r="VA586"/>
      <c r="VB586"/>
      <c r="VC586"/>
      <c r="VD586"/>
      <c r="VE586"/>
      <c r="VF586"/>
      <c r="VG586"/>
      <c r="VH586"/>
      <c r="VI586"/>
      <c r="VJ586"/>
      <c r="VK586"/>
      <c r="VL586"/>
      <c r="VM586"/>
      <c r="VN586"/>
      <c r="VO586"/>
      <c r="VP586"/>
      <c r="VQ586"/>
      <c r="VR586"/>
      <c r="VS586"/>
      <c r="VT586"/>
      <c r="VU586"/>
      <c r="VV586"/>
      <c r="VW586"/>
      <c r="VX586"/>
      <c r="VY586"/>
      <c r="VZ586"/>
      <c r="WA586"/>
      <c r="WB586"/>
      <c r="WC586"/>
      <c r="WD586"/>
      <c r="WE586"/>
      <c r="WF586"/>
      <c r="WG586"/>
      <c r="WH586"/>
      <c r="WI586"/>
      <c r="WJ586"/>
      <c r="WK586"/>
      <c r="WL586"/>
      <c r="WM586"/>
      <c r="WN586"/>
      <c r="WO586"/>
      <c r="WP586"/>
      <c r="WQ586"/>
      <c r="WR586"/>
      <c r="WS586"/>
      <c r="WT586"/>
      <c r="WU586"/>
      <c r="WV586"/>
      <c r="WW586"/>
      <c r="WX586"/>
      <c r="WY586"/>
      <c r="WZ586"/>
      <c r="XA586"/>
      <c r="XB586"/>
      <c r="XC586"/>
      <c r="XD586"/>
      <c r="XE586"/>
      <c r="XF586"/>
      <c r="XG586"/>
      <c r="XH586"/>
      <c r="XI586"/>
      <c r="XJ586"/>
      <c r="XK586"/>
      <c r="XL586"/>
      <c r="XM586"/>
      <c r="XN586"/>
      <c r="XO586"/>
      <c r="XP586"/>
      <c r="XQ586"/>
      <c r="XR586"/>
      <c r="XS586"/>
      <c r="XT586"/>
      <c r="XU586"/>
      <c r="XV586"/>
      <c r="XW586"/>
      <c r="XX586"/>
      <c r="XY586"/>
      <c r="XZ586"/>
      <c r="YA586"/>
      <c r="YB586"/>
      <c r="YC586"/>
      <c r="YD586"/>
      <c r="YE586"/>
      <c r="YF586"/>
      <c r="YG586"/>
      <c r="YH586"/>
      <c r="YI586"/>
      <c r="YJ586"/>
      <c r="YK586"/>
      <c r="YL586"/>
      <c r="YM586"/>
      <c r="YN586"/>
      <c r="YO586"/>
      <c r="YP586"/>
      <c r="YQ586"/>
      <c r="YR586"/>
      <c r="YS586"/>
      <c r="YT586"/>
      <c r="YU586"/>
      <c r="YV586"/>
      <c r="YW586"/>
      <c r="YX586"/>
      <c r="YY586"/>
      <c r="YZ586"/>
      <c r="ZA586"/>
      <c r="ZB586"/>
      <c r="ZC586"/>
      <c r="ZD586"/>
      <c r="ZE586"/>
      <c r="ZF586"/>
      <c r="ZG586"/>
      <c r="ZH586"/>
      <c r="ZI586"/>
      <c r="ZJ586"/>
      <c r="ZK586"/>
      <c r="ZL586"/>
      <c r="ZM586"/>
      <c r="ZN586"/>
      <c r="ZO586"/>
      <c r="ZP586"/>
      <c r="ZQ586"/>
      <c r="ZR586"/>
      <c r="ZS586"/>
      <c r="ZT586"/>
      <c r="ZU586"/>
      <c r="ZV586"/>
      <c r="ZW586"/>
      <c r="ZX586"/>
      <c r="ZY586"/>
      <c r="ZZ586" s="52"/>
      <c r="AAA586" s="192"/>
      <c r="AAD586" s="90"/>
      <c r="AAE586" s="519">
        <f>IF(S.Notice.Involved="Y",1,0)</f>
        <v>1</v>
      </c>
      <c r="AAF586" s="190" t="s">
        <v>52</v>
      </c>
      <c r="AAG586" s="71"/>
      <c r="AAH586" s="71"/>
      <c r="AAI586" s="72"/>
      <c r="AAJ586" s="72"/>
      <c r="AAK586" s="80" t="str">
        <f>S.Staff.Support&amp;", for comments not received through online form:"</f>
        <v>SavvySupport, for comments not received through online form:</v>
      </c>
      <c r="AAL586" s="90"/>
    </row>
    <row r="587" spans="1:715" s="23" customFormat="1" ht="15" customHeight="1" outlineLevel="1">
      <c r="A587" s="171"/>
      <c r="B587" s="625" t="s">
        <v>344</v>
      </c>
      <c r="C587" s="376" t="s">
        <v>0</v>
      </c>
      <c r="D587" s="380"/>
      <c r="E587" s="342">
        <f t="shared" ref="E587" si="468">NETWORKDAYS(G587,H587,S.DDL_DEQClosed)</f>
        <v>4</v>
      </c>
      <c r="F587" s="457">
        <f ca="1">IF(YEAR(H587)&gt;2000,NETWORKDAYS(TODAY(),H587,S.DDL_DEQClosed),0)</f>
        <v>55</v>
      </c>
      <c r="G587" s="408">
        <f t="shared" ref="G587" si="469">AAG587</f>
        <v>41652</v>
      </c>
      <c r="H587" s="408">
        <f t="shared" ref="H587" si="470">AAH587</f>
        <v>41655</v>
      </c>
      <c r="I587" s="244"/>
      <c r="J587" s="194"/>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9"/>
      <c r="CD587" s="49"/>
      <c r="CE587" s="49"/>
      <c r="CF587" s="49"/>
      <c r="CG587" s="49"/>
      <c r="CH587" s="49"/>
      <c r="CI587" s="49"/>
      <c r="CJ587" s="49"/>
      <c r="CK587" s="49"/>
      <c r="CL587" s="49"/>
      <c r="CM587" s="49"/>
      <c r="CN587" s="49"/>
      <c r="CO587" s="49"/>
      <c r="CP587" s="49"/>
      <c r="CQ587" s="49"/>
      <c r="CR587" s="49"/>
      <c r="CS587" s="49"/>
      <c r="CT587" s="49"/>
      <c r="CU587" s="49"/>
      <c r="CV587" s="49"/>
      <c r="CW587" s="49"/>
      <c r="CX587" s="49"/>
      <c r="CY587" s="49"/>
      <c r="CZ587" s="49"/>
      <c r="DA587" s="49"/>
      <c r="DB587" s="49"/>
      <c r="DC587" s="49"/>
      <c r="DD587" s="49"/>
      <c r="DE587" s="49"/>
      <c r="DF587" s="49"/>
      <c r="DG587" s="49"/>
      <c r="DH587" s="49"/>
      <c r="DI587" s="49"/>
      <c r="DJ587" s="49"/>
      <c r="DK587" s="49"/>
      <c r="DL587" s="49"/>
      <c r="DM587" s="49"/>
      <c r="DN587" s="49"/>
      <c r="DO587" s="49"/>
      <c r="DP587" s="49"/>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c r="LP587"/>
      <c r="LQ587"/>
      <c r="LR587"/>
      <c r="LS587"/>
      <c r="LT587"/>
      <c r="LU587"/>
      <c r="LV587"/>
      <c r="LW587"/>
      <c r="LX587"/>
      <c r="LY587"/>
      <c r="LZ587"/>
      <c r="MA587"/>
      <c r="MB587"/>
      <c r="MC587"/>
      <c r="MD587"/>
      <c r="ME587"/>
      <c r="MF587"/>
      <c r="MG587"/>
      <c r="MH587"/>
      <c r="MI587"/>
      <c r="MJ587"/>
      <c r="MK587"/>
      <c r="ML587"/>
      <c r="MM587"/>
      <c r="MN587"/>
      <c r="MO587"/>
      <c r="MP587"/>
      <c r="MQ587"/>
      <c r="MR587"/>
      <c r="MS587"/>
      <c r="MT587"/>
      <c r="MU587"/>
      <c r="MV587"/>
      <c r="MW587"/>
      <c r="MX587"/>
      <c r="MY587"/>
      <c r="MZ587"/>
      <c r="NA587"/>
      <c r="NB587"/>
      <c r="NC587"/>
      <c r="ND587"/>
      <c r="NE587"/>
      <c r="NF587"/>
      <c r="NG587"/>
      <c r="NH587"/>
      <c r="NI587"/>
      <c r="NJ587"/>
      <c r="NK587"/>
      <c r="NL587"/>
      <c r="NM587"/>
      <c r="NN587"/>
      <c r="NO587"/>
      <c r="NP587"/>
      <c r="NQ587"/>
      <c r="NR587"/>
      <c r="NS587"/>
      <c r="NT587"/>
      <c r="NU587"/>
      <c r="NV587"/>
      <c r="NW587"/>
      <c r="NX587"/>
      <c r="NY587"/>
      <c r="NZ587"/>
      <c r="OA587"/>
      <c r="OB587"/>
      <c r="OC587"/>
      <c r="OD587"/>
      <c r="OE587"/>
      <c r="OF587"/>
      <c r="OG587"/>
      <c r="OH587"/>
      <c r="OI587"/>
      <c r="OJ587"/>
      <c r="OK587"/>
      <c r="OL587"/>
      <c r="OM587"/>
      <c r="ON587"/>
      <c r="OO587"/>
      <c r="OP587"/>
      <c r="OQ587"/>
      <c r="OR587"/>
      <c r="OS587"/>
      <c r="OT587"/>
      <c r="OU587"/>
      <c r="OV587"/>
      <c r="OW587"/>
      <c r="OX587"/>
      <c r="OY587"/>
      <c r="OZ587"/>
      <c r="PA587"/>
      <c r="PB587"/>
      <c r="PC587"/>
      <c r="PD587"/>
      <c r="PE587"/>
      <c r="PF587"/>
      <c r="PG587"/>
      <c r="PH587"/>
      <c r="PI587"/>
      <c r="PJ587"/>
      <c r="PK587"/>
      <c r="PL587"/>
      <c r="PM587"/>
      <c r="PN587"/>
      <c r="PO587"/>
      <c r="PP587"/>
      <c r="PQ587"/>
      <c r="PR587"/>
      <c r="PS587"/>
      <c r="PT587"/>
      <c r="PU587"/>
      <c r="PV587"/>
      <c r="PW587"/>
      <c r="PX587"/>
      <c r="PY587"/>
      <c r="PZ587"/>
      <c r="QA587"/>
      <c r="QB587"/>
      <c r="QC587"/>
      <c r="QD587"/>
      <c r="QE587"/>
      <c r="QF587"/>
      <c r="QG587"/>
      <c r="QH587"/>
      <c r="QI587"/>
      <c r="QJ587"/>
      <c r="QK587"/>
      <c r="QL587"/>
      <c r="QM587"/>
      <c r="QN587"/>
      <c r="QO587"/>
      <c r="QP587"/>
      <c r="QQ587"/>
      <c r="QR587"/>
      <c r="QS587"/>
      <c r="QT587"/>
      <c r="QU587"/>
      <c r="QV587"/>
      <c r="QW587"/>
      <c r="QX587"/>
      <c r="QY587"/>
      <c r="QZ587"/>
      <c r="RA587"/>
      <c r="RB587"/>
      <c r="RC587"/>
      <c r="RD587"/>
      <c r="RE587"/>
      <c r="RF587"/>
      <c r="RG587"/>
      <c r="RH587"/>
      <c r="RI587"/>
      <c r="RJ587"/>
      <c r="RK587"/>
      <c r="RL587"/>
      <c r="RM587"/>
      <c r="RN587"/>
      <c r="RO587"/>
      <c r="RP587"/>
      <c r="RQ587"/>
      <c r="RR587"/>
      <c r="RS587"/>
      <c r="RT587"/>
      <c r="RU587"/>
      <c r="RV587"/>
      <c r="RW587"/>
      <c r="RX587"/>
      <c r="RY587"/>
      <c r="RZ587"/>
      <c r="SA587"/>
      <c r="SB587"/>
      <c r="SC587"/>
      <c r="SD587"/>
      <c r="SE587"/>
      <c r="SF587"/>
      <c r="SG587"/>
      <c r="SH587"/>
      <c r="SI587"/>
      <c r="SJ587"/>
      <c r="SK587"/>
      <c r="SL587"/>
      <c r="SM587"/>
      <c r="SN587"/>
      <c r="SO587"/>
      <c r="SP587"/>
      <c r="SQ587"/>
      <c r="SR587"/>
      <c r="SS587"/>
      <c r="ST587"/>
      <c r="SU587"/>
      <c r="SV587"/>
      <c r="SW587"/>
      <c r="SX587"/>
      <c r="SY587"/>
      <c r="SZ587"/>
      <c r="TA587"/>
      <c r="TB587"/>
      <c r="TC587"/>
      <c r="TD587"/>
      <c r="TE587"/>
      <c r="TF587"/>
      <c r="TG587"/>
      <c r="TH587"/>
      <c r="TI587"/>
      <c r="TJ587"/>
      <c r="TK587"/>
      <c r="TL587"/>
      <c r="TM587"/>
      <c r="TN587"/>
      <c r="TO587"/>
      <c r="TP587"/>
      <c r="TQ587"/>
      <c r="TR587"/>
      <c r="TS587"/>
      <c r="TT587"/>
      <c r="TU587"/>
      <c r="TV587"/>
      <c r="TW587"/>
      <c r="TX587"/>
      <c r="TY587"/>
      <c r="TZ587"/>
      <c r="UA587"/>
      <c r="UB587"/>
      <c r="UC587"/>
      <c r="UD587"/>
      <c r="UE587"/>
      <c r="UF587"/>
      <c r="UG587"/>
      <c r="UH587"/>
      <c r="UI587"/>
      <c r="UJ587"/>
      <c r="UK587"/>
      <c r="UL587"/>
      <c r="UM587"/>
      <c r="UN587"/>
      <c r="UO587"/>
      <c r="UP587"/>
      <c r="UQ587"/>
      <c r="UR587"/>
      <c r="US587"/>
      <c r="UT587"/>
      <c r="UU587"/>
      <c r="UV587"/>
      <c r="UW587"/>
      <c r="UX587"/>
      <c r="UY587"/>
      <c r="UZ587"/>
      <c r="VA587"/>
      <c r="VB587"/>
      <c r="VC587"/>
      <c r="VD587"/>
      <c r="VE587"/>
      <c r="VF587"/>
      <c r="VG587"/>
      <c r="VH587"/>
      <c r="VI587"/>
      <c r="VJ587"/>
      <c r="VK587"/>
      <c r="VL587"/>
      <c r="VM587"/>
      <c r="VN587"/>
      <c r="VO587"/>
      <c r="VP587"/>
      <c r="VQ587"/>
      <c r="VR587"/>
      <c r="VS587"/>
      <c r="VT587"/>
      <c r="VU587"/>
      <c r="VV587"/>
      <c r="VW587"/>
      <c r="VX587"/>
      <c r="VY587"/>
      <c r="VZ587"/>
      <c r="WA587"/>
      <c r="WB587"/>
      <c r="WC587"/>
      <c r="WD587"/>
      <c r="WE587"/>
      <c r="WF587"/>
      <c r="WG587"/>
      <c r="WH587"/>
      <c r="WI587"/>
      <c r="WJ587"/>
      <c r="WK587"/>
      <c r="WL587"/>
      <c r="WM587"/>
      <c r="WN587"/>
      <c r="WO587"/>
      <c r="WP587"/>
      <c r="WQ587"/>
      <c r="WR587"/>
      <c r="WS587"/>
      <c r="WT587"/>
      <c r="WU587"/>
      <c r="WV587"/>
      <c r="WW587"/>
      <c r="WX587"/>
      <c r="WY587"/>
      <c r="WZ587"/>
      <c r="XA587"/>
      <c r="XB587"/>
      <c r="XC587"/>
      <c r="XD587"/>
      <c r="XE587"/>
      <c r="XF587"/>
      <c r="XG587"/>
      <c r="XH587"/>
      <c r="XI587"/>
      <c r="XJ587"/>
      <c r="XK587"/>
      <c r="XL587"/>
      <c r="XM587"/>
      <c r="XN587"/>
      <c r="XO587"/>
      <c r="XP587"/>
      <c r="XQ587"/>
      <c r="XR587"/>
      <c r="XS587"/>
      <c r="XT587"/>
      <c r="XU587"/>
      <c r="XV587"/>
      <c r="XW587"/>
      <c r="XX587"/>
      <c r="XY587"/>
      <c r="XZ587"/>
      <c r="YA587"/>
      <c r="YB587"/>
      <c r="YC587"/>
      <c r="YD587"/>
      <c r="YE587"/>
      <c r="YF587"/>
      <c r="YG587"/>
      <c r="YH587"/>
      <c r="YI587"/>
      <c r="YJ587"/>
      <c r="YK587"/>
      <c r="YL587"/>
      <c r="YM587"/>
      <c r="YN587"/>
      <c r="YO587"/>
      <c r="YP587"/>
      <c r="YQ587"/>
      <c r="YR587"/>
      <c r="YS587"/>
      <c r="YT587"/>
      <c r="YU587"/>
      <c r="YV587"/>
      <c r="YW587"/>
      <c r="YX587"/>
      <c r="YY587"/>
      <c r="YZ587"/>
      <c r="ZA587"/>
      <c r="ZB587"/>
      <c r="ZC587"/>
      <c r="ZD587"/>
      <c r="ZE587"/>
      <c r="ZF587"/>
      <c r="ZG587"/>
      <c r="ZH587"/>
      <c r="ZI587"/>
      <c r="ZJ587"/>
      <c r="ZK587"/>
      <c r="ZL587"/>
      <c r="ZM587"/>
      <c r="ZN587"/>
      <c r="ZO587"/>
      <c r="ZP587"/>
      <c r="ZQ587"/>
      <c r="ZR587"/>
      <c r="ZS587"/>
      <c r="ZT587"/>
      <c r="ZU587"/>
      <c r="ZV587"/>
      <c r="ZW587"/>
      <c r="ZX587"/>
      <c r="ZY587"/>
      <c r="ZZ587" s="52"/>
      <c r="AAA587" s="192"/>
      <c r="AAD587" s="90"/>
      <c r="AAE587" s="519">
        <f>IF(AND(S.Notice.Involved="Y",S.Hearing.1stInvolve="Y"),1,0)</f>
        <v>1</v>
      </c>
      <c r="AAF587" s="90"/>
      <c r="AAG587" s="73">
        <f>IF(AAE587=0,,S.Notice.LastHearingDate)</f>
        <v>41652</v>
      </c>
      <c r="AAH587" s="73">
        <f>S.Notice.CloseComment</f>
        <v>41655</v>
      </c>
      <c r="AAI587" s="72"/>
      <c r="AAJ587" s="74"/>
      <c r="AAK587" s="185"/>
      <c r="AAL587" s="90"/>
    </row>
    <row r="588" spans="1:715" s="23" customFormat="1" ht="15" customHeight="1" outlineLevel="1">
      <c r="A588" s="171"/>
      <c r="B588" s="363" t="s">
        <v>165</v>
      </c>
      <c r="C588" s="376" t="s">
        <v>0</v>
      </c>
      <c r="D588" s="380"/>
      <c r="E588" s="342">
        <f t="shared" ref="E588" si="471">NETWORKDAYS(G588,H588,S.DDL_DEQClosed)</f>
        <v>4</v>
      </c>
      <c r="F588" s="457">
        <f ca="1">IF(YEAR(H588)&gt;2000,NETWORKDAYS(TODAY(),H588,S.DDL_DEQClosed),0)</f>
        <v>55</v>
      </c>
      <c r="G588" s="408">
        <f t="shared" ref="G588" si="472">AAG588</f>
        <v>41652</v>
      </c>
      <c r="H588" s="408">
        <f t="shared" ref="H588" si="473">AAH588</f>
        <v>41655</v>
      </c>
      <c r="I588" s="244"/>
      <c r="J588" s="194"/>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9"/>
      <c r="CD588" s="49"/>
      <c r="CE588" s="49"/>
      <c r="CF588" s="49"/>
      <c r="CG588" s="49"/>
      <c r="CH588" s="49"/>
      <c r="CI588" s="49"/>
      <c r="CJ588" s="49"/>
      <c r="CK588" s="49"/>
      <c r="CL588" s="49"/>
      <c r="CM588" s="49"/>
      <c r="CN588" s="49"/>
      <c r="CO588" s="49"/>
      <c r="CP588" s="49"/>
      <c r="CQ588" s="49"/>
      <c r="CR588" s="49"/>
      <c r="CS588" s="49"/>
      <c r="CT588" s="49"/>
      <c r="CU588" s="49"/>
      <c r="CV588" s="49"/>
      <c r="CW588" s="49"/>
      <c r="CX588" s="49"/>
      <c r="CY588" s="49"/>
      <c r="CZ588" s="49"/>
      <c r="DA588" s="49"/>
      <c r="DB588" s="49"/>
      <c r="DC588" s="49"/>
      <c r="DD588" s="49"/>
      <c r="DE588" s="49"/>
      <c r="DF588" s="49"/>
      <c r="DG588" s="49"/>
      <c r="DH588" s="49"/>
      <c r="DI588" s="49"/>
      <c r="DJ588" s="49"/>
      <c r="DK588" s="49"/>
      <c r="DL588" s="49"/>
      <c r="DM588" s="49"/>
      <c r="DN588" s="49"/>
      <c r="DO588" s="49"/>
      <c r="DP588" s="49"/>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c r="LP588"/>
      <c r="LQ588"/>
      <c r="LR588"/>
      <c r="LS588"/>
      <c r="LT588"/>
      <c r="LU588"/>
      <c r="LV588"/>
      <c r="LW588"/>
      <c r="LX588"/>
      <c r="LY588"/>
      <c r="LZ588"/>
      <c r="MA588"/>
      <c r="MB588"/>
      <c r="MC588"/>
      <c r="MD588"/>
      <c r="ME588"/>
      <c r="MF588"/>
      <c r="MG588"/>
      <c r="MH588"/>
      <c r="MI588"/>
      <c r="MJ588"/>
      <c r="MK588"/>
      <c r="ML588"/>
      <c r="MM588"/>
      <c r="MN588"/>
      <c r="MO588"/>
      <c r="MP588"/>
      <c r="MQ588"/>
      <c r="MR588"/>
      <c r="MS588"/>
      <c r="MT588"/>
      <c r="MU588"/>
      <c r="MV588"/>
      <c r="MW588"/>
      <c r="MX588"/>
      <c r="MY588"/>
      <c r="MZ588"/>
      <c r="NA588"/>
      <c r="NB588"/>
      <c r="NC588"/>
      <c r="ND588"/>
      <c r="NE588"/>
      <c r="NF588"/>
      <c r="NG588"/>
      <c r="NH588"/>
      <c r="NI588"/>
      <c r="NJ588"/>
      <c r="NK588"/>
      <c r="NL588"/>
      <c r="NM588"/>
      <c r="NN588"/>
      <c r="NO588"/>
      <c r="NP588"/>
      <c r="NQ588"/>
      <c r="NR588"/>
      <c r="NS588"/>
      <c r="NT588"/>
      <c r="NU588"/>
      <c r="NV588"/>
      <c r="NW588"/>
      <c r="NX588"/>
      <c r="NY588"/>
      <c r="NZ588"/>
      <c r="OA588"/>
      <c r="OB588"/>
      <c r="OC588"/>
      <c r="OD588"/>
      <c r="OE588"/>
      <c r="OF588"/>
      <c r="OG588"/>
      <c r="OH588"/>
      <c r="OI588"/>
      <c r="OJ588"/>
      <c r="OK588"/>
      <c r="OL588"/>
      <c r="OM588"/>
      <c r="ON588"/>
      <c r="OO588"/>
      <c r="OP588"/>
      <c r="OQ588"/>
      <c r="OR588"/>
      <c r="OS588"/>
      <c r="OT588"/>
      <c r="OU588"/>
      <c r="OV588"/>
      <c r="OW588"/>
      <c r="OX588"/>
      <c r="OY588"/>
      <c r="OZ588"/>
      <c r="PA588"/>
      <c r="PB588"/>
      <c r="PC588"/>
      <c r="PD588"/>
      <c r="PE588"/>
      <c r="PF588"/>
      <c r="PG588"/>
      <c r="PH588"/>
      <c r="PI588"/>
      <c r="PJ588"/>
      <c r="PK588"/>
      <c r="PL588"/>
      <c r="PM588"/>
      <c r="PN588"/>
      <c r="PO588"/>
      <c r="PP588"/>
      <c r="PQ588"/>
      <c r="PR588"/>
      <c r="PS588"/>
      <c r="PT588"/>
      <c r="PU588"/>
      <c r="PV588"/>
      <c r="PW588"/>
      <c r="PX588"/>
      <c r="PY588"/>
      <c r="PZ588"/>
      <c r="QA588"/>
      <c r="QB588"/>
      <c r="QC588"/>
      <c r="QD588"/>
      <c r="QE588"/>
      <c r="QF588"/>
      <c r="QG588"/>
      <c r="QH588"/>
      <c r="QI588"/>
      <c r="QJ588"/>
      <c r="QK588"/>
      <c r="QL588"/>
      <c r="QM588"/>
      <c r="QN588"/>
      <c r="QO588"/>
      <c r="QP588"/>
      <c r="QQ588"/>
      <c r="QR588"/>
      <c r="QS588"/>
      <c r="QT588"/>
      <c r="QU588"/>
      <c r="QV588"/>
      <c r="QW588"/>
      <c r="QX588"/>
      <c r="QY588"/>
      <c r="QZ588"/>
      <c r="RA588"/>
      <c r="RB588"/>
      <c r="RC588"/>
      <c r="RD588"/>
      <c r="RE588"/>
      <c r="RF588"/>
      <c r="RG588"/>
      <c r="RH588"/>
      <c r="RI588"/>
      <c r="RJ588"/>
      <c r="RK588"/>
      <c r="RL588"/>
      <c r="RM588"/>
      <c r="RN588"/>
      <c r="RO588"/>
      <c r="RP588"/>
      <c r="RQ588"/>
      <c r="RR588"/>
      <c r="RS588"/>
      <c r="RT588"/>
      <c r="RU588"/>
      <c r="RV588"/>
      <c r="RW588"/>
      <c r="RX588"/>
      <c r="RY588"/>
      <c r="RZ588"/>
      <c r="SA588"/>
      <c r="SB588"/>
      <c r="SC588"/>
      <c r="SD588"/>
      <c r="SE588"/>
      <c r="SF588"/>
      <c r="SG588"/>
      <c r="SH588"/>
      <c r="SI588"/>
      <c r="SJ588"/>
      <c r="SK588"/>
      <c r="SL588"/>
      <c r="SM588"/>
      <c r="SN588"/>
      <c r="SO588"/>
      <c r="SP588"/>
      <c r="SQ588"/>
      <c r="SR588"/>
      <c r="SS588"/>
      <c r="ST588"/>
      <c r="SU588"/>
      <c r="SV588"/>
      <c r="SW588"/>
      <c r="SX588"/>
      <c r="SY588"/>
      <c r="SZ588"/>
      <c r="TA588"/>
      <c r="TB588"/>
      <c r="TC588"/>
      <c r="TD588"/>
      <c r="TE588"/>
      <c r="TF588"/>
      <c r="TG588"/>
      <c r="TH588"/>
      <c r="TI588"/>
      <c r="TJ588"/>
      <c r="TK588"/>
      <c r="TL588"/>
      <c r="TM588"/>
      <c r="TN588"/>
      <c r="TO588"/>
      <c r="TP588"/>
      <c r="TQ588"/>
      <c r="TR588"/>
      <c r="TS588"/>
      <c r="TT588"/>
      <c r="TU588"/>
      <c r="TV588"/>
      <c r="TW588"/>
      <c r="TX588"/>
      <c r="TY588"/>
      <c r="TZ588"/>
      <c r="UA588"/>
      <c r="UB588"/>
      <c r="UC588"/>
      <c r="UD588"/>
      <c r="UE588"/>
      <c r="UF588"/>
      <c r="UG588"/>
      <c r="UH588"/>
      <c r="UI588"/>
      <c r="UJ588"/>
      <c r="UK588"/>
      <c r="UL588"/>
      <c r="UM588"/>
      <c r="UN588"/>
      <c r="UO588"/>
      <c r="UP588"/>
      <c r="UQ588"/>
      <c r="UR588"/>
      <c r="US588"/>
      <c r="UT588"/>
      <c r="UU588"/>
      <c r="UV588"/>
      <c r="UW588"/>
      <c r="UX588"/>
      <c r="UY588"/>
      <c r="UZ588"/>
      <c r="VA588"/>
      <c r="VB588"/>
      <c r="VC588"/>
      <c r="VD588"/>
      <c r="VE588"/>
      <c r="VF588"/>
      <c r="VG588"/>
      <c r="VH588"/>
      <c r="VI588"/>
      <c r="VJ588"/>
      <c r="VK588"/>
      <c r="VL588"/>
      <c r="VM588"/>
      <c r="VN588"/>
      <c r="VO588"/>
      <c r="VP588"/>
      <c r="VQ588"/>
      <c r="VR588"/>
      <c r="VS588"/>
      <c r="VT588"/>
      <c r="VU588"/>
      <c r="VV588"/>
      <c r="VW588"/>
      <c r="VX588"/>
      <c r="VY588"/>
      <c r="VZ588"/>
      <c r="WA588"/>
      <c r="WB588"/>
      <c r="WC588"/>
      <c r="WD588"/>
      <c r="WE588"/>
      <c r="WF588"/>
      <c r="WG588"/>
      <c r="WH588"/>
      <c r="WI588"/>
      <c r="WJ588"/>
      <c r="WK588"/>
      <c r="WL588"/>
      <c r="WM588"/>
      <c r="WN588"/>
      <c r="WO588"/>
      <c r="WP588"/>
      <c r="WQ588"/>
      <c r="WR588"/>
      <c r="WS588"/>
      <c r="WT588"/>
      <c r="WU588"/>
      <c r="WV588"/>
      <c r="WW588"/>
      <c r="WX588"/>
      <c r="WY588"/>
      <c r="WZ588"/>
      <c r="XA588"/>
      <c r="XB588"/>
      <c r="XC588"/>
      <c r="XD588"/>
      <c r="XE588"/>
      <c r="XF588"/>
      <c r="XG588"/>
      <c r="XH588"/>
      <c r="XI588"/>
      <c r="XJ588"/>
      <c r="XK588"/>
      <c r="XL588"/>
      <c r="XM588"/>
      <c r="XN588"/>
      <c r="XO588"/>
      <c r="XP588"/>
      <c r="XQ588"/>
      <c r="XR588"/>
      <c r="XS588"/>
      <c r="XT588"/>
      <c r="XU588"/>
      <c r="XV588"/>
      <c r="XW588"/>
      <c r="XX588"/>
      <c r="XY588"/>
      <c r="XZ588"/>
      <c r="YA588"/>
      <c r="YB588"/>
      <c r="YC588"/>
      <c r="YD588"/>
      <c r="YE588"/>
      <c r="YF588"/>
      <c r="YG588"/>
      <c r="YH588"/>
      <c r="YI588"/>
      <c r="YJ588"/>
      <c r="YK588"/>
      <c r="YL588"/>
      <c r="YM588"/>
      <c r="YN588"/>
      <c r="YO588"/>
      <c r="YP588"/>
      <c r="YQ588"/>
      <c r="YR588"/>
      <c r="YS588"/>
      <c r="YT588"/>
      <c r="YU588"/>
      <c r="YV588"/>
      <c r="YW588"/>
      <c r="YX588"/>
      <c r="YY588"/>
      <c r="YZ588"/>
      <c r="ZA588"/>
      <c r="ZB588"/>
      <c r="ZC588"/>
      <c r="ZD588"/>
      <c r="ZE588"/>
      <c r="ZF588"/>
      <c r="ZG588"/>
      <c r="ZH588"/>
      <c r="ZI588"/>
      <c r="ZJ588"/>
      <c r="ZK588"/>
      <c r="ZL588"/>
      <c r="ZM588"/>
      <c r="ZN588"/>
      <c r="ZO588"/>
      <c r="ZP588"/>
      <c r="ZQ588"/>
      <c r="ZR588"/>
      <c r="ZS588"/>
      <c r="ZT588"/>
      <c r="ZU588"/>
      <c r="ZV588"/>
      <c r="ZW588"/>
      <c r="ZX588"/>
      <c r="ZY588"/>
      <c r="ZZ588" s="52"/>
      <c r="AAA588" s="192"/>
      <c r="AAD588" s="90"/>
      <c r="AAE588" s="519">
        <f>IF(AND(S.Notice.Involved="Y",S.Hearing.1stInvolve="Y"),1,0)</f>
        <v>1</v>
      </c>
      <c r="AAF588" s="90"/>
      <c r="AAG588" s="73">
        <f>IF(AAE588=0,,S.Notice.LastHearingDate)</f>
        <v>41652</v>
      </c>
      <c r="AAH588" s="73">
        <f>S.Notice.CloseComment</f>
        <v>41655</v>
      </c>
      <c r="AAI588" s="72"/>
      <c r="AAJ588" s="74"/>
      <c r="AAK588" s="185"/>
      <c r="AAL588" s="90"/>
    </row>
    <row r="589" spans="1:715" ht="15" customHeight="1" outlineLevel="1">
      <c r="A589" s="171"/>
      <c r="B589" s="626" t="s">
        <v>345</v>
      </c>
      <c r="C589" s="376" t="s">
        <v>0</v>
      </c>
      <c r="D589" s="380"/>
      <c r="E589" s="397">
        <f>NETWORKDAYS(G589,H589,S.DDL_DEQClosed)</f>
        <v>24</v>
      </c>
      <c r="F589" s="457">
        <f ca="1">IF(YEAR(H589)&gt;2000,NETWORKDAYS(TODAY(),H589,S.DDL_DEQClosed),0)</f>
        <v>69</v>
      </c>
      <c r="G589" s="408">
        <f>AAG589</f>
        <v>41642</v>
      </c>
      <c r="H589" s="408">
        <f t="shared" ref="H589" si="474">AAH589</f>
        <v>41676</v>
      </c>
      <c r="I589" s="244"/>
      <c r="J589" s="194"/>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9"/>
      <c r="CD589" s="49"/>
      <c r="CE589" s="49"/>
      <c r="CF589" s="49"/>
      <c r="CG589" s="49"/>
      <c r="CH589" s="49"/>
      <c r="CI589" s="49"/>
      <c r="CJ589" s="49"/>
      <c r="CK589" s="49"/>
      <c r="CL589" s="49"/>
      <c r="CM589" s="49"/>
      <c r="CN589" s="49"/>
      <c r="CO589" s="49"/>
      <c r="CP589" s="49"/>
      <c r="CQ589" s="49"/>
      <c r="CR589" s="49"/>
      <c r="CS589" s="49"/>
      <c r="CT589" s="49"/>
      <c r="CU589" s="49"/>
      <c r="CV589" s="49"/>
      <c r="CW589" s="49"/>
      <c r="CX589" s="49"/>
      <c r="CY589" s="49"/>
      <c r="CZ589" s="49"/>
      <c r="DA589" s="49"/>
      <c r="DB589" s="49"/>
      <c r="DC589" s="49"/>
      <c r="DD589" s="49"/>
      <c r="DE589" s="49"/>
      <c r="DF589" s="49"/>
      <c r="DG589" s="49"/>
      <c r="DH589" s="49"/>
      <c r="DI589" s="49"/>
      <c r="DJ589" s="49"/>
      <c r="DK589" s="49"/>
      <c r="DL589" s="49"/>
      <c r="DM589" s="49"/>
      <c r="DN589" s="49"/>
      <c r="DO589" s="49"/>
      <c r="DP589" s="49"/>
      <c r="AAA589" s="192"/>
      <c r="AAD589" s="90"/>
      <c r="AAE589" s="519">
        <f>IF(S.Notice.Involved="Y",1,0)</f>
        <v>1</v>
      </c>
      <c r="AAF589" s="90"/>
      <c r="AAG589" s="73">
        <f>IF(AAE589=0,,WORKDAY(S.Notice.InOregonBulletin+1,1,S.DDL_DEQClosed))</f>
        <v>41642</v>
      </c>
      <c r="AAH589" s="73">
        <f>S.EQC.SubmitStaffRpt</f>
        <v>41676</v>
      </c>
      <c r="AAI589" s="72"/>
      <c r="AAJ589" s="74"/>
      <c r="AAK589" s="185"/>
      <c r="AAL589" s="90"/>
      <c r="AAM589"/>
    </row>
    <row r="590" spans="1:715" ht="18" customHeight="1" outlineLevel="1">
      <c r="A590" s="171"/>
      <c r="B590" s="855" t="s">
        <v>23</v>
      </c>
      <c r="C590" s="855"/>
      <c r="D590" s="855"/>
      <c r="E590" s="855"/>
      <c r="F590" s="855"/>
      <c r="G590" s="856"/>
      <c r="H590" s="573">
        <f>AAH590</f>
        <v>41655</v>
      </c>
      <c r="I590" s="244"/>
      <c r="J590" s="194"/>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9"/>
      <c r="CD590" s="49"/>
      <c r="CE590" s="49"/>
      <c r="CF590" s="49"/>
      <c r="CG590" s="49"/>
      <c r="CH590" s="49"/>
      <c r="CI590" s="49"/>
      <c r="CJ590" s="49"/>
      <c r="CK590" s="49"/>
      <c r="CL590" s="49"/>
      <c r="CM590" s="49"/>
      <c r="CN590" s="49"/>
      <c r="CO590" s="49"/>
      <c r="CP590" s="49"/>
      <c r="CQ590" s="49"/>
      <c r="CR590" s="49"/>
      <c r="CS590" s="49"/>
      <c r="CT590" s="49"/>
      <c r="CU590" s="49"/>
      <c r="CV590" s="49"/>
      <c r="CW590" s="49"/>
      <c r="CX590" s="49"/>
      <c r="CY590" s="49"/>
      <c r="CZ590" s="49"/>
      <c r="DA590" s="49"/>
      <c r="DB590" s="49"/>
      <c r="DC590" s="49"/>
      <c r="DD590" s="49"/>
      <c r="DE590" s="49"/>
      <c r="DF590" s="49"/>
      <c r="DG590" s="49"/>
      <c r="DH590" s="49"/>
      <c r="DI590" s="49"/>
      <c r="DJ590" s="49"/>
      <c r="DK590" s="49"/>
      <c r="DL590" s="49"/>
      <c r="DM590" s="49"/>
      <c r="DN590" s="49"/>
      <c r="DO590" s="49"/>
      <c r="DP590" s="49"/>
      <c r="AAA590" s="192"/>
      <c r="AAD590" s="90"/>
      <c r="AAE590" s="519">
        <f t="shared" ref="AAE590:AAE611" si="475">IF(S.Notice.Involved="Y",1,0)</f>
        <v>1</v>
      </c>
      <c r="AAF590" s="90"/>
      <c r="AAG590" s="73">
        <f>IF(AAE590=0,,S.Notice.CloseComment)</f>
        <v>41655</v>
      </c>
      <c r="AAH590" s="73">
        <f>S.Notice.CloseComment</f>
        <v>41655</v>
      </c>
      <c r="AAI590" s="72"/>
      <c r="AAJ590" s="74"/>
      <c r="AAK590" s="56"/>
      <c r="AAL590" s="90"/>
      <c r="AAM590"/>
    </row>
    <row r="591" spans="1:715" s="23" customFormat="1" ht="15" customHeight="1" outlineLevel="1">
      <c r="A591" s="171"/>
      <c r="B591" s="398" t="str">
        <f>AAK591</f>
        <v>AndreaRW:</v>
      </c>
      <c r="C591" s="346"/>
      <c r="D591" s="357"/>
      <c r="E591" s="350"/>
      <c r="F591" s="350"/>
      <c r="G591" s="346"/>
      <c r="H591" s="346"/>
      <c r="I591" s="244"/>
      <c r="J591" s="194"/>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9"/>
      <c r="CD591" s="49"/>
      <c r="CE591" s="49"/>
      <c r="CF591" s="49"/>
      <c r="CG591" s="49"/>
      <c r="CH591" s="49"/>
      <c r="CI591" s="49"/>
      <c r="CJ591" s="49"/>
      <c r="CK591" s="49"/>
      <c r="CL591" s="49"/>
      <c r="CM591" s="49"/>
      <c r="CN591" s="49"/>
      <c r="CO591" s="49"/>
      <c r="CP591" s="49"/>
      <c r="CQ591" s="49"/>
      <c r="CR591" s="49"/>
      <c r="CS591" s="49"/>
      <c r="CT591" s="49"/>
      <c r="CU591" s="49"/>
      <c r="CV591" s="49"/>
      <c r="CW591" s="49"/>
      <c r="CX591" s="49"/>
      <c r="CY591" s="49"/>
      <c r="CZ591" s="49"/>
      <c r="DA591" s="49"/>
      <c r="DB591" s="49"/>
      <c r="DC591" s="49"/>
      <c r="DD591" s="49"/>
      <c r="DE591" s="49"/>
      <c r="DF591" s="49"/>
      <c r="DG591" s="49"/>
      <c r="DH591" s="49"/>
      <c r="DI591" s="49"/>
      <c r="DJ591" s="49"/>
      <c r="DK591" s="49"/>
      <c r="DL591" s="49"/>
      <c r="DM591" s="49"/>
      <c r="DN591" s="49"/>
      <c r="DO591" s="49"/>
      <c r="DP591" s="49"/>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c r="IW591"/>
      <c r="IX591"/>
      <c r="IY591"/>
      <c r="IZ591"/>
      <c r="JA591"/>
      <c r="JB591"/>
      <c r="JC591"/>
      <c r="JD591"/>
      <c r="JE591"/>
      <c r="JF591"/>
      <c r="JG591"/>
      <c r="JH591"/>
      <c r="JI591"/>
      <c r="JJ591"/>
      <c r="JK591"/>
      <c r="JL591"/>
      <c r="JM591"/>
      <c r="JN591"/>
      <c r="JO591"/>
      <c r="JP591"/>
      <c r="JQ591"/>
      <c r="JR591"/>
      <c r="JS591"/>
      <c r="JT591"/>
      <c r="JU591"/>
      <c r="JV591"/>
      <c r="JW591"/>
      <c r="JX591"/>
      <c r="JY591"/>
      <c r="JZ591"/>
      <c r="KA591"/>
      <c r="KB591"/>
      <c r="KC591"/>
      <c r="KD591"/>
      <c r="KE591"/>
      <c r="KF591"/>
      <c r="KG591"/>
      <c r="KH591"/>
      <c r="KI591"/>
      <c r="KJ591"/>
      <c r="KK591"/>
      <c r="KL591"/>
      <c r="KM591"/>
      <c r="KN591"/>
      <c r="KO591"/>
      <c r="KP591"/>
      <c r="KQ591"/>
      <c r="KR591"/>
      <c r="KS591"/>
      <c r="KT591"/>
      <c r="KU591"/>
      <c r="KV591"/>
      <c r="KW591"/>
      <c r="KX591"/>
      <c r="KY591"/>
      <c r="KZ591"/>
      <c r="LA591"/>
      <c r="LB591"/>
      <c r="LC591"/>
      <c r="LD591"/>
      <c r="LE591"/>
      <c r="LF591"/>
      <c r="LG591"/>
      <c r="LH591"/>
      <c r="LI591"/>
      <c r="LJ591"/>
      <c r="LK591"/>
      <c r="LL591"/>
      <c r="LM591"/>
      <c r="LN591"/>
      <c r="LO591"/>
      <c r="LP591"/>
      <c r="LQ591"/>
      <c r="LR591"/>
      <c r="LS591"/>
      <c r="LT591"/>
      <c r="LU591"/>
      <c r="LV591"/>
      <c r="LW591"/>
      <c r="LX591"/>
      <c r="LY591"/>
      <c r="LZ591"/>
      <c r="MA591"/>
      <c r="MB591"/>
      <c r="MC591"/>
      <c r="MD591"/>
      <c r="ME591"/>
      <c r="MF591"/>
      <c r="MG591"/>
      <c r="MH591"/>
      <c r="MI591"/>
      <c r="MJ591"/>
      <c r="MK591"/>
      <c r="ML591"/>
      <c r="MM591"/>
      <c r="MN591"/>
      <c r="MO591"/>
      <c r="MP591"/>
      <c r="MQ591"/>
      <c r="MR591"/>
      <c r="MS591"/>
      <c r="MT591"/>
      <c r="MU591"/>
      <c r="MV591"/>
      <c r="MW591"/>
      <c r="MX591"/>
      <c r="MY591"/>
      <c r="MZ591"/>
      <c r="NA591"/>
      <c r="NB591"/>
      <c r="NC591"/>
      <c r="ND591"/>
      <c r="NE591"/>
      <c r="NF591"/>
      <c r="NG591"/>
      <c r="NH591"/>
      <c r="NI591"/>
      <c r="NJ591"/>
      <c r="NK591"/>
      <c r="NL591"/>
      <c r="NM591"/>
      <c r="NN591"/>
      <c r="NO591"/>
      <c r="NP591"/>
      <c r="NQ591"/>
      <c r="NR591"/>
      <c r="NS591"/>
      <c r="NT591"/>
      <c r="NU591"/>
      <c r="NV591"/>
      <c r="NW591"/>
      <c r="NX591"/>
      <c r="NY591"/>
      <c r="NZ591"/>
      <c r="OA591"/>
      <c r="OB591"/>
      <c r="OC591"/>
      <c r="OD591"/>
      <c r="OE591"/>
      <c r="OF591"/>
      <c r="OG591"/>
      <c r="OH591"/>
      <c r="OI591"/>
      <c r="OJ591"/>
      <c r="OK591"/>
      <c r="OL591"/>
      <c r="OM591"/>
      <c r="ON591"/>
      <c r="OO591"/>
      <c r="OP591"/>
      <c r="OQ591"/>
      <c r="OR591"/>
      <c r="OS591"/>
      <c r="OT591"/>
      <c r="OU591"/>
      <c r="OV591"/>
      <c r="OW591"/>
      <c r="OX591"/>
      <c r="OY591"/>
      <c r="OZ591"/>
      <c r="PA591"/>
      <c r="PB591"/>
      <c r="PC591"/>
      <c r="PD591"/>
      <c r="PE591"/>
      <c r="PF591"/>
      <c r="PG591"/>
      <c r="PH591"/>
      <c r="PI591"/>
      <c r="PJ591"/>
      <c r="PK591"/>
      <c r="PL591"/>
      <c r="PM591"/>
      <c r="PN591"/>
      <c r="PO591"/>
      <c r="PP591"/>
      <c r="PQ591"/>
      <c r="PR591"/>
      <c r="PS591"/>
      <c r="PT591"/>
      <c r="PU591"/>
      <c r="PV591"/>
      <c r="PW591"/>
      <c r="PX591"/>
      <c r="PY591"/>
      <c r="PZ591"/>
      <c r="QA591"/>
      <c r="QB591"/>
      <c r="QC591"/>
      <c r="QD591"/>
      <c r="QE591"/>
      <c r="QF591"/>
      <c r="QG591"/>
      <c r="QH591"/>
      <c r="QI591"/>
      <c r="QJ591"/>
      <c r="QK591"/>
      <c r="QL591"/>
      <c r="QM591"/>
      <c r="QN591"/>
      <c r="QO591"/>
      <c r="QP591"/>
      <c r="QQ591"/>
      <c r="QR591"/>
      <c r="QS591"/>
      <c r="QT591"/>
      <c r="QU591"/>
      <c r="QV591"/>
      <c r="QW591"/>
      <c r="QX591"/>
      <c r="QY591"/>
      <c r="QZ591"/>
      <c r="RA591"/>
      <c r="RB591"/>
      <c r="RC591"/>
      <c r="RD591"/>
      <c r="RE591"/>
      <c r="RF591"/>
      <c r="RG591"/>
      <c r="RH591"/>
      <c r="RI591"/>
      <c r="RJ591"/>
      <c r="RK591"/>
      <c r="RL591"/>
      <c r="RM591"/>
      <c r="RN591"/>
      <c r="RO591"/>
      <c r="RP591"/>
      <c r="RQ591"/>
      <c r="RR591"/>
      <c r="RS591"/>
      <c r="RT591"/>
      <c r="RU591"/>
      <c r="RV591"/>
      <c r="RW591"/>
      <c r="RX591"/>
      <c r="RY591"/>
      <c r="RZ591"/>
      <c r="SA591"/>
      <c r="SB591"/>
      <c r="SC591"/>
      <c r="SD591"/>
      <c r="SE591"/>
      <c r="SF591"/>
      <c r="SG591"/>
      <c r="SH591"/>
      <c r="SI591"/>
      <c r="SJ591"/>
      <c r="SK591"/>
      <c r="SL591"/>
      <c r="SM591"/>
      <c r="SN591"/>
      <c r="SO591"/>
      <c r="SP591"/>
      <c r="SQ591"/>
      <c r="SR591"/>
      <c r="SS591"/>
      <c r="ST591"/>
      <c r="SU591"/>
      <c r="SV591"/>
      <c r="SW591"/>
      <c r="SX591"/>
      <c r="SY591"/>
      <c r="SZ591"/>
      <c r="TA591"/>
      <c r="TB591"/>
      <c r="TC591"/>
      <c r="TD591"/>
      <c r="TE591"/>
      <c r="TF591"/>
      <c r="TG591"/>
      <c r="TH591"/>
      <c r="TI591"/>
      <c r="TJ591"/>
      <c r="TK591"/>
      <c r="TL591"/>
      <c r="TM591"/>
      <c r="TN591"/>
      <c r="TO591"/>
      <c r="TP591"/>
      <c r="TQ591"/>
      <c r="TR591"/>
      <c r="TS591"/>
      <c r="TT591"/>
      <c r="TU591"/>
      <c r="TV591"/>
      <c r="TW591"/>
      <c r="TX591"/>
      <c r="TY591"/>
      <c r="TZ591"/>
      <c r="UA591"/>
      <c r="UB591"/>
      <c r="UC591"/>
      <c r="UD591"/>
      <c r="UE591"/>
      <c r="UF591"/>
      <c r="UG591"/>
      <c r="UH591"/>
      <c r="UI591"/>
      <c r="UJ591"/>
      <c r="UK591"/>
      <c r="UL591"/>
      <c r="UM591"/>
      <c r="UN591"/>
      <c r="UO591"/>
      <c r="UP591"/>
      <c r="UQ591"/>
      <c r="UR591"/>
      <c r="US591"/>
      <c r="UT591"/>
      <c r="UU591"/>
      <c r="UV591"/>
      <c r="UW591"/>
      <c r="UX591"/>
      <c r="UY591"/>
      <c r="UZ591"/>
      <c r="VA591"/>
      <c r="VB591"/>
      <c r="VC591"/>
      <c r="VD591"/>
      <c r="VE591"/>
      <c r="VF591"/>
      <c r="VG591"/>
      <c r="VH591"/>
      <c r="VI591"/>
      <c r="VJ591"/>
      <c r="VK591"/>
      <c r="VL591"/>
      <c r="VM591"/>
      <c r="VN591"/>
      <c r="VO591"/>
      <c r="VP591"/>
      <c r="VQ591"/>
      <c r="VR591"/>
      <c r="VS591"/>
      <c r="VT591"/>
      <c r="VU591"/>
      <c r="VV591"/>
      <c r="VW591"/>
      <c r="VX591"/>
      <c r="VY591"/>
      <c r="VZ591"/>
      <c r="WA591"/>
      <c r="WB591"/>
      <c r="WC591"/>
      <c r="WD591"/>
      <c r="WE591"/>
      <c r="WF591"/>
      <c r="WG591"/>
      <c r="WH591"/>
      <c r="WI591"/>
      <c r="WJ591"/>
      <c r="WK591"/>
      <c r="WL591"/>
      <c r="WM591"/>
      <c r="WN591"/>
      <c r="WO591"/>
      <c r="WP591"/>
      <c r="WQ591"/>
      <c r="WR591"/>
      <c r="WS591"/>
      <c r="WT591"/>
      <c r="WU591"/>
      <c r="WV591"/>
      <c r="WW591"/>
      <c r="WX591"/>
      <c r="WY591"/>
      <c r="WZ591"/>
      <c r="XA591"/>
      <c r="XB591"/>
      <c r="XC591"/>
      <c r="XD591"/>
      <c r="XE591"/>
      <c r="XF591"/>
      <c r="XG591"/>
      <c r="XH591"/>
      <c r="XI591"/>
      <c r="XJ591"/>
      <c r="XK591"/>
      <c r="XL591"/>
      <c r="XM591"/>
      <c r="XN591"/>
      <c r="XO591"/>
      <c r="XP591"/>
      <c r="XQ591"/>
      <c r="XR591"/>
      <c r="XS591"/>
      <c r="XT591"/>
      <c r="XU591"/>
      <c r="XV591"/>
      <c r="XW591"/>
      <c r="XX591"/>
      <c r="XY591"/>
      <c r="XZ591"/>
      <c r="YA591"/>
      <c r="YB591"/>
      <c r="YC591"/>
      <c r="YD591"/>
      <c r="YE591"/>
      <c r="YF591"/>
      <c r="YG591"/>
      <c r="YH591"/>
      <c r="YI591"/>
      <c r="YJ591"/>
      <c r="YK591"/>
      <c r="YL591"/>
      <c r="YM591"/>
      <c r="YN591"/>
      <c r="YO591"/>
      <c r="YP591"/>
      <c r="YQ591"/>
      <c r="YR591"/>
      <c r="YS591"/>
      <c r="YT591"/>
      <c r="YU591"/>
      <c r="YV591"/>
      <c r="YW591"/>
      <c r="YX591"/>
      <c r="YY591"/>
      <c r="YZ591"/>
      <c r="ZA591"/>
      <c r="ZB591"/>
      <c r="ZC591"/>
      <c r="ZD591"/>
      <c r="ZE591"/>
      <c r="ZF591"/>
      <c r="ZG591"/>
      <c r="ZH591"/>
      <c r="ZI591"/>
      <c r="ZJ591"/>
      <c r="ZK591"/>
      <c r="ZL591"/>
      <c r="ZM591"/>
      <c r="ZN591"/>
      <c r="ZO591"/>
      <c r="ZP591"/>
      <c r="ZQ591"/>
      <c r="ZR591"/>
      <c r="ZS591"/>
      <c r="ZT591"/>
      <c r="ZU591"/>
      <c r="ZV591"/>
      <c r="ZW591"/>
      <c r="ZX591"/>
      <c r="ZY591"/>
      <c r="ZZ591" s="52"/>
      <c r="AAA591" s="192"/>
      <c r="AAD591" s="90"/>
      <c r="AAE591" s="519">
        <f>IF(S.Notice.Involved="Y",1,0)</f>
        <v>1</v>
      </c>
      <c r="AAF591" s="190" t="s">
        <v>52</v>
      </c>
      <c r="AAG591" s="71"/>
      <c r="AAH591" s="71"/>
      <c r="AAI591" s="72"/>
      <c r="AAJ591" s="72"/>
      <c r="AAK591" s="80" t="str">
        <f>S.Staff.Lead&amp;":"</f>
        <v>AndreaRW:</v>
      </c>
      <c r="AAL591" s="90"/>
    </row>
    <row r="592" spans="1:715" ht="15" customHeight="1" outlineLevel="1">
      <c r="A592" s="171"/>
      <c r="B592" s="363" t="s">
        <v>234</v>
      </c>
      <c r="C592" s="376" t="s">
        <v>0</v>
      </c>
      <c r="D592" s="380"/>
      <c r="E592" s="342">
        <f>NETWORKDAYS(G592,H592,S.DDL_DEQClosed)</f>
        <v>4</v>
      </c>
      <c r="F592" s="457">
        <f ca="1">IF(YEAR(H592)&gt;2000,NETWORKDAYS(TODAY(),H592,S.DDL_DEQClosed),0)</f>
        <v>55</v>
      </c>
      <c r="G592" s="408">
        <f>AAG592</f>
        <v>41652</v>
      </c>
      <c r="H592" s="408">
        <f>AAH592</f>
        <v>41655</v>
      </c>
      <c r="I592" s="244"/>
      <c r="J592" s="194"/>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9"/>
      <c r="CD592" s="49"/>
      <c r="CE592" s="49"/>
      <c r="CF592" s="49"/>
      <c r="CG592" s="49"/>
      <c r="CH592" s="49"/>
      <c r="CI592" s="49"/>
      <c r="CJ592" s="49"/>
      <c r="CK592" s="49"/>
      <c r="CL592" s="49"/>
      <c r="CM592" s="49"/>
      <c r="CN592" s="49"/>
      <c r="CO592" s="49"/>
      <c r="CP592" s="49"/>
      <c r="CQ592" s="49"/>
      <c r="CR592" s="49"/>
      <c r="CS592" s="49"/>
      <c r="CT592" s="49"/>
      <c r="CU592" s="49"/>
      <c r="CV592" s="49"/>
      <c r="CW592" s="49"/>
      <c r="CX592" s="49"/>
      <c r="CY592" s="49"/>
      <c r="CZ592" s="49"/>
      <c r="DA592" s="49"/>
      <c r="DB592" s="49"/>
      <c r="DC592" s="49"/>
      <c r="DD592" s="49"/>
      <c r="DE592" s="49"/>
      <c r="DF592" s="49"/>
      <c r="DG592" s="49"/>
      <c r="DH592" s="49"/>
      <c r="DI592" s="49"/>
      <c r="DJ592" s="49"/>
      <c r="DK592" s="49"/>
      <c r="DL592" s="49"/>
      <c r="DM592" s="49"/>
      <c r="DN592" s="49"/>
      <c r="DO592" s="49"/>
      <c r="DP592" s="49"/>
      <c r="AAA592" s="192"/>
      <c r="AAD592" s="90"/>
      <c r="AAE592" s="519">
        <f>IF(AND(S.Notice.Involved="Y",S.Hearing.1stInvolve="Y"),1,0)</f>
        <v>1</v>
      </c>
      <c r="AAF592" s="90"/>
      <c r="AAG592" s="73">
        <f>IF(AAE592=0,,S.Notice.LastHearingDate)</f>
        <v>41652</v>
      </c>
      <c r="AAH592" s="73">
        <f>S.Notice.CloseComment</f>
        <v>41655</v>
      </c>
      <c r="AAI592" s="72"/>
      <c r="AAJ592" s="74"/>
      <c r="AAK592" s="56"/>
      <c r="AAL592" s="90"/>
      <c r="AAM592"/>
    </row>
    <row r="593" spans="1:715" s="23" customFormat="1" ht="15" customHeight="1" outlineLevel="1">
      <c r="A593" s="171"/>
      <c r="B593" s="363" t="s">
        <v>235</v>
      </c>
      <c r="C593" s="386"/>
      <c r="D593" s="411"/>
      <c r="E593" s="412"/>
      <c r="F593" s="412"/>
      <c r="G593" s="386"/>
      <c r="H593" s="386"/>
      <c r="I593" s="244"/>
      <c r="J593" s="194"/>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9"/>
      <c r="CD593" s="49"/>
      <c r="CE593" s="49"/>
      <c r="CF593" s="49"/>
      <c r="CG593" s="49"/>
      <c r="CH593" s="49"/>
      <c r="CI593" s="49"/>
      <c r="CJ593" s="49"/>
      <c r="CK593" s="49"/>
      <c r="CL593" s="49"/>
      <c r="CM593" s="49"/>
      <c r="CN593" s="49"/>
      <c r="CO593" s="49"/>
      <c r="CP593" s="49"/>
      <c r="CQ593" s="49"/>
      <c r="CR593" s="49"/>
      <c r="CS593" s="49"/>
      <c r="CT593" s="49"/>
      <c r="CU593" s="49"/>
      <c r="CV593" s="49"/>
      <c r="CW593" s="49"/>
      <c r="CX593" s="49"/>
      <c r="CY593" s="49"/>
      <c r="CZ593" s="49"/>
      <c r="DA593" s="49"/>
      <c r="DB593" s="49"/>
      <c r="DC593" s="49"/>
      <c r="DD593" s="49"/>
      <c r="DE593" s="49"/>
      <c r="DF593" s="49"/>
      <c r="DG593" s="49"/>
      <c r="DH593" s="49"/>
      <c r="DI593" s="49"/>
      <c r="DJ593" s="49"/>
      <c r="DK593" s="49"/>
      <c r="DL593" s="49"/>
      <c r="DM593" s="49"/>
      <c r="DN593" s="49"/>
      <c r="DO593" s="49"/>
      <c r="DP593" s="49"/>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c r="IW593"/>
      <c r="IX593"/>
      <c r="IY593"/>
      <c r="IZ593"/>
      <c r="JA593"/>
      <c r="JB593"/>
      <c r="JC593"/>
      <c r="JD593"/>
      <c r="JE593"/>
      <c r="JF593"/>
      <c r="JG593"/>
      <c r="JH593"/>
      <c r="JI593"/>
      <c r="JJ593"/>
      <c r="JK593"/>
      <c r="JL593"/>
      <c r="JM593"/>
      <c r="JN593"/>
      <c r="JO593"/>
      <c r="JP593"/>
      <c r="JQ593"/>
      <c r="JR593"/>
      <c r="JS593"/>
      <c r="JT593"/>
      <c r="JU593"/>
      <c r="JV593"/>
      <c r="JW593"/>
      <c r="JX593"/>
      <c r="JY593"/>
      <c r="JZ593"/>
      <c r="KA593"/>
      <c r="KB593"/>
      <c r="KC593"/>
      <c r="KD593"/>
      <c r="KE593"/>
      <c r="KF593"/>
      <c r="KG593"/>
      <c r="KH593"/>
      <c r="KI593"/>
      <c r="KJ593"/>
      <c r="KK593"/>
      <c r="KL593"/>
      <c r="KM593"/>
      <c r="KN593"/>
      <c r="KO593"/>
      <c r="KP593"/>
      <c r="KQ593"/>
      <c r="KR593"/>
      <c r="KS593"/>
      <c r="KT593"/>
      <c r="KU593"/>
      <c r="KV593"/>
      <c r="KW593"/>
      <c r="KX593"/>
      <c r="KY593"/>
      <c r="KZ593"/>
      <c r="LA593"/>
      <c r="LB593"/>
      <c r="LC593"/>
      <c r="LD593"/>
      <c r="LE593"/>
      <c r="LF593"/>
      <c r="LG593"/>
      <c r="LH593"/>
      <c r="LI593"/>
      <c r="LJ593"/>
      <c r="LK593"/>
      <c r="LL593"/>
      <c r="LM593"/>
      <c r="LN593"/>
      <c r="LO593"/>
      <c r="LP593"/>
      <c r="LQ593"/>
      <c r="LR593"/>
      <c r="LS593"/>
      <c r="LT593"/>
      <c r="LU593"/>
      <c r="LV593"/>
      <c r="LW593"/>
      <c r="LX593"/>
      <c r="LY593"/>
      <c r="LZ593"/>
      <c r="MA593"/>
      <c r="MB593"/>
      <c r="MC593"/>
      <c r="MD593"/>
      <c r="ME593"/>
      <c r="MF593"/>
      <c r="MG593"/>
      <c r="MH593"/>
      <c r="MI593"/>
      <c r="MJ593"/>
      <c r="MK593"/>
      <c r="ML593"/>
      <c r="MM593"/>
      <c r="MN593"/>
      <c r="MO593"/>
      <c r="MP593"/>
      <c r="MQ593"/>
      <c r="MR593"/>
      <c r="MS593"/>
      <c r="MT593"/>
      <c r="MU593"/>
      <c r="MV593"/>
      <c r="MW593"/>
      <c r="MX593"/>
      <c r="MY593"/>
      <c r="MZ593"/>
      <c r="NA593"/>
      <c r="NB593"/>
      <c r="NC593"/>
      <c r="ND593"/>
      <c r="NE593"/>
      <c r="NF593"/>
      <c r="NG593"/>
      <c r="NH593"/>
      <c r="NI593"/>
      <c r="NJ593"/>
      <c r="NK593"/>
      <c r="NL593"/>
      <c r="NM593"/>
      <c r="NN593"/>
      <c r="NO593"/>
      <c r="NP593"/>
      <c r="NQ593"/>
      <c r="NR593"/>
      <c r="NS593"/>
      <c r="NT593"/>
      <c r="NU593"/>
      <c r="NV593"/>
      <c r="NW593"/>
      <c r="NX593"/>
      <c r="NY593"/>
      <c r="NZ593"/>
      <c r="OA593"/>
      <c r="OB593"/>
      <c r="OC593"/>
      <c r="OD593"/>
      <c r="OE593"/>
      <c r="OF593"/>
      <c r="OG593"/>
      <c r="OH593"/>
      <c r="OI593"/>
      <c r="OJ593"/>
      <c r="OK593"/>
      <c r="OL593"/>
      <c r="OM593"/>
      <c r="ON593"/>
      <c r="OO593"/>
      <c r="OP593"/>
      <c r="OQ593"/>
      <c r="OR593"/>
      <c r="OS593"/>
      <c r="OT593"/>
      <c r="OU593"/>
      <c r="OV593"/>
      <c r="OW593"/>
      <c r="OX593"/>
      <c r="OY593"/>
      <c r="OZ593"/>
      <c r="PA593"/>
      <c r="PB593"/>
      <c r="PC593"/>
      <c r="PD593"/>
      <c r="PE593"/>
      <c r="PF593"/>
      <c r="PG593"/>
      <c r="PH593"/>
      <c r="PI593"/>
      <c r="PJ593"/>
      <c r="PK593"/>
      <c r="PL593"/>
      <c r="PM593"/>
      <c r="PN593"/>
      <c r="PO593"/>
      <c r="PP593"/>
      <c r="PQ593"/>
      <c r="PR593"/>
      <c r="PS593"/>
      <c r="PT593"/>
      <c r="PU593"/>
      <c r="PV593"/>
      <c r="PW593"/>
      <c r="PX593"/>
      <c r="PY593"/>
      <c r="PZ593"/>
      <c r="QA593"/>
      <c r="QB593"/>
      <c r="QC593"/>
      <c r="QD593"/>
      <c r="QE593"/>
      <c r="QF593"/>
      <c r="QG593"/>
      <c r="QH593"/>
      <c r="QI593"/>
      <c r="QJ593"/>
      <c r="QK593"/>
      <c r="QL593"/>
      <c r="QM593"/>
      <c r="QN593"/>
      <c r="QO593"/>
      <c r="QP593"/>
      <c r="QQ593"/>
      <c r="QR593"/>
      <c r="QS593"/>
      <c r="QT593"/>
      <c r="QU593"/>
      <c r="QV593"/>
      <c r="QW593"/>
      <c r="QX593"/>
      <c r="QY593"/>
      <c r="QZ593"/>
      <c r="RA593"/>
      <c r="RB593"/>
      <c r="RC593"/>
      <c r="RD593"/>
      <c r="RE593"/>
      <c r="RF593"/>
      <c r="RG593"/>
      <c r="RH593"/>
      <c r="RI593"/>
      <c r="RJ593"/>
      <c r="RK593"/>
      <c r="RL593"/>
      <c r="RM593"/>
      <c r="RN593"/>
      <c r="RO593"/>
      <c r="RP593"/>
      <c r="RQ593"/>
      <c r="RR593"/>
      <c r="RS593"/>
      <c r="RT593"/>
      <c r="RU593"/>
      <c r="RV593"/>
      <c r="RW593"/>
      <c r="RX593"/>
      <c r="RY593"/>
      <c r="RZ593"/>
      <c r="SA593"/>
      <c r="SB593"/>
      <c r="SC593"/>
      <c r="SD593"/>
      <c r="SE593"/>
      <c r="SF593"/>
      <c r="SG593"/>
      <c r="SH593"/>
      <c r="SI593"/>
      <c r="SJ593"/>
      <c r="SK593"/>
      <c r="SL593"/>
      <c r="SM593"/>
      <c r="SN593"/>
      <c r="SO593"/>
      <c r="SP593"/>
      <c r="SQ593"/>
      <c r="SR593"/>
      <c r="SS593"/>
      <c r="ST593"/>
      <c r="SU593"/>
      <c r="SV593"/>
      <c r="SW593"/>
      <c r="SX593"/>
      <c r="SY593"/>
      <c r="SZ593"/>
      <c r="TA593"/>
      <c r="TB593"/>
      <c r="TC593"/>
      <c r="TD593"/>
      <c r="TE593"/>
      <c r="TF593"/>
      <c r="TG593"/>
      <c r="TH593"/>
      <c r="TI593"/>
      <c r="TJ593"/>
      <c r="TK593"/>
      <c r="TL593"/>
      <c r="TM593"/>
      <c r="TN593"/>
      <c r="TO593"/>
      <c r="TP593"/>
      <c r="TQ593"/>
      <c r="TR593"/>
      <c r="TS593"/>
      <c r="TT593"/>
      <c r="TU593"/>
      <c r="TV593"/>
      <c r="TW593"/>
      <c r="TX593"/>
      <c r="TY593"/>
      <c r="TZ593"/>
      <c r="UA593"/>
      <c r="UB593"/>
      <c r="UC593"/>
      <c r="UD593"/>
      <c r="UE593"/>
      <c r="UF593"/>
      <c r="UG593"/>
      <c r="UH593"/>
      <c r="UI593"/>
      <c r="UJ593"/>
      <c r="UK593"/>
      <c r="UL593"/>
      <c r="UM593"/>
      <c r="UN593"/>
      <c r="UO593"/>
      <c r="UP593"/>
      <c r="UQ593"/>
      <c r="UR593"/>
      <c r="US593"/>
      <c r="UT593"/>
      <c r="UU593"/>
      <c r="UV593"/>
      <c r="UW593"/>
      <c r="UX593"/>
      <c r="UY593"/>
      <c r="UZ593"/>
      <c r="VA593"/>
      <c r="VB593"/>
      <c r="VC593"/>
      <c r="VD593"/>
      <c r="VE593"/>
      <c r="VF593"/>
      <c r="VG593"/>
      <c r="VH593"/>
      <c r="VI593"/>
      <c r="VJ593"/>
      <c r="VK593"/>
      <c r="VL593"/>
      <c r="VM593"/>
      <c r="VN593"/>
      <c r="VO593"/>
      <c r="VP593"/>
      <c r="VQ593"/>
      <c r="VR593"/>
      <c r="VS593"/>
      <c r="VT593"/>
      <c r="VU593"/>
      <c r="VV593"/>
      <c r="VW593"/>
      <c r="VX593"/>
      <c r="VY593"/>
      <c r="VZ593"/>
      <c r="WA593"/>
      <c r="WB593"/>
      <c r="WC593"/>
      <c r="WD593"/>
      <c r="WE593"/>
      <c r="WF593"/>
      <c r="WG593"/>
      <c r="WH593"/>
      <c r="WI593"/>
      <c r="WJ593"/>
      <c r="WK593"/>
      <c r="WL593"/>
      <c r="WM593"/>
      <c r="WN593"/>
      <c r="WO593"/>
      <c r="WP593"/>
      <c r="WQ593"/>
      <c r="WR593"/>
      <c r="WS593"/>
      <c r="WT593"/>
      <c r="WU593"/>
      <c r="WV593"/>
      <c r="WW593"/>
      <c r="WX593"/>
      <c r="WY593"/>
      <c r="WZ593"/>
      <c r="XA593"/>
      <c r="XB593"/>
      <c r="XC593"/>
      <c r="XD593"/>
      <c r="XE593"/>
      <c r="XF593"/>
      <c r="XG593"/>
      <c r="XH593"/>
      <c r="XI593"/>
      <c r="XJ593"/>
      <c r="XK593"/>
      <c r="XL593"/>
      <c r="XM593"/>
      <c r="XN593"/>
      <c r="XO593"/>
      <c r="XP593"/>
      <c r="XQ593"/>
      <c r="XR593"/>
      <c r="XS593"/>
      <c r="XT593"/>
      <c r="XU593"/>
      <c r="XV593"/>
      <c r="XW593"/>
      <c r="XX593"/>
      <c r="XY593"/>
      <c r="XZ593"/>
      <c r="YA593"/>
      <c r="YB593"/>
      <c r="YC593"/>
      <c r="YD593"/>
      <c r="YE593"/>
      <c r="YF593"/>
      <c r="YG593"/>
      <c r="YH593"/>
      <c r="YI593"/>
      <c r="YJ593"/>
      <c r="YK593"/>
      <c r="YL593"/>
      <c r="YM593"/>
      <c r="YN593"/>
      <c r="YO593"/>
      <c r="YP593"/>
      <c r="YQ593"/>
      <c r="YR593"/>
      <c r="YS593"/>
      <c r="YT593"/>
      <c r="YU593"/>
      <c r="YV593"/>
      <c r="YW593"/>
      <c r="YX593"/>
      <c r="YY593"/>
      <c r="YZ593"/>
      <c r="ZA593"/>
      <c r="ZB593"/>
      <c r="ZC593"/>
      <c r="ZD593"/>
      <c r="ZE593"/>
      <c r="ZF593"/>
      <c r="ZG593"/>
      <c r="ZH593"/>
      <c r="ZI593"/>
      <c r="ZJ593"/>
      <c r="ZK593"/>
      <c r="ZL593"/>
      <c r="ZM593"/>
      <c r="ZN593"/>
      <c r="ZO593"/>
      <c r="ZP593"/>
      <c r="ZQ593"/>
      <c r="ZR593"/>
      <c r="ZS593"/>
      <c r="ZT593"/>
      <c r="ZU593"/>
      <c r="ZV593"/>
      <c r="ZW593"/>
      <c r="ZX593"/>
      <c r="ZY593"/>
      <c r="ZZ593" s="52"/>
      <c r="AAA593" s="192"/>
      <c r="AAD593" s="90"/>
      <c r="AAE593" s="519">
        <f>IF(S.Notice.Involved="Y",1,0)</f>
        <v>1</v>
      </c>
      <c r="AAF593" s="190" t="s">
        <v>52</v>
      </c>
      <c r="AAG593" s="71"/>
      <c r="AAH593" s="71"/>
      <c r="AAI593" s="72"/>
      <c r="AAJ593" s="72"/>
      <c r="AAK593" s="56"/>
      <c r="AAL593" s="90"/>
    </row>
    <row r="594" spans="1:715" s="23" customFormat="1" ht="15" customHeight="1" outlineLevel="1">
      <c r="A594" s="171"/>
      <c r="B594" s="627" t="s">
        <v>231</v>
      </c>
      <c r="C594" s="376" t="s">
        <v>0</v>
      </c>
      <c r="D594" s="380"/>
      <c r="E594" s="342">
        <f t="shared" ref="E594" si="476">NETWORKDAYS(G594,H594,S.DDL_DEQClosed)</f>
        <v>1</v>
      </c>
      <c r="F594" s="457">
        <f t="shared" ref="F594:F608" ca="1" si="477">IF(YEAR(H594)&gt;2000,NETWORKDAYS(TODAY(),H594,S.DDL_DEQClosed),0)</f>
        <v>52</v>
      </c>
      <c r="G594" s="408">
        <f>AAG594</f>
        <v>41652</v>
      </c>
      <c r="H594" s="408">
        <f t="shared" ref="H594:H596" si="478">AAH594</f>
        <v>41652</v>
      </c>
      <c r="I594" s="244"/>
      <c r="J594" s="194"/>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9"/>
      <c r="CD594" s="49"/>
      <c r="CE594" s="49"/>
      <c r="CF594" s="49"/>
      <c r="CG594" s="49"/>
      <c r="CH594" s="49"/>
      <c r="CI594" s="49"/>
      <c r="CJ594" s="49"/>
      <c r="CK594" s="49"/>
      <c r="CL594" s="49"/>
      <c r="CM594" s="49"/>
      <c r="CN594" s="49"/>
      <c r="CO594" s="49"/>
      <c r="CP594" s="49"/>
      <c r="CQ594" s="49"/>
      <c r="CR594" s="49"/>
      <c r="CS594" s="49"/>
      <c r="CT594" s="49"/>
      <c r="CU594" s="49"/>
      <c r="CV594" s="49"/>
      <c r="CW594" s="49"/>
      <c r="CX594" s="49"/>
      <c r="CY594" s="49"/>
      <c r="CZ594" s="49"/>
      <c r="DA594" s="49"/>
      <c r="DB594" s="49"/>
      <c r="DC594" s="49"/>
      <c r="DD594" s="49"/>
      <c r="DE594" s="49"/>
      <c r="DF594" s="49"/>
      <c r="DG594" s="49"/>
      <c r="DH594" s="49"/>
      <c r="DI594" s="49"/>
      <c r="DJ594" s="49"/>
      <c r="DK594" s="49"/>
      <c r="DL594" s="49"/>
      <c r="DM594" s="49"/>
      <c r="DN594" s="49"/>
      <c r="DO594" s="49"/>
      <c r="DP594" s="49"/>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c r="IW594"/>
      <c r="IX594"/>
      <c r="IY594"/>
      <c r="IZ594"/>
      <c r="JA594"/>
      <c r="JB594"/>
      <c r="JC594"/>
      <c r="JD594"/>
      <c r="JE594"/>
      <c r="JF594"/>
      <c r="JG594"/>
      <c r="JH594"/>
      <c r="JI594"/>
      <c r="JJ594"/>
      <c r="JK594"/>
      <c r="JL594"/>
      <c r="JM594"/>
      <c r="JN594"/>
      <c r="JO594"/>
      <c r="JP594"/>
      <c r="JQ594"/>
      <c r="JR594"/>
      <c r="JS594"/>
      <c r="JT594"/>
      <c r="JU594"/>
      <c r="JV594"/>
      <c r="JW594"/>
      <c r="JX594"/>
      <c r="JY594"/>
      <c r="JZ594"/>
      <c r="KA594"/>
      <c r="KB594"/>
      <c r="KC594"/>
      <c r="KD594"/>
      <c r="KE594"/>
      <c r="KF594"/>
      <c r="KG594"/>
      <c r="KH594"/>
      <c r="KI594"/>
      <c r="KJ594"/>
      <c r="KK594"/>
      <c r="KL594"/>
      <c r="KM594"/>
      <c r="KN594"/>
      <c r="KO594"/>
      <c r="KP594"/>
      <c r="KQ594"/>
      <c r="KR594"/>
      <c r="KS594"/>
      <c r="KT594"/>
      <c r="KU594"/>
      <c r="KV594"/>
      <c r="KW594"/>
      <c r="KX594"/>
      <c r="KY594"/>
      <c r="KZ594"/>
      <c r="LA594"/>
      <c r="LB594"/>
      <c r="LC594"/>
      <c r="LD594"/>
      <c r="LE594"/>
      <c r="LF594"/>
      <c r="LG594"/>
      <c r="LH594"/>
      <c r="LI594"/>
      <c r="LJ594"/>
      <c r="LK594"/>
      <c r="LL594"/>
      <c r="LM594"/>
      <c r="LN594"/>
      <c r="LO594"/>
      <c r="LP594"/>
      <c r="LQ594"/>
      <c r="LR594"/>
      <c r="LS594"/>
      <c r="LT594"/>
      <c r="LU594"/>
      <c r="LV594"/>
      <c r="LW594"/>
      <c r="LX594"/>
      <c r="LY594"/>
      <c r="LZ594"/>
      <c r="MA594"/>
      <c r="MB594"/>
      <c r="MC594"/>
      <c r="MD594"/>
      <c r="ME594"/>
      <c r="MF594"/>
      <c r="MG594"/>
      <c r="MH594"/>
      <c r="MI594"/>
      <c r="MJ594"/>
      <c r="MK594"/>
      <c r="ML594"/>
      <c r="MM594"/>
      <c r="MN594"/>
      <c r="MO594"/>
      <c r="MP594"/>
      <c r="MQ594"/>
      <c r="MR594"/>
      <c r="MS594"/>
      <c r="MT594"/>
      <c r="MU594"/>
      <c r="MV594"/>
      <c r="MW594"/>
      <c r="MX594"/>
      <c r="MY594"/>
      <c r="MZ594"/>
      <c r="NA594"/>
      <c r="NB594"/>
      <c r="NC594"/>
      <c r="ND594"/>
      <c r="NE594"/>
      <c r="NF594"/>
      <c r="NG594"/>
      <c r="NH594"/>
      <c r="NI594"/>
      <c r="NJ594"/>
      <c r="NK594"/>
      <c r="NL594"/>
      <c r="NM594"/>
      <c r="NN594"/>
      <c r="NO594"/>
      <c r="NP594"/>
      <c r="NQ594"/>
      <c r="NR594"/>
      <c r="NS594"/>
      <c r="NT594"/>
      <c r="NU594"/>
      <c r="NV594"/>
      <c r="NW594"/>
      <c r="NX594"/>
      <c r="NY594"/>
      <c r="NZ594"/>
      <c r="OA594"/>
      <c r="OB594"/>
      <c r="OC594"/>
      <c r="OD594"/>
      <c r="OE594"/>
      <c r="OF594"/>
      <c r="OG594"/>
      <c r="OH594"/>
      <c r="OI594"/>
      <c r="OJ594"/>
      <c r="OK594"/>
      <c r="OL594"/>
      <c r="OM594"/>
      <c r="ON594"/>
      <c r="OO594"/>
      <c r="OP594"/>
      <c r="OQ594"/>
      <c r="OR594"/>
      <c r="OS594"/>
      <c r="OT594"/>
      <c r="OU594"/>
      <c r="OV594"/>
      <c r="OW594"/>
      <c r="OX594"/>
      <c r="OY594"/>
      <c r="OZ594"/>
      <c r="PA594"/>
      <c r="PB594"/>
      <c r="PC594"/>
      <c r="PD594"/>
      <c r="PE594"/>
      <c r="PF594"/>
      <c r="PG594"/>
      <c r="PH594"/>
      <c r="PI594"/>
      <c r="PJ594"/>
      <c r="PK594"/>
      <c r="PL594"/>
      <c r="PM594"/>
      <c r="PN594"/>
      <c r="PO594"/>
      <c r="PP594"/>
      <c r="PQ594"/>
      <c r="PR594"/>
      <c r="PS594"/>
      <c r="PT594"/>
      <c r="PU594"/>
      <c r="PV594"/>
      <c r="PW594"/>
      <c r="PX594"/>
      <c r="PY594"/>
      <c r="PZ594"/>
      <c r="QA594"/>
      <c r="QB594"/>
      <c r="QC594"/>
      <c r="QD594"/>
      <c r="QE594"/>
      <c r="QF594"/>
      <c r="QG594"/>
      <c r="QH594"/>
      <c r="QI594"/>
      <c r="QJ594"/>
      <c r="QK594"/>
      <c r="QL594"/>
      <c r="QM594"/>
      <c r="QN594"/>
      <c r="QO594"/>
      <c r="QP594"/>
      <c r="QQ594"/>
      <c r="QR594"/>
      <c r="QS594"/>
      <c r="QT594"/>
      <c r="QU594"/>
      <c r="QV594"/>
      <c r="QW594"/>
      <c r="QX594"/>
      <c r="QY594"/>
      <c r="QZ594"/>
      <c r="RA594"/>
      <c r="RB594"/>
      <c r="RC594"/>
      <c r="RD594"/>
      <c r="RE594"/>
      <c r="RF594"/>
      <c r="RG594"/>
      <c r="RH594"/>
      <c r="RI594"/>
      <c r="RJ594"/>
      <c r="RK594"/>
      <c r="RL594"/>
      <c r="RM594"/>
      <c r="RN594"/>
      <c r="RO594"/>
      <c r="RP594"/>
      <c r="RQ594"/>
      <c r="RR594"/>
      <c r="RS594"/>
      <c r="RT594"/>
      <c r="RU594"/>
      <c r="RV594"/>
      <c r="RW594"/>
      <c r="RX594"/>
      <c r="RY594"/>
      <c r="RZ594"/>
      <c r="SA594"/>
      <c r="SB594"/>
      <c r="SC594"/>
      <c r="SD594"/>
      <c r="SE594"/>
      <c r="SF594"/>
      <c r="SG594"/>
      <c r="SH594"/>
      <c r="SI594"/>
      <c r="SJ594"/>
      <c r="SK594"/>
      <c r="SL594"/>
      <c r="SM594"/>
      <c r="SN594"/>
      <c r="SO594"/>
      <c r="SP594"/>
      <c r="SQ594"/>
      <c r="SR594"/>
      <c r="SS594"/>
      <c r="ST594"/>
      <c r="SU594"/>
      <c r="SV594"/>
      <c r="SW594"/>
      <c r="SX594"/>
      <c r="SY594"/>
      <c r="SZ594"/>
      <c r="TA594"/>
      <c r="TB594"/>
      <c r="TC594"/>
      <c r="TD594"/>
      <c r="TE594"/>
      <c r="TF594"/>
      <c r="TG594"/>
      <c r="TH594"/>
      <c r="TI594"/>
      <c r="TJ594"/>
      <c r="TK594"/>
      <c r="TL594"/>
      <c r="TM594"/>
      <c r="TN594"/>
      <c r="TO594"/>
      <c r="TP594"/>
      <c r="TQ594"/>
      <c r="TR594"/>
      <c r="TS594"/>
      <c r="TT594"/>
      <c r="TU594"/>
      <c r="TV594"/>
      <c r="TW594"/>
      <c r="TX594"/>
      <c r="TY594"/>
      <c r="TZ594"/>
      <c r="UA594"/>
      <c r="UB594"/>
      <c r="UC594"/>
      <c r="UD594"/>
      <c r="UE594"/>
      <c r="UF594"/>
      <c r="UG594"/>
      <c r="UH594"/>
      <c r="UI594"/>
      <c r="UJ594"/>
      <c r="UK594"/>
      <c r="UL594"/>
      <c r="UM594"/>
      <c r="UN594"/>
      <c r="UO594"/>
      <c r="UP594"/>
      <c r="UQ594"/>
      <c r="UR594"/>
      <c r="US594"/>
      <c r="UT594"/>
      <c r="UU594"/>
      <c r="UV594"/>
      <c r="UW594"/>
      <c r="UX594"/>
      <c r="UY594"/>
      <c r="UZ594"/>
      <c r="VA594"/>
      <c r="VB594"/>
      <c r="VC594"/>
      <c r="VD594"/>
      <c r="VE594"/>
      <c r="VF594"/>
      <c r="VG594"/>
      <c r="VH594"/>
      <c r="VI594"/>
      <c r="VJ594"/>
      <c r="VK594"/>
      <c r="VL594"/>
      <c r="VM594"/>
      <c r="VN594"/>
      <c r="VO594"/>
      <c r="VP594"/>
      <c r="VQ594"/>
      <c r="VR594"/>
      <c r="VS594"/>
      <c r="VT594"/>
      <c r="VU594"/>
      <c r="VV594"/>
      <c r="VW594"/>
      <c r="VX594"/>
      <c r="VY594"/>
      <c r="VZ594"/>
      <c r="WA594"/>
      <c r="WB594"/>
      <c r="WC594"/>
      <c r="WD594"/>
      <c r="WE594"/>
      <c r="WF594"/>
      <c r="WG594"/>
      <c r="WH594"/>
      <c r="WI594"/>
      <c r="WJ594"/>
      <c r="WK594"/>
      <c r="WL594"/>
      <c r="WM594"/>
      <c r="WN594"/>
      <c r="WO594"/>
      <c r="WP594"/>
      <c r="WQ594"/>
      <c r="WR594"/>
      <c r="WS594"/>
      <c r="WT594"/>
      <c r="WU594"/>
      <c r="WV594"/>
      <c r="WW594"/>
      <c r="WX594"/>
      <c r="WY594"/>
      <c r="WZ594"/>
      <c r="XA594"/>
      <c r="XB594"/>
      <c r="XC594"/>
      <c r="XD594"/>
      <c r="XE594"/>
      <c r="XF594"/>
      <c r="XG594"/>
      <c r="XH594"/>
      <c r="XI594"/>
      <c r="XJ594"/>
      <c r="XK594"/>
      <c r="XL594"/>
      <c r="XM594"/>
      <c r="XN594"/>
      <c r="XO594"/>
      <c r="XP594"/>
      <c r="XQ594"/>
      <c r="XR594"/>
      <c r="XS594"/>
      <c r="XT594"/>
      <c r="XU594"/>
      <c r="XV594"/>
      <c r="XW594"/>
      <c r="XX594"/>
      <c r="XY594"/>
      <c r="XZ594"/>
      <c r="YA594"/>
      <c r="YB594"/>
      <c r="YC594"/>
      <c r="YD594"/>
      <c r="YE594"/>
      <c r="YF594"/>
      <c r="YG594"/>
      <c r="YH594"/>
      <c r="YI594"/>
      <c r="YJ594"/>
      <c r="YK594"/>
      <c r="YL594"/>
      <c r="YM594"/>
      <c r="YN594"/>
      <c r="YO594"/>
      <c r="YP594"/>
      <c r="YQ594"/>
      <c r="YR594"/>
      <c r="YS594"/>
      <c r="YT594"/>
      <c r="YU594"/>
      <c r="YV594"/>
      <c r="YW594"/>
      <c r="YX594"/>
      <c r="YY594"/>
      <c r="YZ594"/>
      <c r="ZA594"/>
      <c r="ZB594"/>
      <c r="ZC594"/>
      <c r="ZD594"/>
      <c r="ZE594"/>
      <c r="ZF594"/>
      <c r="ZG594"/>
      <c r="ZH594"/>
      <c r="ZI594"/>
      <c r="ZJ594"/>
      <c r="ZK594"/>
      <c r="ZL594"/>
      <c r="ZM594"/>
      <c r="ZN594"/>
      <c r="ZO594"/>
      <c r="ZP594"/>
      <c r="ZQ594"/>
      <c r="ZR594"/>
      <c r="ZS594"/>
      <c r="ZT594"/>
      <c r="ZU594"/>
      <c r="ZV594"/>
      <c r="ZW594"/>
      <c r="ZX594"/>
      <c r="ZY594"/>
      <c r="ZZ594" s="52"/>
      <c r="AAA594" s="192" t="s">
        <v>0</v>
      </c>
      <c r="AAD594" s="90"/>
      <c r="AAE594" s="519">
        <f>IF(AND(S.Notice.Involved="Y",S.Hearing.1stInvolve="Y"),1,0)</f>
        <v>1</v>
      </c>
      <c r="AAF594" s="90"/>
      <c r="AAG594" s="73">
        <f>IF(AAE594=0,,S.Hearing.1stDate)</f>
        <v>41652</v>
      </c>
      <c r="AAH594" s="73">
        <f>G594</f>
        <v>41652</v>
      </c>
      <c r="AAI594" s="72"/>
      <c r="AAJ594" s="74"/>
      <c r="AAK594" s="56"/>
      <c r="AAL594" s="90"/>
    </row>
    <row r="595" spans="1:715" s="23" customFormat="1" ht="15" customHeight="1" outlineLevel="1">
      <c r="A595" s="171"/>
      <c r="B595" s="628" t="s">
        <v>232</v>
      </c>
      <c r="C595" s="376" t="s">
        <v>0</v>
      </c>
      <c r="D595" s="380"/>
      <c r="E595" s="342">
        <f t="shared" ref="E595" si="479">NETWORKDAYS(G595,H595,S.DDL_DEQClosed)</f>
        <v>1</v>
      </c>
      <c r="F595" s="457">
        <f t="shared" ca="1" si="477"/>
        <v>52</v>
      </c>
      <c r="G595" s="408">
        <f t="shared" ref="G595:G596" si="480">AAG595</f>
        <v>41652</v>
      </c>
      <c r="H595" s="408">
        <f t="shared" si="478"/>
        <v>41652</v>
      </c>
      <c r="I595" s="244"/>
      <c r="J595" s="194"/>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9"/>
      <c r="CD595" s="49"/>
      <c r="CE595" s="49"/>
      <c r="CF595" s="49"/>
      <c r="CG595" s="49"/>
      <c r="CH595" s="49"/>
      <c r="CI595" s="49"/>
      <c r="CJ595" s="49"/>
      <c r="CK595" s="49"/>
      <c r="CL595" s="49"/>
      <c r="CM595" s="49"/>
      <c r="CN595" s="49"/>
      <c r="CO595" s="49"/>
      <c r="CP595" s="49"/>
      <c r="CQ595" s="49"/>
      <c r="CR595" s="49"/>
      <c r="CS595" s="49"/>
      <c r="CT595" s="49"/>
      <c r="CU595" s="49"/>
      <c r="CV595" s="49"/>
      <c r="CW595" s="49"/>
      <c r="CX595" s="49"/>
      <c r="CY595" s="49"/>
      <c r="CZ595" s="49"/>
      <c r="DA595" s="49"/>
      <c r="DB595" s="49"/>
      <c r="DC595" s="49"/>
      <c r="DD595" s="49"/>
      <c r="DE595" s="49"/>
      <c r="DF595" s="49"/>
      <c r="DG595" s="49"/>
      <c r="DH595" s="49"/>
      <c r="DI595" s="49"/>
      <c r="DJ595" s="49"/>
      <c r="DK595" s="49"/>
      <c r="DL595" s="49"/>
      <c r="DM595" s="49"/>
      <c r="DN595" s="49"/>
      <c r="DO595" s="49"/>
      <c r="DP595" s="49"/>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c r="IW595"/>
      <c r="IX595"/>
      <c r="IY595"/>
      <c r="IZ595"/>
      <c r="JA595"/>
      <c r="JB595"/>
      <c r="JC595"/>
      <c r="JD595"/>
      <c r="JE595"/>
      <c r="JF595"/>
      <c r="JG595"/>
      <c r="JH595"/>
      <c r="JI595"/>
      <c r="JJ595"/>
      <c r="JK595"/>
      <c r="JL595"/>
      <c r="JM595"/>
      <c r="JN595"/>
      <c r="JO595"/>
      <c r="JP595"/>
      <c r="JQ595"/>
      <c r="JR595"/>
      <c r="JS595"/>
      <c r="JT595"/>
      <c r="JU595"/>
      <c r="JV595"/>
      <c r="JW595"/>
      <c r="JX595"/>
      <c r="JY595"/>
      <c r="JZ595"/>
      <c r="KA595"/>
      <c r="KB595"/>
      <c r="KC595"/>
      <c r="KD595"/>
      <c r="KE595"/>
      <c r="KF595"/>
      <c r="KG595"/>
      <c r="KH595"/>
      <c r="KI595"/>
      <c r="KJ595"/>
      <c r="KK595"/>
      <c r="KL595"/>
      <c r="KM595"/>
      <c r="KN595"/>
      <c r="KO595"/>
      <c r="KP595"/>
      <c r="KQ595"/>
      <c r="KR595"/>
      <c r="KS595"/>
      <c r="KT595"/>
      <c r="KU595"/>
      <c r="KV595"/>
      <c r="KW595"/>
      <c r="KX595"/>
      <c r="KY595"/>
      <c r="KZ595"/>
      <c r="LA595"/>
      <c r="LB595"/>
      <c r="LC595"/>
      <c r="LD595"/>
      <c r="LE595"/>
      <c r="LF595"/>
      <c r="LG595"/>
      <c r="LH595"/>
      <c r="LI595"/>
      <c r="LJ595"/>
      <c r="LK595"/>
      <c r="LL595"/>
      <c r="LM595"/>
      <c r="LN595"/>
      <c r="LO595"/>
      <c r="LP595"/>
      <c r="LQ595"/>
      <c r="LR595"/>
      <c r="LS595"/>
      <c r="LT595"/>
      <c r="LU595"/>
      <c r="LV595"/>
      <c r="LW595"/>
      <c r="LX595"/>
      <c r="LY595"/>
      <c r="LZ595"/>
      <c r="MA595"/>
      <c r="MB595"/>
      <c r="MC595"/>
      <c r="MD595"/>
      <c r="ME595"/>
      <c r="MF595"/>
      <c r="MG595"/>
      <c r="MH595"/>
      <c r="MI595"/>
      <c r="MJ595"/>
      <c r="MK595"/>
      <c r="ML595"/>
      <c r="MM595"/>
      <c r="MN595"/>
      <c r="MO595"/>
      <c r="MP595"/>
      <c r="MQ595"/>
      <c r="MR595"/>
      <c r="MS595"/>
      <c r="MT595"/>
      <c r="MU595"/>
      <c r="MV595"/>
      <c r="MW595"/>
      <c r="MX595"/>
      <c r="MY595"/>
      <c r="MZ595"/>
      <c r="NA595"/>
      <c r="NB595"/>
      <c r="NC595"/>
      <c r="ND595"/>
      <c r="NE595"/>
      <c r="NF595"/>
      <c r="NG595"/>
      <c r="NH595"/>
      <c r="NI595"/>
      <c r="NJ595"/>
      <c r="NK595"/>
      <c r="NL595"/>
      <c r="NM595"/>
      <c r="NN595"/>
      <c r="NO595"/>
      <c r="NP595"/>
      <c r="NQ595"/>
      <c r="NR595"/>
      <c r="NS595"/>
      <c r="NT595"/>
      <c r="NU595"/>
      <c r="NV595"/>
      <c r="NW595"/>
      <c r="NX595"/>
      <c r="NY595"/>
      <c r="NZ595"/>
      <c r="OA595"/>
      <c r="OB595"/>
      <c r="OC595"/>
      <c r="OD595"/>
      <c r="OE595"/>
      <c r="OF595"/>
      <c r="OG595"/>
      <c r="OH595"/>
      <c r="OI595"/>
      <c r="OJ595"/>
      <c r="OK595"/>
      <c r="OL595"/>
      <c r="OM595"/>
      <c r="ON595"/>
      <c r="OO595"/>
      <c r="OP595"/>
      <c r="OQ595"/>
      <c r="OR595"/>
      <c r="OS595"/>
      <c r="OT595"/>
      <c r="OU595"/>
      <c r="OV595"/>
      <c r="OW595"/>
      <c r="OX595"/>
      <c r="OY595"/>
      <c r="OZ595"/>
      <c r="PA595"/>
      <c r="PB595"/>
      <c r="PC595"/>
      <c r="PD595"/>
      <c r="PE595"/>
      <c r="PF595"/>
      <c r="PG595"/>
      <c r="PH595"/>
      <c r="PI595"/>
      <c r="PJ595"/>
      <c r="PK595"/>
      <c r="PL595"/>
      <c r="PM595"/>
      <c r="PN595"/>
      <c r="PO595"/>
      <c r="PP595"/>
      <c r="PQ595"/>
      <c r="PR595"/>
      <c r="PS595"/>
      <c r="PT595"/>
      <c r="PU595"/>
      <c r="PV595"/>
      <c r="PW595"/>
      <c r="PX595"/>
      <c r="PY595"/>
      <c r="PZ595"/>
      <c r="QA595"/>
      <c r="QB595"/>
      <c r="QC595"/>
      <c r="QD595"/>
      <c r="QE595"/>
      <c r="QF595"/>
      <c r="QG595"/>
      <c r="QH595"/>
      <c r="QI595"/>
      <c r="QJ595"/>
      <c r="QK595"/>
      <c r="QL595"/>
      <c r="QM595"/>
      <c r="QN595"/>
      <c r="QO595"/>
      <c r="QP595"/>
      <c r="QQ595"/>
      <c r="QR595"/>
      <c r="QS595"/>
      <c r="QT595"/>
      <c r="QU595"/>
      <c r="QV595"/>
      <c r="QW595"/>
      <c r="QX595"/>
      <c r="QY595"/>
      <c r="QZ595"/>
      <c r="RA595"/>
      <c r="RB595"/>
      <c r="RC595"/>
      <c r="RD595"/>
      <c r="RE595"/>
      <c r="RF595"/>
      <c r="RG595"/>
      <c r="RH595"/>
      <c r="RI595"/>
      <c r="RJ595"/>
      <c r="RK595"/>
      <c r="RL595"/>
      <c r="RM595"/>
      <c r="RN595"/>
      <c r="RO595"/>
      <c r="RP595"/>
      <c r="RQ595"/>
      <c r="RR595"/>
      <c r="RS595"/>
      <c r="RT595"/>
      <c r="RU595"/>
      <c r="RV595"/>
      <c r="RW595"/>
      <c r="RX595"/>
      <c r="RY595"/>
      <c r="RZ595"/>
      <c r="SA595"/>
      <c r="SB595"/>
      <c r="SC595"/>
      <c r="SD595"/>
      <c r="SE595"/>
      <c r="SF595"/>
      <c r="SG595"/>
      <c r="SH595"/>
      <c r="SI595"/>
      <c r="SJ595"/>
      <c r="SK595"/>
      <c r="SL595"/>
      <c r="SM595"/>
      <c r="SN595"/>
      <c r="SO595"/>
      <c r="SP595"/>
      <c r="SQ595"/>
      <c r="SR595"/>
      <c r="SS595"/>
      <c r="ST595"/>
      <c r="SU595"/>
      <c r="SV595"/>
      <c r="SW595"/>
      <c r="SX595"/>
      <c r="SY595"/>
      <c r="SZ595"/>
      <c r="TA595"/>
      <c r="TB595"/>
      <c r="TC595"/>
      <c r="TD595"/>
      <c r="TE595"/>
      <c r="TF595"/>
      <c r="TG595"/>
      <c r="TH595"/>
      <c r="TI595"/>
      <c r="TJ595"/>
      <c r="TK595"/>
      <c r="TL595"/>
      <c r="TM595"/>
      <c r="TN595"/>
      <c r="TO595"/>
      <c r="TP595"/>
      <c r="TQ595"/>
      <c r="TR595"/>
      <c r="TS595"/>
      <c r="TT595"/>
      <c r="TU595"/>
      <c r="TV595"/>
      <c r="TW595"/>
      <c r="TX595"/>
      <c r="TY595"/>
      <c r="TZ595"/>
      <c r="UA595"/>
      <c r="UB595"/>
      <c r="UC595"/>
      <c r="UD595"/>
      <c r="UE595"/>
      <c r="UF595"/>
      <c r="UG595"/>
      <c r="UH595"/>
      <c r="UI595"/>
      <c r="UJ595"/>
      <c r="UK595"/>
      <c r="UL595"/>
      <c r="UM595"/>
      <c r="UN595"/>
      <c r="UO595"/>
      <c r="UP595"/>
      <c r="UQ595"/>
      <c r="UR595"/>
      <c r="US595"/>
      <c r="UT595"/>
      <c r="UU595"/>
      <c r="UV595"/>
      <c r="UW595"/>
      <c r="UX595"/>
      <c r="UY595"/>
      <c r="UZ595"/>
      <c r="VA595"/>
      <c r="VB595"/>
      <c r="VC595"/>
      <c r="VD595"/>
      <c r="VE595"/>
      <c r="VF595"/>
      <c r="VG595"/>
      <c r="VH595"/>
      <c r="VI595"/>
      <c r="VJ595"/>
      <c r="VK595"/>
      <c r="VL595"/>
      <c r="VM595"/>
      <c r="VN595"/>
      <c r="VO595"/>
      <c r="VP595"/>
      <c r="VQ595"/>
      <c r="VR595"/>
      <c r="VS595"/>
      <c r="VT595"/>
      <c r="VU595"/>
      <c r="VV595"/>
      <c r="VW595"/>
      <c r="VX595"/>
      <c r="VY595"/>
      <c r="VZ595"/>
      <c r="WA595"/>
      <c r="WB595"/>
      <c r="WC595"/>
      <c r="WD595"/>
      <c r="WE595"/>
      <c r="WF595"/>
      <c r="WG595"/>
      <c r="WH595"/>
      <c r="WI595"/>
      <c r="WJ595"/>
      <c r="WK595"/>
      <c r="WL595"/>
      <c r="WM595"/>
      <c r="WN595"/>
      <c r="WO595"/>
      <c r="WP595"/>
      <c r="WQ595"/>
      <c r="WR595"/>
      <c r="WS595"/>
      <c r="WT595"/>
      <c r="WU595"/>
      <c r="WV595"/>
      <c r="WW595"/>
      <c r="WX595"/>
      <c r="WY595"/>
      <c r="WZ595"/>
      <c r="XA595"/>
      <c r="XB595"/>
      <c r="XC595"/>
      <c r="XD595"/>
      <c r="XE595"/>
      <c r="XF595"/>
      <c r="XG595"/>
      <c r="XH595"/>
      <c r="XI595"/>
      <c r="XJ595"/>
      <c r="XK595"/>
      <c r="XL595"/>
      <c r="XM595"/>
      <c r="XN595"/>
      <c r="XO595"/>
      <c r="XP595"/>
      <c r="XQ595"/>
      <c r="XR595"/>
      <c r="XS595"/>
      <c r="XT595"/>
      <c r="XU595"/>
      <c r="XV595"/>
      <c r="XW595"/>
      <c r="XX595"/>
      <c r="XY595"/>
      <c r="XZ595"/>
      <c r="YA595"/>
      <c r="YB595"/>
      <c r="YC595"/>
      <c r="YD595"/>
      <c r="YE595"/>
      <c r="YF595"/>
      <c r="YG595"/>
      <c r="YH595"/>
      <c r="YI595"/>
      <c r="YJ595"/>
      <c r="YK595"/>
      <c r="YL595"/>
      <c r="YM595"/>
      <c r="YN595"/>
      <c r="YO595"/>
      <c r="YP595"/>
      <c r="YQ595"/>
      <c r="YR595"/>
      <c r="YS595"/>
      <c r="YT595"/>
      <c r="YU595"/>
      <c r="YV595"/>
      <c r="YW595"/>
      <c r="YX595"/>
      <c r="YY595"/>
      <c r="YZ595"/>
      <c r="ZA595"/>
      <c r="ZB595"/>
      <c r="ZC595"/>
      <c r="ZD595"/>
      <c r="ZE595"/>
      <c r="ZF595"/>
      <c r="ZG595"/>
      <c r="ZH595"/>
      <c r="ZI595"/>
      <c r="ZJ595"/>
      <c r="ZK595"/>
      <c r="ZL595"/>
      <c r="ZM595"/>
      <c r="ZN595"/>
      <c r="ZO595"/>
      <c r="ZP595"/>
      <c r="ZQ595"/>
      <c r="ZR595"/>
      <c r="ZS595"/>
      <c r="ZT595"/>
      <c r="ZU595"/>
      <c r="ZV595"/>
      <c r="ZW595"/>
      <c r="ZX595"/>
      <c r="ZY595"/>
      <c r="ZZ595" s="52"/>
      <c r="AAA595" s="192"/>
      <c r="AAD595" s="90"/>
      <c r="AAE595" s="519">
        <f>IF(AND(S.Notice.Involved="Y",S.Hearing.1stInvolve="Y"),1,0)</f>
        <v>1</v>
      </c>
      <c r="AAF595" s="90"/>
      <c r="AAG595" s="73">
        <f>IF(AAE595=0,,S.Hearing.1stDate)</f>
        <v>41652</v>
      </c>
      <c r="AAH595" s="73">
        <f>G595</f>
        <v>41652</v>
      </c>
      <c r="AAI595" s="72"/>
      <c r="AAJ595" s="74"/>
      <c r="AAK595" s="56"/>
      <c r="AAL595" s="90"/>
    </row>
    <row r="596" spans="1:715" s="23" customFormat="1" ht="15" customHeight="1" outlineLevel="1">
      <c r="A596" s="171"/>
      <c r="B596" s="629" t="s">
        <v>233</v>
      </c>
      <c r="C596" s="376" t="s">
        <v>0</v>
      </c>
      <c r="D596" s="380"/>
      <c r="E596" s="397">
        <f t="shared" ref="E596" si="481">NETWORKDAYS(G596,H596,S.DDL_DEQClosed)</f>
        <v>1</v>
      </c>
      <c r="F596" s="457">
        <f t="shared" ca="1" si="477"/>
        <v>52</v>
      </c>
      <c r="G596" s="408">
        <f t="shared" si="480"/>
        <v>41652</v>
      </c>
      <c r="H596" s="408">
        <f t="shared" si="478"/>
        <v>41652</v>
      </c>
      <c r="I596" s="244"/>
      <c r="J596" s="194"/>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9"/>
      <c r="CD596" s="49"/>
      <c r="CE596" s="49"/>
      <c r="CF596" s="49"/>
      <c r="CG596" s="49"/>
      <c r="CH596" s="49"/>
      <c r="CI596" s="49"/>
      <c r="CJ596" s="49"/>
      <c r="CK596" s="49"/>
      <c r="CL596" s="49"/>
      <c r="CM596" s="49"/>
      <c r="CN596" s="49"/>
      <c r="CO596" s="49"/>
      <c r="CP596" s="49"/>
      <c r="CQ596" s="49"/>
      <c r="CR596" s="49"/>
      <c r="CS596" s="49"/>
      <c r="CT596" s="49"/>
      <c r="CU596" s="49"/>
      <c r="CV596" s="49"/>
      <c r="CW596" s="49"/>
      <c r="CX596" s="49"/>
      <c r="CY596" s="49"/>
      <c r="CZ596" s="49"/>
      <c r="DA596" s="49"/>
      <c r="DB596" s="49"/>
      <c r="DC596" s="49"/>
      <c r="DD596" s="49"/>
      <c r="DE596" s="49"/>
      <c r="DF596" s="49"/>
      <c r="DG596" s="49"/>
      <c r="DH596" s="49"/>
      <c r="DI596" s="49"/>
      <c r="DJ596" s="49"/>
      <c r="DK596" s="49"/>
      <c r="DL596" s="49"/>
      <c r="DM596" s="49"/>
      <c r="DN596" s="49"/>
      <c r="DO596" s="49"/>
      <c r="DP596" s="49"/>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c r="IW596"/>
      <c r="IX596"/>
      <c r="IY596"/>
      <c r="IZ596"/>
      <c r="JA596"/>
      <c r="JB596"/>
      <c r="JC596"/>
      <c r="JD596"/>
      <c r="JE596"/>
      <c r="JF596"/>
      <c r="JG596"/>
      <c r="JH596"/>
      <c r="JI596"/>
      <c r="JJ596"/>
      <c r="JK596"/>
      <c r="JL596"/>
      <c r="JM596"/>
      <c r="JN596"/>
      <c r="JO596"/>
      <c r="JP596"/>
      <c r="JQ596"/>
      <c r="JR596"/>
      <c r="JS596"/>
      <c r="JT596"/>
      <c r="JU596"/>
      <c r="JV596"/>
      <c r="JW596"/>
      <c r="JX596"/>
      <c r="JY596"/>
      <c r="JZ596"/>
      <c r="KA596"/>
      <c r="KB596"/>
      <c r="KC596"/>
      <c r="KD596"/>
      <c r="KE596"/>
      <c r="KF596"/>
      <c r="KG596"/>
      <c r="KH596"/>
      <c r="KI596"/>
      <c r="KJ596"/>
      <c r="KK596"/>
      <c r="KL596"/>
      <c r="KM596"/>
      <c r="KN596"/>
      <c r="KO596"/>
      <c r="KP596"/>
      <c r="KQ596"/>
      <c r="KR596"/>
      <c r="KS596"/>
      <c r="KT596"/>
      <c r="KU596"/>
      <c r="KV596"/>
      <c r="KW596"/>
      <c r="KX596"/>
      <c r="KY596"/>
      <c r="KZ596"/>
      <c r="LA596"/>
      <c r="LB596"/>
      <c r="LC596"/>
      <c r="LD596"/>
      <c r="LE596"/>
      <c r="LF596"/>
      <c r="LG596"/>
      <c r="LH596"/>
      <c r="LI596"/>
      <c r="LJ596"/>
      <c r="LK596"/>
      <c r="LL596"/>
      <c r="LM596"/>
      <c r="LN596"/>
      <c r="LO596"/>
      <c r="LP596"/>
      <c r="LQ596"/>
      <c r="LR596"/>
      <c r="LS596"/>
      <c r="LT596"/>
      <c r="LU596"/>
      <c r="LV596"/>
      <c r="LW596"/>
      <c r="LX596"/>
      <c r="LY596"/>
      <c r="LZ596"/>
      <c r="MA596"/>
      <c r="MB596"/>
      <c r="MC596"/>
      <c r="MD596"/>
      <c r="ME596"/>
      <c r="MF596"/>
      <c r="MG596"/>
      <c r="MH596"/>
      <c r="MI596"/>
      <c r="MJ596"/>
      <c r="MK596"/>
      <c r="ML596"/>
      <c r="MM596"/>
      <c r="MN596"/>
      <c r="MO596"/>
      <c r="MP596"/>
      <c r="MQ596"/>
      <c r="MR596"/>
      <c r="MS596"/>
      <c r="MT596"/>
      <c r="MU596"/>
      <c r="MV596"/>
      <c r="MW596"/>
      <c r="MX596"/>
      <c r="MY596"/>
      <c r="MZ596"/>
      <c r="NA596"/>
      <c r="NB596"/>
      <c r="NC596"/>
      <c r="ND596"/>
      <c r="NE596"/>
      <c r="NF596"/>
      <c r="NG596"/>
      <c r="NH596"/>
      <c r="NI596"/>
      <c r="NJ596"/>
      <c r="NK596"/>
      <c r="NL596"/>
      <c r="NM596"/>
      <c r="NN596"/>
      <c r="NO596"/>
      <c r="NP596"/>
      <c r="NQ596"/>
      <c r="NR596"/>
      <c r="NS596"/>
      <c r="NT596"/>
      <c r="NU596"/>
      <c r="NV596"/>
      <c r="NW596"/>
      <c r="NX596"/>
      <c r="NY596"/>
      <c r="NZ596"/>
      <c r="OA596"/>
      <c r="OB596"/>
      <c r="OC596"/>
      <c r="OD596"/>
      <c r="OE596"/>
      <c r="OF596"/>
      <c r="OG596"/>
      <c r="OH596"/>
      <c r="OI596"/>
      <c r="OJ596"/>
      <c r="OK596"/>
      <c r="OL596"/>
      <c r="OM596"/>
      <c r="ON596"/>
      <c r="OO596"/>
      <c r="OP596"/>
      <c r="OQ596"/>
      <c r="OR596"/>
      <c r="OS596"/>
      <c r="OT596"/>
      <c r="OU596"/>
      <c r="OV596"/>
      <c r="OW596"/>
      <c r="OX596"/>
      <c r="OY596"/>
      <c r="OZ596"/>
      <c r="PA596"/>
      <c r="PB596"/>
      <c r="PC596"/>
      <c r="PD596"/>
      <c r="PE596"/>
      <c r="PF596"/>
      <c r="PG596"/>
      <c r="PH596"/>
      <c r="PI596"/>
      <c r="PJ596"/>
      <c r="PK596"/>
      <c r="PL596"/>
      <c r="PM596"/>
      <c r="PN596"/>
      <c r="PO596"/>
      <c r="PP596"/>
      <c r="PQ596"/>
      <c r="PR596"/>
      <c r="PS596"/>
      <c r="PT596"/>
      <c r="PU596"/>
      <c r="PV596"/>
      <c r="PW596"/>
      <c r="PX596"/>
      <c r="PY596"/>
      <c r="PZ596"/>
      <c r="QA596"/>
      <c r="QB596"/>
      <c r="QC596"/>
      <c r="QD596"/>
      <c r="QE596"/>
      <c r="QF596"/>
      <c r="QG596"/>
      <c r="QH596"/>
      <c r="QI596"/>
      <c r="QJ596"/>
      <c r="QK596"/>
      <c r="QL596"/>
      <c r="QM596"/>
      <c r="QN596"/>
      <c r="QO596"/>
      <c r="QP596"/>
      <c r="QQ596"/>
      <c r="QR596"/>
      <c r="QS596"/>
      <c r="QT596"/>
      <c r="QU596"/>
      <c r="QV596"/>
      <c r="QW596"/>
      <c r="QX596"/>
      <c r="QY596"/>
      <c r="QZ596"/>
      <c r="RA596"/>
      <c r="RB596"/>
      <c r="RC596"/>
      <c r="RD596"/>
      <c r="RE596"/>
      <c r="RF596"/>
      <c r="RG596"/>
      <c r="RH596"/>
      <c r="RI596"/>
      <c r="RJ596"/>
      <c r="RK596"/>
      <c r="RL596"/>
      <c r="RM596"/>
      <c r="RN596"/>
      <c r="RO596"/>
      <c r="RP596"/>
      <c r="RQ596"/>
      <c r="RR596"/>
      <c r="RS596"/>
      <c r="RT596"/>
      <c r="RU596"/>
      <c r="RV596"/>
      <c r="RW596"/>
      <c r="RX596"/>
      <c r="RY596"/>
      <c r="RZ596"/>
      <c r="SA596"/>
      <c r="SB596"/>
      <c r="SC596"/>
      <c r="SD596"/>
      <c r="SE596"/>
      <c r="SF596"/>
      <c r="SG596"/>
      <c r="SH596"/>
      <c r="SI596"/>
      <c r="SJ596"/>
      <c r="SK596"/>
      <c r="SL596"/>
      <c r="SM596"/>
      <c r="SN596"/>
      <c r="SO596"/>
      <c r="SP596"/>
      <c r="SQ596"/>
      <c r="SR596"/>
      <c r="SS596"/>
      <c r="ST596"/>
      <c r="SU596"/>
      <c r="SV596"/>
      <c r="SW596"/>
      <c r="SX596"/>
      <c r="SY596"/>
      <c r="SZ596"/>
      <c r="TA596"/>
      <c r="TB596"/>
      <c r="TC596"/>
      <c r="TD596"/>
      <c r="TE596"/>
      <c r="TF596"/>
      <c r="TG596"/>
      <c r="TH596"/>
      <c r="TI596"/>
      <c r="TJ596"/>
      <c r="TK596"/>
      <c r="TL596"/>
      <c r="TM596"/>
      <c r="TN596"/>
      <c r="TO596"/>
      <c r="TP596"/>
      <c r="TQ596"/>
      <c r="TR596"/>
      <c r="TS596"/>
      <c r="TT596"/>
      <c r="TU596"/>
      <c r="TV596"/>
      <c r="TW596"/>
      <c r="TX596"/>
      <c r="TY596"/>
      <c r="TZ596"/>
      <c r="UA596"/>
      <c r="UB596"/>
      <c r="UC596"/>
      <c r="UD596"/>
      <c r="UE596"/>
      <c r="UF596"/>
      <c r="UG596"/>
      <c r="UH596"/>
      <c r="UI596"/>
      <c r="UJ596"/>
      <c r="UK596"/>
      <c r="UL596"/>
      <c r="UM596"/>
      <c r="UN596"/>
      <c r="UO596"/>
      <c r="UP596"/>
      <c r="UQ596"/>
      <c r="UR596"/>
      <c r="US596"/>
      <c r="UT596"/>
      <c r="UU596"/>
      <c r="UV596"/>
      <c r="UW596"/>
      <c r="UX596"/>
      <c r="UY596"/>
      <c r="UZ596"/>
      <c r="VA596"/>
      <c r="VB596"/>
      <c r="VC596"/>
      <c r="VD596"/>
      <c r="VE596"/>
      <c r="VF596"/>
      <c r="VG596"/>
      <c r="VH596"/>
      <c r="VI596"/>
      <c r="VJ596"/>
      <c r="VK596"/>
      <c r="VL596"/>
      <c r="VM596"/>
      <c r="VN596"/>
      <c r="VO596"/>
      <c r="VP596"/>
      <c r="VQ596"/>
      <c r="VR596"/>
      <c r="VS596"/>
      <c r="VT596"/>
      <c r="VU596"/>
      <c r="VV596"/>
      <c r="VW596"/>
      <c r="VX596"/>
      <c r="VY596"/>
      <c r="VZ596"/>
      <c r="WA596"/>
      <c r="WB596"/>
      <c r="WC596"/>
      <c r="WD596"/>
      <c r="WE596"/>
      <c r="WF596"/>
      <c r="WG596"/>
      <c r="WH596"/>
      <c r="WI596"/>
      <c r="WJ596"/>
      <c r="WK596"/>
      <c r="WL596"/>
      <c r="WM596"/>
      <c r="WN596"/>
      <c r="WO596"/>
      <c r="WP596"/>
      <c r="WQ596"/>
      <c r="WR596"/>
      <c r="WS596"/>
      <c r="WT596"/>
      <c r="WU596"/>
      <c r="WV596"/>
      <c r="WW596"/>
      <c r="WX596"/>
      <c r="WY596"/>
      <c r="WZ596"/>
      <c r="XA596"/>
      <c r="XB596"/>
      <c r="XC596"/>
      <c r="XD596"/>
      <c r="XE596"/>
      <c r="XF596"/>
      <c r="XG596"/>
      <c r="XH596"/>
      <c r="XI596"/>
      <c r="XJ596"/>
      <c r="XK596"/>
      <c r="XL596"/>
      <c r="XM596"/>
      <c r="XN596"/>
      <c r="XO596"/>
      <c r="XP596"/>
      <c r="XQ596"/>
      <c r="XR596"/>
      <c r="XS596"/>
      <c r="XT596"/>
      <c r="XU596"/>
      <c r="XV596"/>
      <c r="XW596"/>
      <c r="XX596"/>
      <c r="XY596"/>
      <c r="XZ596"/>
      <c r="YA596"/>
      <c r="YB596"/>
      <c r="YC596"/>
      <c r="YD596"/>
      <c r="YE596"/>
      <c r="YF596"/>
      <c r="YG596"/>
      <c r="YH596"/>
      <c r="YI596"/>
      <c r="YJ596"/>
      <c r="YK596"/>
      <c r="YL596"/>
      <c r="YM596"/>
      <c r="YN596"/>
      <c r="YO596"/>
      <c r="YP596"/>
      <c r="YQ596"/>
      <c r="YR596"/>
      <c r="YS596"/>
      <c r="YT596"/>
      <c r="YU596"/>
      <c r="YV596"/>
      <c r="YW596"/>
      <c r="YX596"/>
      <c r="YY596"/>
      <c r="YZ596"/>
      <c r="ZA596"/>
      <c r="ZB596"/>
      <c r="ZC596"/>
      <c r="ZD596"/>
      <c r="ZE596"/>
      <c r="ZF596"/>
      <c r="ZG596"/>
      <c r="ZH596"/>
      <c r="ZI596"/>
      <c r="ZJ596"/>
      <c r="ZK596"/>
      <c r="ZL596"/>
      <c r="ZM596"/>
      <c r="ZN596"/>
      <c r="ZO596"/>
      <c r="ZP596"/>
      <c r="ZQ596"/>
      <c r="ZR596"/>
      <c r="ZS596"/>
      <c r="ZT596"/>
      <c r="ZU596"/>
      <c r="ZV596"/>
      <c r="ZW596"/>
      <c r="ZX596"/>
      <c r="ZY596"/>
      <c r="ZZ596" s="52"/>
      <c r="AAA596" s="192"/>
      <c r="AAB596"/>
      <c r="AAC596"/>
      <c r="AAD596" s="90"/>
      <c r="AAE596" s="519">
        <f>IF(S.Notice.Involved="Y",1,0)</f>
        <v>1</v>
      </c>
      <c r="AAF596" s="90"/>
      <c r="AAG596" s="73">
        <f>IF(AAE596=0,,S.Hearing.1stDate)</f>
        <v>41652</v>
      </c>
      <c r="AAH596" s="73">
        <f>G596</f>
        <v>41652</v>
      </c>
      <c r="AAI596" s="72"/>
      <c r="AAJ596" s="75"/>
      <c r="AAK596" s="56"/>
      <c r="AAL596" s="90"/>
    </row>
    <row r="597" spans="1:715" ht="15" customHeight="1" outlineLevel="1" thickBot="1">
      <c r="A597" s="171"/>
      <c r="B597" s="286" t="s">
        <v>442</v>
      </c>
      <c r="C597" s="376" t="s">
        <v>0</v>
      </c>
      <c r="D597" s="380"/>
      <c r="E597" s="397">
        <f t="shared" ref="E597" si="482">NETWORKDAYS(G597,H597,S.DDL_DEQClosed)</f>
        <v>1</v>
      </c>
      <c r="F597" s="457">
        <f t="shared" ca="1" si="477"/>
        <v>55</v>
      </c>
      <c r="G597" s="408">
        <f t="shared" ref="G597:G608" si="483">AAG597</f>
        <v>41655</v>
      </c>
      <c r="H597" s="408">
        <f t="shared" ref="H597:H608" si="484">AAH597</f>
        <v>41655</v>
      </c>
      <c r="I597" s="244"/>
      <c r="J597" s="194"/>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9"/>
      <c r="CD597" s="49"/>
      <c r="CE597" s="49"/>
      <c r="CF597" s="49"/>
      <c r="CG597" s="49"/>
      <c r="CH597" s="49"/>
      <c r="CI597" s="49"/>
      <c r="CJ597" s="49"/>
      <c r="CK597" s="49"/>
      <c r="CL597" s="49"/>
      <c r="CM597" s="49"/>
      <c r="CN597" s="49"/>
      <c r="CO597" s="49"/>
      <c r="CP597" s="49"/>
      <c r="CQ597" s="49"/>
      <c r="CR597" s="49"/>
      <c r="CS597" s="49"/>
      <c r="CT597" s="49"/>
      <c r="CU597" s="49"/>
      <c r="CV597" s="49"/>
      <c r="CW597" s="49"/>
      <c r="CX597" s="49"/>
      <c r="CY597" s="49"/>
      <c r="CZ597" s="49"/>
      <c r="DA597" s="49"/>
      <c r="DB597" s="49"/>
      <c r="DC597" s="49"/>
      <c r="DD597" s="49"/>
      <c r="DE597" s="49"/>
      <c r="DF597" s="49"/>
      <c r="DG597" s="49"/>
      <c r="DH597" s="49"/>
      <c r="DI597" s="49"/>
      <c r="DJ597" s="49"/>
      <c r="DK597" s="49"/>
      <c r="DL597" s="49"/>
      <c r="DM597" s="49"/>
      <c r="DN597" s="49"/>
      <c r="DO597" s="49"/>
      <c r="DP597" s="49"/>
      <c r="AAA597" s="192" t="s">
        <v>0</v>
      </c>
      <c r="AAD597" s="90"/>
      <c r="AAE597" s="519">
        <f>IF(S.Notice.Involved="Y",1,0)</f>
        <v>1</v>
      </c>
      <c r="AAF597" s="90"/>
      <c r="AAG597" s="73">
        <f>IF(AAE597=0,,S.Notice.CloseComment)</f>
        <v>41655</v>
      </c>
      <c r="AAH597" s="73">
        <f>G597</f>
        <v>41655</v>
      </c>
      <c r="AAI597" s="72"/>
      <c r="AAJ597" s="56"/>
      <c r="AAK597" s="56"/>
      <c r="AAL597" s="90"/>
      <c r="AAM597"/>
    </row>
    <row r="598" spans="1:715" s="23" customFormat="1" ht="15" customHeight="1" outlineLevel="1" thickBot="1">
      <c r="A598" s="171"/>
      <c r="B598" s="396" t="s">
        <v>443</v>
      </c>
      <c r="C598" s="513" t="s">
        <v>53</v>
      </c>
      <c r="D598" s="380"/>
      <c r="E598" s="845" t="s">
        <v>0</v>
      </c>
      <c r="F598" s="846"/>
      <c r="G598" s="847"/>
      <c r="H598" s="343">
        <f>AAH598</f>
        <v>0</v>
      </c>
      <c r="I598" s="244"/>
      <c r="J598" s="198"/>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c r="CU598" s="51"/>
      <c r="CV598" s="51"/>
      <c r="CW598" s="51"/>
      <c r="CX598" s="51"/>
      <c r="CY598" s="51"/>
      <c r="CZ598" s="51"/>
      <c r="DA598" s="51"/>
      <c r="DB598" s="51"/>
      <c r="DC598" s="51"/>
      <c r="DD598" s="51"/>
      <c r="DE598" s="51"/>
      <c r="DF598" s="51"/>
      <c r="DG598" s="51"/>
      <c r="DH598" s="51"/>
      <c r="DI598" s="51"/>
      <c r="DJ598" s="51"/>
      <c r="DK598" s="51"/>
      <c r="DL598" s="51"/>
      <c r="DM598" s="51"/>
      <c r="DN598" s="51"/>
      <c r="DO598" s="51"/>
      <c r="DP598" s="51"/>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c r="IW598"/>
      <c r="IX598"/>
      <c r="IY598"/>
      <c r="IZ598"/>
      <c r="JA598"/>
      <c r="JB598"/>
      <c r="JC598"/>
      <c r="JD598"/>
      <c r="JE598"/>
      <c r="JF598"/>
      <c r="JG598"/>
      <c r="JH598"/>
      <c r="JI598"/>
      <c r="JJ598"/>
      <c r="JK598"/>
      <c r="JL598"/>
      <c r="JM598"/>
      <c r="JN598"/>
      <c r="JO598"/>
      <c r="JP598"/>
      <c r="JQ598"/>
      <c r="JR598"/>
      <c r="JS598"/>
      <c r="JT598"/>
      <c r="JU598"/>
      <c r="JV598"/>
      <c r="JW598"/>
      <c r="JX598"/>
      <c r="JY598"/>
      <c r="JZ598"/>
      <c r="KA598"/>
      <c r="KB598"/>
      <c r="KC598"/>
      <c r="KD598"/>
      <c r="KE598"/>
      <c r="KF598"/>
      <c r="KG598"/>
      <c r="KH598"/>
      <c r="KI598"/>
      <c r="KJ598"/>
      <c r="KK598"/>
      <c r="KL598"/>
      <c r="KM598"/>
      <c r="KN598"/>
      <c r="KO598"/>
      <c r="KP598"/>
      <c r="KQ598"/>
      <c r="KR598"/>
      <c r="KS598"/>
      <c r="KT598"/>
      <c r="KU598"/>
      <c r="KV598"/>
      <c r="KW598"/>
      <c r="KX598"/>
      <c r="KY598"/>
      <c r="KZ598"/>
      <c r="LA598"/>
      <c r="LB598"/>
      <c r="LC598"/>
      <c r="LD598"/>
      <c r="LE598"/>
      <c r="LF598"/>
      <c r="LG598"/>
      <c r="LH598"/>
      <c r="LI598"/>
      <c r="LJ598"/>
      <c r="LK598"/>
      <c r="LL598"/>
      <c r="LM598"/>
      <c r="LN598"/>
      <c r="LO598"/>
      <c r="LP598"/>
      <c r="LQ598"/>
      <c r="LR598"/>
      <c r="LS598"/>
      <c r="LT598"/>
      <c r="LU598"/>
      <c r="LV598"/>
      <c r="LW598"/>
      <c r="LX598"/>
      <c r="LY598"/>
      <c r="LZ598"/>
      <c r="MA598"/>
      <c r="MB598"/>
      <c r="MC598"/>
      <c r="MD598"/>
      <c r="ME598"/>
      <c r="MF598"/>
      <c r="MG598"/>
      <c r="MH598"/>
      <c r="MI598"/>
      <c r="MJ598"/>
      <c r="MK598"/>
      <c r="ML598"/>
      <c r="MM598"/>
      <c r="MN598"/>
      <c r="MO598"/>
      <c r="MP598"/>
      <c r="MQ598"/>
      <c r="MR598"/>
      <c r="MS598"/>
      <c r="MT598"/>
      <c r="MU598"/>
      <c r="MV598"/>
      <c r="MW598"/>
      <c r="MX598"/>
      <c r="MY598"/>
      <c r="MZ598"/>
      <c r="NA598"/>
      <c r="NB598"/>
      <c r="NC598"/>
      <c r="ND598"/>
      <c r="NE598"/>
      <c r="NF598"/>
      <c r="NG598"/>
      <c r="NH598"/>
      <c r="NI598"/>
      <c r="NJ598"/>
      <c r="NK598"/>
      <c r="NL598"/>
      <c r="NM598"/>
      <c r="NN598"/>
      <c r="NO598"/>
      <c r="NP598"/>
      <c r="NQ598"/>
      <c r="NR598"/>
      <c r="NS598"/>
      <c r="NT598"/>
      <c r="NU598"/>
      <c r="NV598"/>
      <c r="NW598"/>
      <c r="NX598"/>
      <c r="NY598"/>
      <c r="NZ598"/>
      <c r="OA598"/>
      <c r="OB598"/>
      <c r="OC598"/>
      <c r="OD598"/>
      <c r="OE598"/>
      <c r="OF598"/>
      <c r="OG598"/>
      <c r="OH598"/>
      <c r="OI598"/>
      <c r="OJ598"/>
      <c r="OK598"/>
      <c r="OL598"/>
      <c r="OM598"/>
      <c r="ON598"/>
      <c r="OO598"/>
      <c r="OP598"/>
      <c r="OQ598"/>
      <c r="OR598"/>
      <c r="OS598"/>
      <c r="OT598"/>
      <c r="OU598"/>
      <c r="OV598"/>
      <c r="OW598"/>
      <c r="OX598"/>
      <c r="OY598"/>
      <c r="OZ598"/>
      <c r="PA598"/>
      <c r="PB598"/>
      <c r="PC598"/>
      <c r="PD598"/>
      <c r="PE598"/>
      <c r="PF598"/>
      <c r="PG598"/>
      <c r="PH598"/>
      <c r="PI598"/>
      <c r="PJ598"/>
      <c r="PK598"/>
      <c r="PL598"/>
      <c r="PM598"/>
      <c r="PN598"/>
      <c r="PO598"/>
      <c r="PP598"/>
      <c r="PQ598"/>
      <c r="PR598"/>
      <c r="PS598"/>
      <c r="PT598"/>
      <c r="PU598"/>
      <c r="PV598"/>
      <c r="PW598"/>
      <c r="PX598"/>
      <c r="PY598"/>
      <c r="PZ598"/>
      <c r="QA598"/>
      <c r="QB598"/>
      <c r="QC598"/>
      <c r="QD598"/>
      <c r="QE598"/>
      <c r="QF598"/>
      <c r="QG598"/>
      <c r="QH598"/>
      <c r="QI598"/>
      <c r="QJ598"/>
      <c r="QK598"/>
      <c r="QL598"/>
      <c r="QM598"/>
      <c r="QN598"/>
      <c r="QO598"/>
      <c r="QP598"/>
      <c r="QQ598"/>
      <c r="QR598"/>
      <c r="QS598"/>
      <c r="QT598"/>
      <c r="QU598"/>
      <c r="QV598"/>
      <c r="QW598"/>
      <c r="QX598"/>
      <c r="QY598"/>
      <c r="QZ598"/>
      <c r="RA598"/>
      <c r="RB598"/>
      <c r="RC598"/>
      <c r="RD598"/>
      <c r="RE598"/>
      <c r="RF598"/>
      <c r="RG598"/>
      <c r="RH598"/>
      <c r="RI598"/>
      <c r="RJ598"/>
      <c r="RK598"/>
      <c r="RL598"/>
      <c r="RM598"/>
      <c r="RN598"/>
      <c r="RO598"/>
      <c r="RP598"/>
      <c r="RQ598"/>
      <c r="RR598"/>
      <c r="RS598"/>
      <c r="RT598"/>
      <c r="RU598"/>
      <c r="RV598"/>
      <c r="RW598"/>
      <c r="RX598"/>
      <c r="RY598"/>
      <c r="RZ598"/>
      <c r="SA598"/>
      <c r="SB598"/>
      <c r="SC598"/>
      <c r="SD598"/>
      <c r="SE598"/>
      <c r="SF598"/>
      <c r="SG598"/>
      <c r="SH598"/>
      <c r="SI598"/>
      <c r="SJ598"/>
      <c r="SK598"/>
      <c r="SL598"/>
      <c r="SM598"/>
      <c r="SN598"/>
      <c r="SO598"/>
      <c r="SP598"/>
      <c r="SQ598"/>
      <c r="SR598"/>
      <c r="SS598"/>
      <c r="ST598"/>
      <c r="SU598"/>
      <c r="SV598"/>
      <c r="SW598"/>
      <c r="SX598"/>
      <c r="SY598"/>
      <c r="SZ598"/>
      <c r="TA598"/>
      <c r="TB598"/>
      <c r="TC598"/>
      <c r="TD598"/>
      <c r="TE598"/>
      <c r="TF598"/>
      <c r="TG598"/>
      <c r="TH598"/>
      <c r="TI598"/>
      <c r="TJ598"/>
      <c r="TK598"/>
      <c r="TL598"/>
      <c r="TM598"/>
      <c r="TN598"/>
      <c r="TO598"/>
      <c r="TP598"/>
      <c r="TQ598"/>
      <c r="TR598"/>
      <c r="TS598"/>
      <c r="TT598"/>
      <c r="TU598"/>
      <c r="TV598"/>
      <c r="TW598"/>
      <c r="TX598"/>
      <c r="TY598"/>
      <c r="TZ598"/>
      <c r="UA598"/>
      <c r="UB598"/>
      <c r="UC598"/>
      <c r="UD598"/>
      <c r="UE598"/>
      <c r="UF598"/>
      <c r="UG598"/>
      <c r="UH598"/>
      <c r="UI598"/>
      <c r="UJ598"/>
      <c r="UK598"/>
      <c r="UL598"/>
      <c r="UM598"/>
      <c r="UN598"/>
      <c r="UO598"/>
      <c r="UP598"/>
      <c r="UQ598"/>
      <c r="UR598"/>
      <c r="US598"/>
      <c r="UT598"/>
      <c r="UU598"/>
      <c r="UV598"/>
      <c r="UW598"/>
      <c r="UX598"/>
      <c r="UY598"/>
      <c r="UZ598"/>
      <c r="VA598"/>
      <c r="VB598"/>
      <c r="VC598"/>
      <c r="VD598"/>
      <c r="VE598"/>
      <c r="VF598"/>
      <c r="VG598"/>
      <c r="VH598"/>
      <c r="VI598"/>
      <c r="VJ598"/>
      <c r="VK598"/>
      <c r="VL598"/>
      <c r="VM598"/>
      <c r="VN598"/>
      <c r="VO598"/>
      <c r="VP598"/>
      <c r="VQ598"/>
      <c r="VR598"/>
      <c r="VS598"/>
      <c r="VT598"/>
      <c r="VU598"/>
      <c r="VV598"/>
      <c r="VW598"/>
      <c r="VX598"/>
      <c r="VY598"/>
      <c r="VZ598"/>
      <c r="WA598"/>
      <c r="WB598"/>
      <c r="WC598"/>
      <c r="WD598"/>
      <c r="WE598"/>
      <c r="WF598"/>
      <c r="WG598"/>
      <c r="WH598"/>
      <c r="WI598"/>
      <c r="WJ598"/>
      <c r="WK598"/>
      <c r="WL598"/>
      <c r="WM598"/>
      <c r="WN598"/>
      <c r="WO598"/>
      <c r="WP598"/>
      <c r="WQ598"/>
      <c r="WR598"/>
      <c r="WS598"/>
      <c r="WT598"/>
      <c r="WU598"/>
      <c r="WV598"/>
      <c r="WW598"/>
      <c r="WX598"/>
      <c r="WY598"/>
      <c r="WZ598"/>
      <c r="XA598"/>
      <c r="XB598"/>
      <c r="XC598"/>
      <c r="XD598"/>
      <c r="XE598"/>
      <c r="XF598"/>
      <c r="XG598"/>
      <c r="XH598"/>
      <c r="XI598"/>
      <c r="XJ598"/>
      <c r="XK598"/>
      <c r="XL598"/>
      <c r="XM598"/>
      <c r="XN598"/>
      <c r="XO598"/>
      <c r="XP598"/>
      <c r="XQ598"/>
      <c r="XR598"/>
      <c r="XS598"/>
      <c r="XT598"/>
      <c r="XU598"/>
      <c r="XV598"/>
      <c r="XW598"/>
      <c r="XX598"/>
      <c r="XY598"/>
      <c r="XZ598"/>
      <c r="YA598"/>
      <c r="YB598"/>
      <c r="YC598"/>
      <c r="YD598"/>
      <c r="YE598"/>
      <c r="YF598"/>
      <c r="YG598"/>
      <c r="YH598"/>
      <c r="YI598"/>
      <c r="YJ598"/>
      <c r="YK598"/>
      <c r="YL598"/>
      <c r="YM598"/>
      <c r="YN598"/>
      <c r="YO598"/>
      <c r="YP598"/>
      <c r="YQ598"/>
      <c r="YR598"/>
      <c r="YS598"/>
      <c r="YT598"/>
      <c r="YU598"/>
      <c r="YV598"/>
      <c r="YW598"/>
      <c r="YX598"/>
      <c r="YY598"/>
      <c r="YZ598"/>
      <c r="ZA598"/>
      <c r="ZB598"/>
      <c r="ZC598"/>
      <c r="ZD598"/>
      <c r="ZE598"/>
      <c r="ZF598"/>
      <c r="ZG598"/>
      <c r="ZH598"/>
      <c r="ZI598"/>
      <c r="ZJ598"/>
      <c r="ZK598"/>
      <c r="ZL598"/>
      <c r="ZM598"/>
      <c r="ZN598"/>
      <c r="ZO598"/>
      <c r="ZP598"/>
      <c r="ZQ598"/>
      <c r="ZR598"/>
      <c r="ZS598"/>
      <c r="ZT598"/>
      <c r="ZU598"/>
      <c r="ZV598"/>
      <c r="ZW598"/>
      <c r="ZX598"/>
      <c r="ZY598"/>
      <c r="ZZ598" s="52"/>
      <c r="AAA598" s="192"/>
      <c r="AAD598" s="90"/>
      <c r="AAE598" s="519">
        <f>IF(S.Notice.Involved="Y",1,0)</f>
        <v>1</v>
      </c>
      <c r="AAF598" s="90"/>
      <c r="AAG598" s="73">
        <f>H592</f>
        <v>41655</v>
      </c>
      <c r="AAH598" s="73">
        <f t="shared" ref="AAH598" si="485">G598</f>
        <v>0</v>
      </c>
      <c r="AAI598" s="72"/>
      <c r="AAJ598" s="72"/>
      <c r="AAK598" s="87"/>
      <c r="AAL598" s="90"/>
    </row>
    <row r="599" spans="1:715" s="23" customFormat="1" ht="15" customHeight="1" outlineLevel="1">
      <c r="A599" s="171" t="s">
        <v>0</v>
      </c>
      <c r="B599" s="389" t="s">
        <v>445</v>
      </c>
      <c r="C599" s="374"/>
      <c r="D599" s="380"/>
      <c r="E599" s="648">
        <f>NETWORKDAYS(G599,H599,S.DDL_DEQClosed)</f>
        <v>0</v>
      </c>
      <c r="F599" s="457">
        <f t="shared" ref="F599" ca="1" si="486">IF(YEAR(H599)&gt;2000,NETWORKDAYS(TODAY(),H599,S.DDL_DEQClosed),0)</f>
        <v>0</v>
      </c>
      <c r="G599" s="737">
        <f t="shared" ref="G599" si="487">AAG599</f>
        <v>0</v>
      </c>
      <c r="H599" s="737">
        <f t="shared" ref="H599" si="488">AAH599</f>
        <v>0</v>
      </c>
      <c r="I599" s="244"/>
      <c r="J599" s="198"/>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c r="CU599" s="51"/>
      <c r="CV599" s="51"/>
      <c r="CW599" s="51"/>
      <c r="CX599" s="51"/>
      <c r="CY599" s="51"/>
      <c r="CZ599" s="51"/>
      <c r="DA599" s="51"/>
      <c r="DB599" s="51"/>
      <c r="DC599" s="51"/>
      <c r="DD599" s="51"/>
      <c r="DE599" s="51"/>
      <c r="DF599" s="51"/>
      <c r="DG599" s="51"/>
      <c r="DH599" s="51"/>
      <c r="DI599" s="51"/>
      <c r="DJ599" s="51"/>
      <c r="DK599" s="51"/>
      <c r="DL599" s="51"/>
      <c r="DM599" s="51"/>
      <c r="DN599" s="51"/>
      <c r="DO599" s="51"/>
      <c r="DP599" s="51"/>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c r="IW599"/>
      <c r="IX599"/>
      <c r="IY599"/>
      <c r="IZ599"/>
      <c r="JA599"/>
      <c r="JB599"/>
      <c r="JC599"/>
      <c r="JD599"/>
      <c r="JE599"/>
      <c r="JF599"/>
      <c r="JG599"/>
      <c r="JH599"/>
      <c r="JI599"/>
      <c r="JJ599"/>
      <c r="JK599"/>
      <c r="JL599"/>
      <c r="JM599"/>
      <c r="JN599"/>
      <c r="JO599"/>
      <c r="JP599"/>
      <c r="JQ599"/>
      <c r="JR599"/>
      <c r="JS599"/>
      <c r="JT599"/>
      <c r="JU599"/>
      <c r="JV599"/>
      <c r="JW599"/>
      <c r="JX599"/>
      <c r="JY599"/>
      <c r="JZ599"/>
      <c r="KA599"/>
      <c r="KB599"/>
      <c r="KC599"/>
      <c r="KD599"/>
      <c r="KE599"/>
      <c r="KF599"/>
      <c r="KG599"/>
      <c r="KH599"/>
      <c r="KI599"/>
      <c r="KJ599"/>
      <c r="KK599"/>
      <c r="KL599"/>
      <c r="KM599"/>
      <c r="KN599"/>
      <c r="KO599"/>
      <c r="KP599"/>
      <c r="KQ599"/>
      <c r="KR599"/>
      <c r="KS599"/>
      <c r="KT599"/>
      <c r="KU599"/>
      <c r="KV599"/>
      <c r="KW599"/>
      <c r="KX599"/>
      <c r="KY599"/>
      <c r="KZ599"/>
      <c r="LA599"/>
      <c r="LB599"/>
      <c r="LC599"/>
      <c r="LD599"/>
      <c r="LE599"/>
      <c r="LF599"/>
      <c r="LG599"/>
      <c r="LH599"/>
      <c r="LI599"/>
      <c r="LJ599"/>
      <c r="LK599"/>
      <c r="LL599"/>
      <c r="LM599"/>
      <c r="LN599"/>
      <c r="LO599"/>
      <c r="LP599"/>
      <c r="LQ599"/>
      <c r="LR599"/>
      <c r="LS599"/>
      <c r="LT599"/>
      <c r="LU599"/>
      <c r="LV599"/>
      <c r="LW599"/>
      <c r="LX599"/>
      <c r="LY599"/>
      <c r="LZ599"/>
      <c r="MA599"/>
      <c r="MB599"/>
      <c r="MC599"/>
      <c r="MD599"/>
      <c r="ME599"/>
      <c r="MF599"/>
      <c r="MG599"/>
      <c r="MH599"/>
      <c r="MI599"/>
      <c r="MJ599"/>
      <c r="MK599"/>
      <c r="ML599"/>
      <c r="MM599"/>
      <c r="MN599"/>
      <c r="MO599"/>
      <c r="MP599"/>
      <c r="MQ599"/>
      <c r="MR599"/>
      <c r="MS599"/>
      <c r="MT599"/>
      <c r="MU599"/>
      <c r="MV599"/>
      <c r="MW599"/>
      <c r="MX599"/>
      <c r="MY599"/>
      <c r="MZ599"/>
      <c r="NA599"/>
      <c r="NB599"/>
      <c r="NC599"/>
      <c r="ND599"/>
      <c r="NE599"/>
      <c r="NF599"/>
      <c r="NG599"/>
      <c r="NH599"/>
      <c r="NI599"/>
      <c r="NJ599"/>
      <c r="NK599"/>
      <c r="NL599"/>
      <c r="NM599"/>
      <c r="NN599"/>
      <c r="NO599"/>
      <c r="NP599"/>
      <c r="NQ599"/>
      <c r="NR599"/>
      <c r="NS599"/>
      <c r="NT599"/>
      <c r="NU599"/>
      <c r="NV599"/>
      <c r="NW599"/>
      <c r="NX599"/>
      <c r="NY599"/>
      <c r="NZ599"/>
      <c r="OA599"/>
      <c r="OB599"/>
      <c r="OC599"/>
      <c r="OD599"/>
      <c r="OE599"/>
      <c r="OF599"/>
      <c r="OG599"/>
      <c r="OH599"/>
      <c r="OI599"/>
      <c r="OJ599"/>
      <c r="OK599"/>
      <c r="OL599"/>
      <c r="OM599"/>
      <c r="ON599"/>
      <c r="OO599"/>
      <c r="OP599"/>
      <c r="OQ599"/>
      <c r="OR599"/>
      <c r="OS599"/>
      <c r="OT599"/>
      <c r="OU599"/>
      <c r="OV599"/>
      <c r="OW599"/>
      <c r="OX599"/>
      <c r="OY599"/>
      <c r="OZ599"/>
      <c r="PA599"/>
      <c r="PB599"/>
      <c r="PC599"/>
      <c r="PD599"/>
      <c r="PE599"/>
      <c r="PF599"/>
      <c r="PG599"/>
      <c r="PH599"/>
      <c r="PI599"/>
      <c r="PJ599"/>
      <c r="PK599"/>
      <c r="PL599"/>
      <c r="PM599"/>
      <c r="PN599"/>
      <c r="PO599"/>
      <c r="PP599"/>
      <c r="PQ599"/>
      <c r="PR599"/>
      <c r="PS599"/>
      <c r="PT599"/>
      <c r="PU599"/>
      <c r="PV599"/>
      <c r="PW599"/>
      <c r="PX599"/>
      <c r="PY599"/>
      <c r="PZ599"/>
      <c r="QA599"/>
      <c r="QB599"/>
      <c r="QC599"/>
      <c r="QD599"/>
      <c r="QE599"/>
      <c r="QF599"/>
      <c r="QG599"/>
      <c r="QH599"/>
      <c r="QI599"/>
      <c r="QJ599"/>
      <c r="QK599"/>
      <c r="QL599"/>
      <c r="QM599"/>
      <c r="QN599"/>
      <c r="QO599"/>
      <c r="QP599"/>
      <c r="QQ599"/>
      <c r="QR599"/>
      <c r="QS599"/>
      <c r="QT599"/>
      <c r="QU599"/>
      <c r="QV599"/>
      <c r="QW599"/>
      <c r="QX599"/>
      <c r="QY599"/>
      <c r="QZ599"/>
      <c r="RA599"/>
      <c r="RB599"/>
      <c r="RC599"/>
      <c r="RD599"/>
      <c r="RE599"/>
      <c r="RF599"/>
      <c r="RG599"/>
      <c r="RH599"/>
      <c r="RI599"/>
      <c r="RJ599"/>
      <c r="RK599"/>
      <c r="RL599"/>
      <c r="RM599"/>
      <c r="RN599"/>
      <c r="RO599"/>
      <c r="RP599"/>
      <c r="RQ599"/>
      <c r="RR599"/>
      <c r="RS599"/>
      <c r="RT599"/>
      <c r="RU599"/>
      <c r="RV599"/>
      <c r="RW599"/>
      <c r="RX599"/>
      <c r="RY599"/>
      <c r="RZ599"/>
      <c r="SA599"/>
      <c r="SB599"/>
      <c r="SC599"/>
      <c r="SD599"/>
      <c r="SE599"/>
      <c r="SF599"/>
      <c r="SG599"/>
      <c r="SH599"/>
      <c r="SI599"/>
      <c r="SJ599"/>
      <c r="SK599"/>
      <c r="SL599"/>
      <c r="SM599"/>
      <c r="SN599"/>
      <c r="SO599"/>
      <c r="SP599"/>
      <c r="SQ599"/>
      <c r="SR599"/>
      <c r="SS599"/>
      <c r="ST599"/>
      <c r="SU599"/>
      <c r="SV599"/>
      <c r="SW599"/>
      <c r="SX599"/>
      <c r="SY599"/>
      <c r="SZ599"/>
      <c r="TA599"/>
      <c r="TB599"/>
      <c r="TC599"/>
      <c r="TD599"/>
      <c r="TE599"/>
      <c r="TF599"/>
      <c r="TG599"/>
      <c r="TH599"/>
      <c r="TI599"/>
      <c r="TJ599"/>
      <c r="TK599"/>
      <c r="TL599"/>
      <c r="TM599"/>
      <c r="TN599"/>
      <c r="TO599"/>
      <c r="TP599"/>
      <c r="TQ599"/>
      <c r="TR599"/>
      <c r="TS599"/>
      <c r="TT599"/>
      <c r="TU599"/>
      <c r="TV599"/>
      <c r="TW599"/>
      <c r="TX599"/>
      <c r="TY599"/>
      <c r="TZ599"/>
      <c r="UA599"/>
      <c r="UB599"/>
      <c r="UC599"/>
      <c r="UD599"/>
      <c r="UE599"/>
      <c r="UF599"/>
      <c r="UG599"/>
      <c r="UH599"/>
      <c r="UI599"/>
      <c r="UJ599"/>
      <c r="UK599"/>
      <c r="UL599"/>
      <c r="UM599"/>
      <c r="UN599"/>
      <c r="UO599"/>
      <c r="UP599"/>
      <c r="UQ599"/>
      <c r="UR599"/>
      <c r="US599"/>
      <c r="UT599"/>
      <c r="UU599"/>
      <c r="UV599"/>
      <c r="UW599"/>
      <c r="UX599"/>
      <c r="UY599"/>
      <c r="UZ599"/>
      <c r="VA599"/>
      <c r="VB599"/>
      <c r="VC599"/>
      <c r="VD599"/>
      <c r="VE599"/>
      <c r="VF599"/>
      <c r="VG599"/>
      <c r="VH599"/>
      <c r="VI599"/>
      <c r="VJ599"/>
      <c r="VK599"/>
      <c r="VL599"/>
      <c r="VM599"/>
      <c r="VN599"/>
      <c r="VO599"/>
      <c r="VP599"/>
      <c r="VQ599"/>
      <c r="VR599"/>
      <c r="VS599"/>
      <c r="VT599"/>
      <c r="VU599"/>
      <c r="VV599"/>
      <c r="VW599"/>
      <c r="VX599"/>
      <c r="VY599"/>
      <c r="VZ599"/>
      <c r="WA599"/>
      <c r="WB599"/>
      <c r="WC599"/>
      <c r="WD599"/>
      <c r="WE599"/>
      <c r="WF599"/>
      <c r="WG599"/>
      <c r="WH599"/>
      <c r="WI599"/>
      <c r="WJ599"/>
      <c r="WK599"/>
      <c r="WL599"/>
      <c r="WM599"/>
      <c r="WN599"/>
      <c r="WO599"/>
      <c r="WP599"/>
      <c r="WQ599"/>
      <c r="WR599"/>
      <c r="WS599"/>
      <c r="WT599"/>
      <c r="WU599"/>
      <c r="WV599"/>
      <c r="WW599"/>
      <c r="WX599"/>
      <c r="WY599"/>
      <c r="WZ599"/>
      <c r="XA599"/>
      <c r="XB599"/>
      <c r="XC599"/>
      <c r="XD599"/>
      <c r="XE599"/>
      <c r="XF599"/>
      <c r="XG599"/>
      <c r="XH599"/>
      <c r="XI599"/>
      <c r="XJ599"/>
      <c r="XK599"/>
      <c r="XL599"/>
      <c r="XM599"/>
      <c r="XN599"/>
      <c r="XO599"/>
      <c r="XP599"/>
      <c r="XQ599"/>
      <c r="XR599"/>
      <c r="XS599"/>
      <c r="XT599"/>
      <c r="XU599"/>
      <c r="XV599"/>
      <c r="XW599"/>
      <c r="XX599"/>
      <c r="XY599"/>
      <c r="XZ599"/>
      <c r="YA599"/>
      <c r="YB599"/>
      <c r="YC599"/>
      <c r="YD599"/>
      <c r="YE599"/>
      <c r="YF599"/>
      <c r="YG599"/>
      <c r="YH599"/>
      <c r="YI599"/>
      <c r="YJ599"/>
      <c r="YK599"/>
      <c r="YL599"/>
      <c r="YM599"/>
      <c r="YN599"/>
      <c r="YO599"/>
      <c r="YP599"/>
      <c r="YQ599"/>
      <c r="YR599"/>
      <c r="YS599"/>
      <c r="YT599"/>
      <c r="YU599"/>
      <c r="YV599"/>
      <c r="YW599"/>
      <c r="YX599"/>
      <c r="YY599"/>
      <c r="YZ599"/>
      <c r="ZA599"/>
      <c r="ZB599"/>
      <c r="ZC599"/>
      <c r="ZD599"/>
      <c r="ZE599"/>
      <c r="ZF599"/>
      <c r="ZG599"/>
      <c r="ZH599"/>
      <c r="ZI599"/>
      <c r="ZJ599"/>
      <c r="ZK599"/>
      <c r="ZL599"/>
      <c r="ZM599"/>
      <c r="ZN599"/>
      <c r="ZO599"/>
      <c r="ZP599"/>
      <c r="ZQ599"/>
      <c r="ZR599"/>
      <c r="ZS599"/>
      <c r="ZT599"/>
      <c r="ZU599"/>
      <c r="ZV599"/>
      <c r="ZW599"/>
      <c r="ZX599"/>
      <c r="ZY599"/>
      <c r="ZZ599" s="52"/>
      <c r="AAA599" s="192"/>
      <c r="AAD599" s="90"/>
      <c r="AAE599" s="519">
        <f t="shared" si="475"/>
        <v>1</v>
      </c>
      <c r="AAF599" s="190" t="s">
        <v>52</v>
      </c>
      <c r="AAG599" s="71"/>
      <c r="AAH599" s="71"/>
      <c r="AAI599" s="72"/>
      <c r="AAJ599" s="72"/>
      <c r="AAK599" s="87"/>
      <c r="AAL599" s="90"/>
    </row>
    <row r="600" spans="1:715" s="23" customFormat="1" ht="15" customHeight="1" outlineLevel="1">
      <c r="A600" s="171"/>
      <c r="B600" s="396" t="s">
        <v>446</v>
      </c>
      <c r="C600" s="376" t="s">
        <v>0</v>
      </c>
      <c r="I600" s="244"/>
      <c r="J600" s="194"/>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9"/>
      <c r="CD600" s="49"/>
      <c r="CE600" s="49"/>
      <c r="CF600" s="49"/>
      <c r="CG600" s="49"/>
      <c r="CH600" s="49"/>
      <c r="CI600" s="49"/>
      <c r="CJ600" s="49"/>
      <c r="CK600" s="49"/>
      <c r="CL600" s="49"/>
      <c r="CM600" s="49"/>
      <c r="CN600" s="49"/>
      <c r="CO600" s="49"/>
      <c r="CP600" s="49"/>
      <c r="CQ600" s="49"/>
      <c r="CR600" s="49"/>
      <c r="CS600" s="49"/>
      <c r="CT600" s="49"/>
      <c r="CU600" s="49"/>
      <c r="CV600" s="49"/>
      <c r="CW600" s="49"/>
      <c r="CX600" s="49"/>
      <c r="CY600" s="49"/>
      <c r="CZ600" s="49"/>
      <c r="DA600" s="49"/>
      <c r="DB600" s="49"/>
      <c r="DC600" s="49"/>
      <c r="DD600" s="49"/>
      <c r="DE600" s="49"/>
      <c r="DF600" s="49"/>
      <c r="DG600" s="49"/>
      <c r="DH600" s="49"/>
      <c r="DI600" s="49"/>
      <c r="DJ600" s="49"/>
      <c r="DK600" s="49"/>
      <c r="DL600" s="49"/>
      <c r="DM600" s="49"/>
      <c r="DN600" s="49"/>
      <c r="DO600" s="49"/>
      <c r="DP600" s="49"/>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c r="IW600"/>
      <c r="IX600"/>
      <c r="IY600"/>
      <c r="IZ600"/>
      <c r="JA600"/>
      <c r="JB600"/>
      <c r="JC600"/>
      <c r="JD600"/>
      <c r="JE600"/>
      <c r="JF600"/>
      <c r="JG600"/>
      <c r="JH600"/>
      <c r="JI600"/>
      <c r="JJ600"/>
      <c r="JK600"/>
      <c r="JL600"/>
      <c r="JM600"/>
      <c r="JN600"/>
      <c r="JO600"/>
      <c r="JP600"/>
      <c r="JQ600"/>
      <c r="JR600"/>
      <c r="JS600"/>
      <c r="JT600"/>
      <c r="JU600"/>
      <c r="JV600"/>
      <c r="JW600"/>
      <c r="JX600"/>
      <c r="JY600"/>
      <c r="JZ600"/>
      <c r="KA600"/>
      <c r="KB600"/>
      <c r="KC600"/>
      <c r="KD600"/>
      <c r="KE600"/>
      <c r="KF600"/>
      <c r="KG600"/>
      <c r="KH600"/>
      <c r="KI600"/>
      <c r="KJ600"/>
      <c r="KK600"/>
      <c r="KL600"/>
      <c r="KM600"/>
      <c r="KN600"/>
      <c r="KO600"/>
      <c r="KP600"/>
      <c r="KQ600"/>
      <c r="KR600"/>
      <c r="KS600"/>
      <c r="KT600"/>
      <c r="KU600"/>
      <c r="KV600"/>
      <c r="KW600"/>
      <c r="KX600"/>
      <c r="KY600"/>
      <c r="KZ600"/>
      <c r="LA600"/>
      <c r="LB600"/>
      <c r="LC600"/>
      <c r="LD600"/>
      <c r="LE600"/>
      <c r="LF600"/>
      <c r="LG600"/>
      <c r="LH600"/>
      <c r="LI600"/>
      <c r="LJ600"/>
      <c r="LK600"/>
      <c r="LL600"/>
      <c r="LM600"/>
      <c r="LN600"/>
      <c r="LO600"/>
      <c r="LP600"/>
      <c r="LQ600"/>
      <c r="LR600"/>
      <c r="LS600"/>
      <c r="LT600"/>
      <c r="LU600"/>
      <c r="LV600"/>
      <c r="LW600"/>
      <c r="LX600"/>
      <c r="LY600"/>
      <c r="LZ600"/>
      <c r="MA600"/>
      <c r="MB600"/>
      <c r="MC600"/>
      <c r="MD600"/>
      <c r="ME600"/>
      <c r="MF600"/>
      <c r="MG600"/>
      <c r="MH600"/>
      <c r="MI600"/>
      <c r="MJ600"/>
      <c r="MK600"/>
      <c r="ML600"/>
      <c r="MM600"/>
      <c r="MN600"/>
      <c r="MO600"/>
      <c r="MP600"/>
      <c r="MQ600"/>
      <c r="MR600"/>
      <c r="MS600"/>
      <c r="MT600"/>
      <c r="MU600"/>
      <c r="MV600"/>
      <c r="MW600"/>
      <c r="MX600"/>
      <c r="MY600"/>
      <c r="MZ600"/>
      <c r="NA600"/>
      <c r="NB600"/>
      <c r="NC600"/>
      <c r="ND600"/>
      <c r="NE600"/>
      <c r="NF600"/>
      <c r="NG600"/>
      <c r="NH600"/>
      <c r="NI600"/>
      <c r="NJ600"/>
      <c r="NK600"/>
      <c r="NL600"/>
      <c r="NM600"/>
      <c r="NN600"/>
      <c r="NO600"/>
      <c r="NP600"/>
      <c r="NQ600"/>
      <c r="NR600"/>
      <c r="NS600"/>
      <c r="NT600"/>
      <c r="NU600"/>
      <c r="NV600"/>
      <c r="NW600"/>
      <c r="NX600"/>
      <c r="NY600"/>
      <c r="NZ600"/>
      <c r="OA600"/>
      <c r="OB600"/>
      <c r="OC600"/>
      <c r="OD600"/>
      <c r="OE600"/>
      <c r="OF600"/>
      <c r="OG600"/>
      <c r="OH600"/>
      <c r="OI600"/>
      <c r="OJ600"/>
      <c r="OK600"/>
      <c r="OL600"/>
      <c r="OM600"/>
      <c r="ON600"/>
      <c r="OO600"/>
      <c r="OP600"/>
      <c r="OQ600"/>
      <c r="OR600"/>
      <c r="OS600"/>
      <c r="OT600"/>
      <c r="OU600"/>
      <c r="OV600"/>
      <c r="OW600"/>
      <c r="OX600"/>
      <c r="OY600"/>
      <c r="OZ600"/>
      <c r="PA600"/>
      <c r="PB600"/>
      <c r="PC600"/>
      <c r="PD600"/>
      <c r="PE600"/>
      <c r="PF600"/>
      <c r="PG600"/>
      <c r="PH600"/>
      <c r="PI600"/>
      <c r="PJ600"/>
      <c r="PK600"/>
      <c r="PL600"/>
      <c r="PM600"/>
      <c r="PN600"/>
      <c r="PO600"/>
      <c r="PP600"/>
      <c r="PQ600"/>
      <c r="PR600"/>
      <c r="PS600"/>
      <c r="PT600"/>
      <c r="PU600"/>
      <c r="PV600"/>
      <c r="PW600"/>
      <c r="PX600"/>
      <c r="PY600"/>
      <c r="PZ600"/>
      <c r="QA600"/>
      <c r="QB600"/>
      <c r="QC600"/>
      <c r="QD600"/>
      <c r="QE600"/>
      <c r="QF600"/>
      <c r="QG600"/>
      <c r="QH600"/>
      <c r="QI600"/>
      <c r="QJ600"/>
      <c r="QK600"/>
      <c r="QL600"/>
      <c r="QM600"/>
      <c r="QN600"/>
      <c r="QO600"/>
      <c r="QP600"/>
      <c r="QQ600"/>
      <c r="QR600"/>
      <c r="QS600"/>
      <c r="QT600"/>
      <c r="QU600"/>
      <c r="QV600"/>
      <c r="QW600"/>
      <c r="QX600"/>
      <c r="QY600"/>
      <c r="QZ600"/>
      <c r="RA600"/>
      <c r="RB600"/>
      <c r="RC600"/>
      <c r="RD600"/>
      <c r="RE600"/>
      <c r="RF600"/>
      <c r="RG600"/>
      <c r="RH600"/>
      <c r="RI600"/>
      <c r="RJ600"/>
      <c r="RK600"/>
      <c r="RL600"/>
      <c r="RM600"/>
      <c r="RN600"/>
      <c r="RO600"/>
      <c r="RP600"/>
      <c r="RQ600"/>
      <c r="RR600"/>
      <c r="RS600"/>
      <c r="RT600"/>
      <c r="RU600"/>
      <c r="RV600"/>
      <c r="RW600"/>
      <c r="RX600"/>
      <c r="RY600"/>
      <c r="RZ600"/>
      <c r="SA600"/>
      <c r="SB600"/>
      <c r="SC600"/>
      <c r="SD600"/>
      <c r="SE600"/>
      <c r="SF600"/>
      <c r="SG600"/>
      <c r="SH600"/>
      <c r="SI600"/>
      <c r="SJ600"/>
      <c r="SK600"/>
      <c r="SL600"/>
      <c r="SM600"/>
      <c r="SN600"/>
      <c r="SO600"/>
      <c r="SP600"/>
      <c r="SQ600"/>
      <c r="SR600"/>
      <c r="SS600"/>
      <c r="ST600"/>
      <c r="SU600"/>
      <c r="SV600"/>
      <c r="SW600"/>
      <c r="SX600"/>
      <c r="SY600"/>
      <c r="SZ600"/>
      <c r="TA600"/>
      <c r="TB600"/>
      <c r="TC600"/>
      <c r="TD600"/>
      <c r="TE600"/>
      <c r="TF600"/>
      <c r="TG600"/>
      <c r="TH600"/>
      <c r="TI600"/>
      <c r="TJ600"/>
      <c r="TK600"/>
      <c r="TL600"/>
      <c r="TM600"/>
      <c r="TN600"/>
      <c r="TO600"/>
      <c r="TP600"/>
      <c r="TQ600"/>
      <c r="TR600"/>
      <c r="TS600"/>
      <c r="TT600"/>
      <c r="TU600"/>
      <c r="TV600"/>
      <c r="TW600"/>
      <c r="TX600"/>
      <c r="TY600"/>
      <c r="TZ600"/>
      <c r="UA600"/>
      <c r="UB600"/>
      <c r="UC600"/>
      <c r="UD600"/>
      <c r="UE600"/>
      <c r="UF600"/>
      <c r="UG600"/>
      <c r="UH600"/>
      <c r="UI600"/>
      <c r="UJ600"/>
      <c r="UK600"/>
      <c r="UL600"/>
      <c r="UM600"/>
      <c r="UN600"/>
      <c r="UO600"/>
      <c r="UP600"/>
      <c r="UQ600"/>
      <c r="UR600"/>
      <c r="US600"/>
      <c r="UT600"/>
      <c r="UU600"/>
      <c r="UV600"/>
      <c r="UW600"/>
      <c r="UX600"/>
      <c r="UY600"/>
      <c r="UZ600"/>
      <c r="VA600"/>
      <c r="VB600"/>
      <c r="VC600"/>
      <c r="VD600"/>
      <c r="VE600"/>
      <c r="VF600"/>
      <c r="VG600"/>
      <c r="VH600"/>
      <c r="VI600"/>
      <c r="VJ600"/>
      <c r="VK600"/>
      <c r="VL600"/>
      <c r="VM600"/>
      <c r="VN600"/>
      <c r="VO600"/>
      <c r="VP600"/>
      <c r="VQ600"/>
      <c r="VR600"/>
      <c r="VS600"/>
      <c r="VT600"/>
      <c r="VU600"/>
      <c r="VV600"/>
      <c r="VW600"/>
      <c r="VX600"/>
      <c r="VY600"/>
      <c r="VZ600"/>
      <c r="WA600"/>
      <c r="WB600"/>
      <c r="WC600"/>
      <c r="WD600"/>
      <c r="WE600"/>
      <c r="WF600"/>
      <c r="WG600"/>
      <c r="WH600"/>
      <c r="WI600"/>
      <c r="WJ600"/>
      <c r="WK600"/>
      <c r="WL600"/>
      <c r="WM600"/>
      <c r="WN600"/>
      <c r="WO600"/>
      <c r="WP600"/>
      <c r="WQ600"/>
      <c r="WR600"/>
      <c r="WS600"/>
      <c r="WT600"/>
      <c r="WU600"/>
      <c r="WV600"/>
      <c r="WW600"/>
      <c r="WX600"/>
      <c r="WY600"/>
      <c r="WZ600"/>
      <c r="XA600"/>
      <c r="XB600"/>
      <c r="XC600"/>
      <c r="XD600"/>
      <c r="XE600"/>
      <c r="XF600"/>
      <c r="XG600"/>
      <c r="XH600"/>
      <c r="XI600"/>
      <c r="XJ600"/>
      <c r="XK600"/>
      <c r="XL600"/>
      <c r="XM600"/>
      <c r="XN600"/>
      <c r="XO600"/>
      <c r="XP600"/>
      <c r="XQ600"/>
      <c r="XR600"/>
      <c r="XS600"/>
      <c r="XT600"/>
      <c r="XU600"/>
      <c r="XV600"/>
      <c r="XW600"/>
      <c r="XX600"/>
      <c r="XY600"/>
      <c r="XZ600"/>
      <c r="YA600"/>
      <c r="YB600"/>
      <c r="YC600"/>
      <c r="YD600"/>
      <c r="YE600"/>
      <c r="YF600"/>
      <c r="YG600"/>
      <c r="YH600"/>
      <c r="YI600"/>
      <c r="YJ600"/>
      <c r="YK600"/>
      <c r="YL600"/>
      <c r="YM600"/>
      <c r="YN600"/>
      <c r="YO600"/>
      <c r="YP600"/>
      <c r="YQ600"/>
      <c r="YR600"/>
      <c r="YS600"/>
      <c r="YT600"/>
      <c r="YU600"/>
      <c r="YV600"/>
      <c r="YW600"/>
      <c r="YX600"/>
      <c r="YY600"/>
      <c r="YZ600"/>
      <c r="ZA600"/>
      <c r="ZB600"/>
      <c r="ZC600"/>
      <c r="ZD600"/>
      <c r="ZE600"/>
      <c r="ZF600"/>
      <c r="ZG600"/>
      <c r="ZH600"/>
      <c r="ZI600"/>
      <c r="ZJ600"/>
      <c r="ZK600"/>
      <c r="ZL600"/>
      <c r="ZM600"/>
      <c r="ZN600"/>
      <c r="ZO600"/>
      <c r="ZP600"/>
      <c r="ZQ600"/>
      <c r="ZR600"/>
      <c r="ZS600"/>
      <c r="ZT600"/>
      <c r="ZU600"/>
      <c r="ZV600"/>
      <c r="ZW600"/>
      <c r="ZX600"/>
      <c r="ZY600"/>
      <c r="ZZ600" s="52"/>
      <c r="AAA600" s="192"/>
      <c r="AAD600" s="90"/>
      <c r="AAE600" s="519">
        <f t="shared" si="475"/>
        <v>1</v>
      </c>
      <c r="AAF600" s="190" t="s">
        <v>52</v>
      </c>
      <c r="AAG600" s="72"/>
      <c r="AAH600" s="72"/>
      <c r="AAI600" s="72"/>
      <c r="AAJ600" s="72"/>
      <c r="AAK600" s="87"/>
      <c r="AAL600" s="90"/>
    </row>
    <row r="601" spans="1:715" s="23" customFormat="1" ht="15" customHeight="1" outlineLevel="1">
      <c r="A601" s="171"/>
      <c r="B601" s="670" t="s">
        <v>444</v>
      </c>
      <c r="C601" s="376" t="s">
        <v>0</v>
      </c>
      <c r="I601" s="244"/>
      <c r="J601" s="194"/>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9"/>
      <c r="CD601" s="49"/>
      <c r="CE601" s="49"/>
      <c r="CF601" s="49"/>
      <c r="CG601" s="49"/>
      <c r="CH601" s="49"/>
      <c r="CI601" s="49"/>
      <c r="CJ601" s="49"/>
      <c r="CK601" s="49"/>
      <c r="CL601" s="49"/>
      <c r="CM601" s="49"/>
      <c r="CN601" s="49"/>
      <c r="CO601" s="49"/>
      <c r="CP601" s="49"/>
      <c r="CQ601" s="49"/>
      <c r="CR601" s="49"/>
      <c r="CS601" s="49"/>
      <c r="CT601" s="49"/>
      <c r="CU601" s="49"/>
      <c r="CV601" s="49"/>
      <c r="CW601" s="49"/>
      <c r="CX601" s="49"/>
      <c r="CY601" s="49"/>
      <c r="CZ601" s="49"/>
      <c r="DA601" s="49"/>
      <c r="DB601" s="49"/>
      <c r="DC601" s="49"/>
      <c r="DD601" s="49"/>
      <c r="DE601" s="49"/>
      <c r="DF601" s="49"/>
      <c r="DG601" s="49"/>
      <c r="DH601" s="49"/>
      <c r="DI601" s="49"/>
      <c r="DJ601" s="49"/>
      <c r="DK601" s="49"/>
      <c r="DL601" s="49"/>
      <c r="DM601" s="49"/>
      <c r="DN601" s="49"/>
      <c r="DO601" s="49"/>
      <c r="DP601" s="49"/>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c r="IW601"/>
      <c r="IX601"/>
      <c r="IY601"/>
      <c r="IZ601"/>
      <c r="JA601"/>
      <c r="JB601"/>
      <c r="JC601"/>
      <c r="JD601"/>
      <c r="JE601"/>
      <c r="JF601"/>
      <c r="JG601"/>
      <c r="JH601"/>
      <c r="JI601"/>
      <c r="JJ601"/>
      <c r="JK601"/>
      <c r="JL601"/>
      <c r="JM601"/>
      <c r="JN601"/>
      <c r="JO601"/>
      <c r="JP601"/>
      <c r="JQ601"/>
      <c r="JR601"/>
      <c r="JS601"/>
      <c r="JT601"/>
      <c r="JU601"/>
      <c r="JV601"/>
      <c r="JW601"/>
      <c r="JX601"/>
      <c r="JY601"/>
      <c r="JZ601"/>
      <c r="KA601"/>
      <c r="KB601"/>
      <c r="KC601"/>
      <c r="KD601"/>
      <c r="KE601"/>
      <c r="KF601"/>
      <c r="KG601"/>
      <c r="KH601"/>
      <c r="KI601"/>
      <c r="KJ601"/>
      <c r="KK601"/>
      <c r="KL601"/>
      <c r="KM601"/>
      <c r="KN601"/>
      <c r="KO601"/>
      <c r="KP601"/>
      <c r="KQ601"/>
      <c r="KR601"/>
      <c r="KS601"/>
      <c r="KT601"/>
      <c r="KU601"/>
      <c r="KV601"/>
      <c r="KW601"/>
      <c r="KX601"/>
      <c r="KY601"/>
      <c r="KZ601"/>
      <c r="LA601"/>
      <c r="LB601"/>
      <c r="LC601"/>
      <c r="LD601"/>
      <c r="LE601"/>
      <c r="LF601"/>
      <c r="LG601"/>
      <c r="LH601"/>
      <c r="LI601"/>
      <c r="LJ601"/>
      <c r="LK601"/>
      <c r="LL601"/>
      <c r="LM601"/>
      <c r="LN601"/>
      <c r="LO601"/>
      <c r="LP601"/>
      <c r="LQ601"/>
      <c r="LR601"/>
      <c r="LS601"/>
      <c r="LT601"/>
      <c r="LU601"/>
      <c r="LV601"/>
      <c r="LW601"/>
      <c r="LX601"/>
      <c r="LY601"/>
      <c r="LZ601"/>
      <c r="MA601"/>
      <c r="MB601"/>
      <c r="MC601"/>
      <c r="MD601"/>
      <c r="ME601"/>
      <c r="MF601"/>
      <c r="MG601"/>
      <c r="MH601"/>
      <c r="MI601"/>
      <c r="MJ601"/>
      <c r="MK601"/>
      <c r="ML601"/>
      <c r="MM601"/>
      <c r="MN601"/>
      <c r="MO601"/>
      <c r="MP601"/>
      <c r="MQ601"/>
      <c r="MR601"/>
      <c r="MS601"/>
      <c r="MT601"/>
      <c r="MU601"/>
      <c r="MV601"/>
      <c r="MW601"/>
      <c r="MX601"/>
      <c r="MY601"/>
      <c r="MZ601"/>
      <c r="NA601"/>
      <c r="NB601"/>
      <c r="NC601"/>
      <c r="ND601"/>
      <c r="NE601"/>
      <c r="NF601"/>
      <c r="NG601"/>
      <c r="NH601"/>
      <c r="NI601"/>
      <c r="NJ601"/>
      <c r="NK601"/>
      <c r="NL601"/>
      <c r="NM601"/>
      <c r="NN601"/>
      <c r="NO601"/>
      <c r="NP601"/>
      <c r="NQ601"/>
      <c r="NR601"/>
      <c r="NS601"/>
      <c r="NT601"/>
      <c r="NU601"/>
      <c r="NV601"/>
      <c r="NW601"/>
      <c r="NX601"/>
      <c r="NY601"/>
      <c r="NZ601"/>
      <c r="OA601"/>
      <c r="OB601"/>
      <c r="OC601"/>
      <c r="OD601"/>
      <c r="OE601"/>
      <c r="OF601"/>
      <c r="OG601"/>
      <c r="OH601"/>
      <c r="OI601"/>
      <c r="OJ601"/>
      <c r="OK601"/>
      <c r="OL601"/>
      <c r="OM601"/>
      <c r="ON601"/>
      <c r="OO601"/>
      <c r="OP601"/>
      <c r="OQ601"/>
      <c r="OR601"/>
      <c r="OS601"/>
      <c r="OT601"/>
      <c r="OU601"/>
      <c r="OV601"/>
      <c r="OW601"/>
      <c r="OX601"/>
      <c r="OY601"/>
      <c r="OZ601"/>
      <c r="PA601"/>
      <c r="PB601"/>
      <c r="PC601"/>
      <c r="PD601"/>
      <c r="PE601"/>
      <c r="PF601"/>
      <c r="PG601"/>
      <c r="PH601"/>
      <c r="PI601"/>
      <c r="PJ601"/>
      <c r="PK601"/>
      <c r="PL601"/>
      <c r="PM601"/>
      <c r="PN601"/>
      <c r="PO601"/>
      <c r="PP601"/>
      <c r="PQ601"/>
      <c r="PR601"/>
      <c r="PS601"/>
      <c r="PT601"/>
      <c r="PU601"/>
      <c r="PV601"/>
      <c r="PW601"/>
      <c r="PX601"/>
      <c r="PY601"/>
      <c r="PZ601"/>
      <c r="QA601"/>
      <c r="QB601"/>
      <c r="QC601"/>
      <c r="QD601"/>
      <c r="QE601"/>
      <c r="QF601"/>
      <c r="QG601"/>
      <c r="QH601"/>
      <c r="QI601"/>
      <c r="QJ601"/>
      <c r="QK601"/>
      <c r="QL601"/>
      <c r="QM601"/>
      <c r="QN601"/>
      <c r="QO601"/>
      <c r="QP601"/>
      <c r="QQ601"/>
      <c r="QR601"/>
      <c r="QS601"/>
      <c r="QT601"/>
      <c r="QU601"/>
      <c r="QV601"/>
      <c r="QW601"/>
      <c r="QX601"/>
      <c r="QY601"/>
      <c r="QZ601"/>
      <c r="RA601"/>
      <c r="RB601"/>
      <c r="RC601"/>
      <c r="RD601"/>
      <c r="RE601"/>
      <c r="RF601"/>
      <c r="RG601"/>
      <c r="RH601"/>
      <c r="RI601"/>
      <c r="RJ601"/>
      <c r="RK601"/>
      <c r="RL601"/>
      <c r="RM601"/>
      <c r="RN601"/>
      <c r="RO601"/>
      <c r="RP601"/>
      <c r="RQ601"/>
      <c r="RR601"/>
      <c r="RS601"/>
      <c r="RT601"/>
      <c r="RU601"/>
      <c r="RV601"/>
      <c r="RW601"/>
      <c r="RX601"/>
      <c r="RY601"/>
      <c r="RZ601"/>
      <c r="SA601"/>
      <c r="SB601"/>
      <c r="SC601"/>
      <c r="SD601"/>
      <c r="SE601"/>
      <c r="SF601"/>
      <c r="SG601"/>
      <c r="SH601"/>
      <c r="SI601"/>
      <c r="SJ601"/>
      <c r="SK601"/>
      <c r="SL601"/>
      <c r="SM601"/>
      <c r="SN601"/>
      <c r="SO601"/>
      <c r="SP601"/>
      <c r="SQ601"/>
      <c r="SR601"/>
      <c r="SS601"/>
      <c r="ST601"/>
      <c r="SU601"/>
      <c r="SV601"/>
      <c r="SW601"/>
      <c r="SX601"/>
      <c r="SY601"/>
      <c r="SZ601"/>
      <c r="TA601"/>
      <c r="TB601"/>
      <c r="TC601"/>
      <c r="TD601"/>
      <c r="TE601"/>
      <c r="TF601"/>
      <c r="TG601"/>
      <c r="TH601"/>
      <c r="TI601"/>
      <c r="TJ601"/>
      <c r="TK601"/>
      <c r="TL601"/>
      <c r="TM601"/>
      <c r="TN601"/>
      <c r="TO601"/>
      <c r="TP601"/>
      <c r="TQ601"/>
      <c r="TR601"/>
      <c r="TS601"/>
      <c r="TT601"/>
      <c r="TU601"/>
      <c r="TV601"/>
      <c r="TW601"/>
      <c r="TX601"/>
      <c r="TY601"/>
      <c r="TZ601"/>
      <c r="UA601"/>
      <c r="UB601"/>
      <c r="UC601"/>
      <c r="UD601"/>
      <c r="UE601"/>
      <c r="UF601"/>
      <c r="UG601"/>
      <c r="UH601"/>
      <c r="UI601"/>
      <c r="UJ601"/>
      <c r="UK601"/>
      <c r="UL601"/>
      <c r="UM601"/>
      <c r="UN601"/>
      <c r="UO601"/>
      <c r="UP601"/>
      <c r="UQ601"/>
      <c r="UR601"/>
      <c r="US601"/>
      <c r="UT601"/>
      <c r="UU601"/>
      <c r="UV601"/>
      <c r="UW601"/>
      <c r="UX601"/>
      <c r="UY601"/>
      <c r="UZ601"/>
      <c r="VA601"/>
      <c r="VB601"/>
      <c r="VC601"/>
      <c r="VD601"/>
      <c r="VE601"/>
      <c r="VF601"/>
      <c r="VG601"/>
      <c r="VH601"/>
      <c r="VI601"/>
      <c r="VJ601"/>
      <c r="VK601"/>
      <c r="VL601"/>
      <c r="VM601"/>
      <c r="VN601"/>
      <c r="VO601"/>
      <c r="VP601"/>
      <c r="VQ601"/>
      <c r="VR601"/>
      <c r="VS601"/>
      <c r="VT601"/>
      <c r="VU601"/>
      <c r="VV601"/>
      <c r="VW601"/>
      <c r="VX601"/>
      <c r="VY601"/>
      <c r="VZ601"/>
      <c r="WA601"/>
      <c r="WB601"/>
      <c r="WC601"/>
      <c r="WD601"/>
      <c r="WE601"/>
      <c r="WF601"/>
      <c r="WG601"/>
      <c r="WH601"/>
      <c r="WI601"/>
      <c r="WJ601"/>
      <c r="WK601"/>
      <c r="WL601"/>
      <c r="WM601"/>
      <c r="WN601"/>
      <c r="WO601"/>
      <c r="WP601"/>
      <c r="WQ601"/>
      <c r="WR601"/>
      <c r="WS601"/>
      <c r="WT601"/>
      <c r="WU601"/>
      <c r="WV601"/>
      <c r="WW601"/>
      <c r="WX601"/>
      <c r="WY601"/>
      <c r="WZ601"/>
      <c r="XA601"/>
      <c r="XB601"/>
      <c r="XC601"/>
      <c r="XD601"/>
      <c r="XE601"/>
      <c r="XF601"/>
      <c r="XG601"/>
      <c r="XH601"/>
      <c r="XI601"/>
      <c r="XJ601"/>
      <c r="XK601"/>
      <c r="XL601"/>
      <c r="XM601"/>
      <c r="XN601"/>
      <c r="XO601"/>
      <c r="XP601"/>
      <c r="XQ601"/>
      <c r="XR601"/>
      <c r="XS601"/>
      <c r="XT601"/>
      <c r="XU601"/>
      <c r="XV601"/>
      <c r="XW601"/>
      <c r="XX601"/>
      <c r="XY601"/>
      <c r="XZ601"/>
      <c r="YA601"/>
      <c r="YB601"/>
      <c r="YC601"/>
      <c r="YD601"/>
      <c r="YE601"/>
      <c r="YF601"/>
      <c r="YG601"/>
      <c r="YH601"/>
      <c r="YI601"/>
      <c r="YJ601"/>
      <c r="YK601"/>
      <c r="YL601"/>
      <c r="YM601"/>
      <c r="YN601"/>
      <c r="YO601"/>
      <c r="YP601"/>
      <c r="YQ601"/>
      <c r="YR601"/>
      <c r="YS601"/>
      <c r="YT601"/>
      <c r="YU601"/>
      <c r="YV601"/>
      <c r="YW601"/>
      <c r="YX601"/>
      <c r="YY601"/>
      <c r="YZ601"/>
      <c r="ZA601"/>
      <c r="ZB601"/>
      <c r="ZC601"/>
      <c r="ZD601"/>
      <c r="ZE601"/>
      <c r="ZF601"/>
      <c r="ZG601"/>
      <c r="ZH601"/>
      <c r="ZI601"/>
      <c r="ZJ601"/>
      <c r="ZK601"/>
      <c r="ZL601"/>
      <c r="ZM601"/>
      <c r="ZN601"/>
      <c r="ZO601"/>
      <c r="ZP601"/>
      <c r="ZQ601"/>
      <c r="ZR601"/>
      <c r="ZS601"/>
      <c r="ZT601"/>
      <c r="ZU601"/>
      <c r="ZV601"/>
      <c r="ZW601"/>
      <c r="ZX601"/>
      <c r="ZY601"/>
      <c r="ZZ601" s="52"/>
      <c r="AAA601" s="192"/>
      <c r="AAD601" s="90"/>
      <c r="AAE601" s="519">
        <f t="shared" si="475"/>
        <v>1</v>
      </c>
      <c r="AAF601" s="190" t="s">
        <v>52</v>
      </c>
      <c r="AAG601" s="72"/>
      <c r="AAH601" s="72"/>
      <c r="AAI601" s="72"/>
      <c r="AAJ601" s="72"/>
      <c r="AAK601" s="87"/>
      <c r="AAL601" s="90"/>
    </row>
    <row r="602" spans="1:715" s="23" customFormat="1" ht="15" customHeight="1" outlineLevel="1">
      <c r="A602" s="171" t="s">
        <v>353</v>
      </c>
      <c r="B602" s="730" t="str">
        <f>AAK602</f>
        <v>* contacts AndreaRW with questions, clarificatios and suggestions</v>
      </c>
      <c r="C602" s="376" t="s">
        <v>0</v>
      </c>
      <c r="I602" s="244"/>
      <c r="J602" s="194"/>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9"/>
      <c r="CD602" s="49"/>
      <c r="CE602" s="49"/>
      <c r="CF602" s="49"/>
      <c r="CG602" s="49"/>
      <c r="CH602" s="49"/>
      <c r="CI602" s="49"/>
      <c r="CJ602" s="49"/>
      <c r="CK602" s="49"/>
      <c r="CL602" s="49"/>
      <c r="CM602" s="49"/>
      <c r="CN602" s="49"/>
      <c r="CO602" s="49"/>
      <c r="CP602" s="49"/>
      <c r="CQ602" s="49"/>
      <c r="CR602" s="49"/>
      <c r="CS602" s="49"/>
      <c r="CT602" s="49"/>
      <c r="CU602" s="49"/>
      <c r="CV602" s="49"/>
      <c r="CW602" s="49"/>
      <c r="CX602" s="49"/>
      <c r="CY602" s="49"/>
      <c r="CZ602" s="49"/>
      <c r="DA602" s="49"/>
      <c r="DB602" s="49"/>
      <c r="DC602" s="49"/>
      <c r="DD602" s="49"/>
      <c r="DE602" s="49"/>
      <c r="DF602" s="49"/>
      <c r="DG602" s="49"/>
      <c r="DH602" s="49"/>
      <c r="DI602" s="49"/>
      <c r="DJ602" s="49"/>
      <c r="DK602" s="49"/>
      <c r="DL602" s="49"/>
      <c r="DM602" s="49"/>
      <c r="DN602" s="49"/>
      <c r="DO602" s="49"/>
      <c r="DP602" s="49"/>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c r="IW602"/>
      <c r="IX602"/>
      <c r="IY602"/>
      <c r="IZ602"/>
      <c r="JA602"/>
      <c r="JB602"/>
      <c r="JC602"/>
      <c r="JD602"/>
      <c r="JE602"/>
      <c r="JF602"/>
      <c r="JG602"/>
      <c r="JH602"/>
      <c r="JI602"/>
      <c r="JJ602"/>
      <c r="JK602"/>
      <c r="JL602"/>
      <c r="JM602"/>
      <c r="JN602"/>
      <c r="JO602"/>
      <c r="JP602"/>
      <c r="JQ602"/>
      <c r="JR602"/>
      <c r="JS602"/>
      <c r="JT602"/>
      <c r="JU602"/>
      <c r="JV602"/>
      <c r="JW602"/>
      <c r="JX602"/>
      <c r="JY602"/>
      <c r="JZ602"/>
      <c r="KA602"/>
      <c r="KB602"/>
      <c r="KC602"/>
      <c r="KD602"/>
      <c r="KE602"/>
      <c r="KF602"/>
      <c r="KG602"/>
      <c r="KH602"/>
      <c r="KI602"/>
      <c r="KJ602"/>
      <c r="KK602"/>
      <c r="KL602"/>
      <c r="KM602"/>
      <c r="KN602"/>
      <c r="KO602"/>
      <c r="KP602"/>
      <c r="KQ602"/>
      <c r="KR602"/>
      <c r="KS602"/>
      <c r="KT602"/>
      <c r="KU602"/>
      <c r="KV602"/>
      <c r="KW602"/>
      <c r="KX602"/>
      <c r="KY602"/>
      <c r="KZ602"/>
      <c r="LA602"/>
      <c r="LB602"/>
      <c r="LC602"/>
      <c r="LD602"/>
      <c r="LE602"/>
      <c r="LF602"/>
      <c r="LG602"/>
      <c r="LH602"/>
      <c r="LI602"/>
      <c r="LJ602"/>
      <c r="LK602"/>
      <c r="LL602"/>
      <c r="LM602"/>
      <c r="LN602"/>
      <c r="LO602"/>
      <c r="LP602"/>
      <c r="LQ602"/>
      <c r="LR602"/>
      <c r="LS602"/>
      <c r="LT602"/>
      <c r="LU602"/>
      <c r="LV602"/>
      <c r="LW602"/>
      <c r="LX602"/>
      <c r="LY602"/>
      <c r="LZ602"/>
      <c r="MA602"/>
      <c r="MB602"/>
      <c r="MC602"/>
      <c r="MD602"/>
      <c r="ME602"/>
      <c r="MF602"/>
      <c r="MG602"/>
      <c r="MH602"/>
      <c r="MI602"/>
      <c r="MJ602"/>
      <c r="MK602"/>
      <c r="ML602"/>
      <c r="MM602"/>
      <c r="MN602"/>
      <c r="MO602"/>
      <c r="MP602"/>
      <c r="MQ602"/>
      <c r="MR602"/>
      <c r="MS602"/>
      <c r="MT602"/>
      <c r="MU602"/>
      <c r="MV602"/>
      <c r="MW602"/>
      <c r="MX602"/>
      <c r="MY602"/>
      <c r="MZ602"/>
      <c r="NA602"/>
      <c r="NB602"/>
      <c r="NC602"/>
      <c r="ND602"/>
      <c r="NE602"/>
      <c r="NF602"/>
      <c r="NG602"/>
      <c r="NH602"/>
      <c r="NI602"/>
      <c r="NJ602"/>
      <c r="NK602"/>
      <c r="NL602"/>
      <c r="NM602"/>
      <c r="NN602"/>
      <c r="NO602"/>
      <c r="NP602"/>
      <c r="NQ602"/>
      <c r="NR602"/>
      <c r="NS602"/>
      <c r="NT602"/>
      <c r="NU602"/>
      <c r="NV602"/>
      <c r="NW602"/>
      <c r="NX602"/>
      <c r="NY602"/>
      <c r="NZ602"/>
      <c r="OA602"/>
      <c r="OB602"/>
      <c r="OC602"/>
      <c r="OD602"/>
      <c r="OE602"/>
      <c r="OF602"/>
      <c r="OG602"/>
      <c r="OH602"/>
      <c r="OI602"/>
      <c r="OJ602"/>
      <c r="OK602"/>
      <c r="OL602"/>
      <c r="OM602"/>
      <c r="ON602"/>
      <c r="OO602"/>
      <c r="OP602"/>
      <c r="OQ602"/>
      <c r="OR602"/>
      <c r="OS602"/>
      <c r="OT602"/>
      <c r="OU602"/>
      <c r="OV602"/>
      <c r="OW602"/>
      <c r="OX602"/>
      <c r="OY602"/>
      <c r="OZ602"/>
      <c r="PA602"/>
      <c r="PB602"/>
      <c r="PC602"/>
      <c r="PD602"/>
      <c r="PE602"/>
      <c r="PF602"/>
      <c r="PG602"/>
      <c r="PH602"/>
      <c r="PI602"/>
      <c r="PJ602"/>
      <c r="PK602"/>
      <c r="PL602"/>
      <c r="PM602"/>
      <c r="PN602"/>
      <c r="PO602"/>
      <c r="PP602"/>
      <c r="PQ602"/>
      <c r="PR602"/>
      <c r="PS602"/>
      <c r="PT602"/>
      <c r="PU602"/>
      <c r="PV602"/>
      <c r="PW602"/>
      <c r="PX602"/>
      <c r="PY602"/>
      <c r="PZ602"/>
      <c r="QA602"/>
      <c r="QB602"/>
      <c r="QC602"/>
      <c r="QD602"/>
      <c r="QE602"/>
      <c r="QF602"/>
      <c r="QG602"/>
      <c r="QH602"/>
      <c r="QI602"/>
      <c r="QJ602"/>
      <c r="QK602"/>
      <c r="QL602"/>
      <c r="QM602"/>
      <c r="QN602"/>
      <c r="QO602"/>
      <c r="QP602"/>
      <c r="QQ602"/>
      <c r="QR602"/>
      <c r="QS602"/>
      <c r="QT602"/>
      <c r="QU602"/>
      <c r="QV602"/>
      <c r="QW602"/>
      <c r="QX602"/>
      <c r="QY602"/>
      <c r="QZ602"/>
      <c r="RA602"/>
      <c r="RB602"/>
      <c r="RC602"/>
      <c r="RD602"/>
      <c r="RE602"/>
      <c r="RF602"/>
      <c r="RG602"/>
      <c r="RH602"/>
      <c r="RI602"/>
      <c r="RJ602"/>
      <c r="RK602"/>
      <c r="RL602"/>
      <c r="RM602"/>
      <c r="RN602"/>
      <c r="RO602"/>
      <c r="RP602"/>
      <c r="RQ602"/>
      <c r="RR602"/>
      <c r="RS602"/>
      <c r="RT602"/>
      <c r="RU602"/>
      <c r="RV602"/>
      <c r="RW602"/>
      <c r="RX602"/>
      <c r="RY602"/>
      <c r="RZ602"/>
      <c r="SA602"/>
      <c r="SB602"/>
      <c r="SC602"/>
      <c r="SD602"/>
      <c r="SE602"/>
      <c r="SF602"/>
      <c r="SG602"/>
      <c r="SH602"/>
      <c r="SI602"/>
      <c r="SJ602"/>
      <c r="SK602"/>
      <c r="SL602"/>
      <c r="SM602"/>
      <c r="SN602"/>
      <c r="SO602"/>
      <c r="SP602"/>
      <c r="SQ602"/>
      <c r="SR602"/>
      <c r="SS602"/>
      <c r="ST602"/>
      <c r="SU602"/>
      <c r="SV602"/>
      <c r="SW602"/>
      <c r="SX602"/>
      <c r="SY602"/>
      <c r="SZ602"/>
      <c r="TA602"/>
      <c r="TB602"/>
      <c r="TC602"/>
      <c r="TD602"/>
      <c r="TE602"/>
      <c r="TF602"/>
      <c r="TG602"/>
      <c r="TH602"/>
      <c r="TI602"/>
      <c r="TJ602"/>
      <c r="TK602"/>
      <c r="TL602"/>
      <c r="TM602"/>
      <c r="TN602"/>
      <c r="TO602"/>
      <c r="TP602"/>
      <c r="TQ602"/>
      <c r="TR602"/>
      <c r="TS602"/>
      <c r="TT602"/>
      <c r="TU602"/>
      <c r="TV602"/>
      <c r="TW602"/>
      <c r="TX602"/>
      <c r="TY602"/>
      <c r="TZ602"/>
      <c r="UA602"/>
      <c r="UB602"/>
      <c r="UC602"/>
      <c r="UD602"/>
      <c r="UE602"/>
      <c r="UF602"/>
      <c r="UG602"/>
      <c r="UH602"/>
      <c r="UI602"/>
      <c r="UJ602"/>
      <c r="UK602"/>
      <c r="UL602"/>
      <c r="UM602"/>
      <c r="UN602"/>
      <c r="UO602"/>
      <c r="UP602"/>
      <c r="UQ602"/>
      <c r="UR602"/>
      <c r="US602"/>
      <c r="UT602"/>
      <c r="UU602"/>
      <c r="UV602"/>
      <c r="UW602"/>
      <c r="UX602"/>
      <c r="UY602"/>
      <c r="UZ602"/>
      <c r="VA602"/>
      <c r="VB602"/>
      <c r="VC602"/>
      <c r="VD602"/>
      <c r="VE602"/>
      <c r="VF602"/>
      <c r="VG602"/>
      <c r="VH602"/>
      <c r="VI602"/>
      <c r="VJ602"/>
      <c r="VK602"/>
      <c r="VL602"/>
      <c r="VM602"/>
      <c r="VN602"/>
      <c r="VO602"/>
      <c r="VP602"/>
      <c r="VQ602"/>
      <c r="VR602"/>
      <c r="VS602"/>
      <c r="VT602"/>
      <c r="VU602"/>
      <c r="VV602"/>
      <c r="VW602"/>
      <c r="VX602"/>
      <c r="VY602"/>
      <c r="VZ602"/>
      <c r="WA602"/>
      <c r="WB602"/>
      <c r="WC602"/>
      <c r="WD602"/>
      <c r="WE602"/>
      <c r="WF602"/>
      <c r="WG602"/>
      <c r="WH602"/>
      <c r="WI602"/>
      <c r="WJ602"/>
      <c r="WK602"/>
      <c r="WL602"/>
      <c r="WM602"/>
      <c r="WN602"/>
      <c r="WO602"/>
      <c r="WP602"/>
      <c r="WQ602"/>
      <c r="WR602"/>
      <c r="WS602"/>
      <c r="WT602"/>
      <c r="WU602"/>
      <c r="WV602"/>
      <c r="WW602"/>
      <c r="WX602"/>
      <c r="WY602"/>
      <c r="WZ602"/>
      <c r="XA602"/>
      <c r="XB602"/>
      <c r="XC602"/>
      <c r="XD602"/>
      <c r="XE602"/>
      <c r="XF602"/>
      <c r="XG602"/>
      <c r="XH602"/>
      <c r="XI602"/>
      <c r="XJ602"/>
      <c r="XK602"/>
      <c r="XL602"/>
      <c r="XM602"/>
      <c r="XN602"/>
      <c r="XO602"/>
      <c r="XP602"/>
      <c r="XQ602"/>
      <c r="XR602"/>
      <c r="XS602"/>
      <c r="XT602"/>
      <c r="XU602"/>
      <c r="XV602"/>
      <c r="XW602"/>
      <c r="XX602"/>
      <c r="XY602"/>
      <c r="XZ602"/>
      <c r="YA602"/>
      <c r="YB602"/>
      <c r="YC602"/>
      <c r="YD602"/>
      <c r="YE602"/>
      <c r="YF602"/>
      <c r="YG602"/>
      <c r="YH602"/>
      <c r="YI602"/>
      <c r="YJ602"/>
      <c r="YK602"/>
      <c r="YL602"/>
      <c r="YM602"/>
      <c r="YN602"/>
      <c r="YO602"/>
      <c r="YP602"/>
      <c r="YQ602"/>
      <c r="YR602"/>
      <c r="YS602"/>
      <c r="YT602"/>
      <c r="YU602"/>
      <c r="YV602"/>
      <c r="YW602"/>
      <c r="YX602"/>
      <c r="YY602"/>
      <c r="YZ602"/>
      <c r="ZA602"/>
      <c r="ZB602"/>
      <c r="ZC602"/>
      <c r="ZD602"/>
      <c r="ZE602"/>
      <c r="ZF602"/>
      <c r="ZG602"/>
      <c r="ZH602"/>
      <c r="ZI602"/>
      <c r="ZJ602"/>
      <c r="ZK602"/>
      <c r="ZL602"/>
      <c r="ZM602"/>
      <c r="ZN602"/>
      <c r="ZO602"/>
      <c r="ZP602"/>
      <c r="ZQ602"/>
      <c r="ZR602"/>
      <c r="ZS602"/>
      <c r="ZT602"/>
      <c r="ZU602"/>
      <c r="ZV602"/>
      <c r="ZW602"/>
      <c r="ZX602"/>
      <c r="ZY602"/>
      <c r="ZZ602" s="52"/>
      <c r="AAA602" s="192"/>
      <c r="AAD602" s="90"/>
      <c r="AAE602" s="519">
        <f t="shared" si="475"/>
        <v>1</v>
      </c>
      <c r="AAF602" s="190" t="s">
        <v>52</v>
      </c>
      <c r="AAG602" s="72"/>
      <c r="AAH602" s="72"/>
      <c r="AAI602" s="72"/>
      <c r="AAJ602" s="72"/>
      <c r="AAK602" s="254" t="str">
        <f>"* contacts "&amp;S.Staff.Lead&amp;" with questions, clarificatios and suggestions"</f>
        <v>* contacts AndreaRW with questions, clarificatios and suggestions</v>
      </c>
      <c r="AAL602" s="90"/>
    </row>
    <row r="603" spans="1:715" s="23" customFormat="1" ht="15" customHeight="1" outlineLevel="1">
      <c r="A603" s="171"/>
      <c r="B603" s="361" t="str">
        <f>AAK603</f>
        <v>MargaretMGR:</v>
      </c>
      <c r="C603" s="362"/>
      <c r="D603" s="362"/>
      <c r="E603" s="350"/>
      <c r="F603" s="350"/>
      <c r="G603" s="346"/>
      <c r="H603" s="346"/>
      <c r="I603" s="244"/>
      <c r="J603" s="194"/>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9"/>
      <c r="CD603" s="49"/>
      <c r="CE603" s="49"/>
      <c r="CF603" s="49"/>
      <c r="CG603" s="49"/>
      <c r="CH603" s="49"/>
      <c r="CI603" s="49"/>
      <c r="CJ603" s="49"/>
      <c r="CK603" s="49"/>
      <c r="CL603" s="49"/>
      <c r="CM603" s="49"/>
      <c r="CN603" s="49"/>
      <c r="CO603" s="49"/>
      <c r="CP603" s="49"/>
      <c r="CQ603" s="49"/>
      <c r="CR603" s="49"/>
      <c r="CS603" s="49"/>
      <c r="CT603" s="49"/>
      <c r="CU603" s="49"/>
      <c r="CV603" s="49"/>
      <c r="CW603" s="49"/>
      <c r="CX603" s="49"/>
      <c r="CY603" s="49"/>
      <c r="CZ603" s="49"/>
      <c r="DA603" s="49"/>
      <c r="DB603" s="49"/>
      <c r="DC603" s="49"/>
      <c r="DD603" s="49"/>
      <c r="DE603" s="49"/>
      <c r="DF603" s="49"/>
      <c r="DG603" s="49"/>
      <c r="DH603" s="49"/>
      <c r="DI603" s="49"/>
      <c r="DJ603" s="49"/>
      <c r="DK603" s="49"/>
      <c r="DL603" s="49"/>
      <c r="DM603" s="49"/>
      <c r="DN603" s="49"/>
      <c r="DO603" s="49"/>
      <c r="DP603" s="49"/>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c r="IW603"/>
      <c r="IX603"/>
      <c r="IY603"/>
      <c r="IZ603"/>
      <c r="JA603"/>
      <c r="JB603"/>
      <c r="JC603"/>
      <c r="JD603"/>
      <c r="JE603"/>
      <c r="JF603"/>
      <c r="JG603"/>
      <c r="JH603"/>
      <c r="JI603"/>
      <c r="JJ603"/>
      <c r="JK603"/>
      <c r="JL603"/>
      <c r="JM603"/>
      <c r="JN603"/>
      <c r="JO603"/>
      <c r="JP603"/>
      <c r="JQ603"/>
      <c r="JR603"/>
      <c r="JS603"/>
      <c r="JT603"/>
      <c r="JU603"/>
      <c r="JV603"/>
      <c r="JW603"/>
      <c r="JX603"/>
      <c r="JY603"/>
      <c r="JZ603"/>
      <c r="KA603"/>
      <c r="KB603"/>
      <c r="KC603"/>
      <c r="KD603"/>
      <c r="KE603"/>
      <c r="KF603"/>
      <c r="KG603"/>
      <c r="KH603"/>
      <c r="KI603"/>
      <c r="KJ603"/>
      <c r="KK603"/>
      <c r="KL603"/>
      <c r="KM603"/>
      <c r="KN603"/>
      <c r="KO603"/>
      <c r="KP603"/>
      <c r="KQ603"/>
      <c r="KR603"/>
      <c r="KS603"/>
      <c r="KT603"/>
      <c r="KU603"/>
      <c r="KV603"/>
      <c r="KW603"/>
      <c r="KX603"/>
      <c r="KY603"/>
      <c r="KZ603"/>
      <c r="LA603"/>
      <c r="LB603"/>
      <c r="LC603"/>
      <c r="LD603"/>
      <c r="LE603"/>
      <c r="LF603"/>
      <c r="LG603"/>
      <c r="LH603"/>
      <c r="LI603"/>
      <c r="LJ603"/>
      <c r="LK603"/>
      <c r="LL603"/>
      <c r="LM603"/>
      <c r="LN603"/>
      <c r="LO603"/>
      <c r="LP603"/>
      <c r="LQ603"/>
      <c r="LR603"/>
      <c r="LS603"/>
      <c r="LT603"/>
      <c r="LU603"/>
      <c r="LV603"/>
      <c r="LW603"/>
      <c r="LX603"/>
      <c r="LY603"/>
      <c r="LZ603"/>
      <c r="MA603"/>
      <c r="MB603"/>
      <c r="MC603"/>
      <c r="MD603"/>
      <c r="ME603"/>
      <c r="MF603"/>
      <c r="MG603"/>
      <c r="MH603"/>
      <c r="MI603"/>
      <c r="MJ603"/>
      <c r="MK603"/>
      <c r="ML603"/>
      <c r="MM603"/>
      <c r="MN603"/>
      <c r="MO603"/>
      <c r="MP603"/>
      <c r="MQ603"/>
      <c r="MR603"/>
      <c r="MS603"/>
      <c r="MT603"/>
      <c r="MU603"/>
      <c r="MV603"/>
      <c r="MW603"/>
      <c r="MX603"/>
      <c r="MY603"/>
      <c r="MZ603"/>
      <c r="NA603"/>
      <c r="NB603"/>
      <c r="NC603"/>
      <c r="ND603"/>
      <c r="NE603"/>
      <c r="NF603"/>
      <c r="NG603"/>
      <c r="NH603"/>
      <c r="NI603"/>
      <c r="NJ603"/>
      <c r="NK603"/>
      <c r="NL603"/>
      <c r="NM603"/>
      <c r="NN603"/>
      <c r="NO603"/>
      <c r="NP603"/>
      <c r="NQ603"/>
      <c r="NR603"/>
      <c r="NS603"/>
      <c r="NT603"/>
      <c r="NU603"/>
      <c r="NV603"/>
      <c r="NW603"/>
      <c r="NX603"/>
      <c r="NY603"/>
      <c r="NZ603"/>
      <c r="OA603"/>
      <c r="OB603"/>
      <c r="OC603"/>
      <c r="OD603"/>
      <c r="OE603"/>
      <c r="OF603"/>
      <c r="OG603"/>
      <c r="OH603"/>
      <c r="OI603"/>
      <c r="OJ603"/>
      <c r="OK603"/>
      <c r="OL603"/>
      <c r="OM603"/>
      <c r="ON603"/>
      <c r="OO603"/>
      <c r="OP603"/>
      <c r="OQ603"/>
      <c r="OR603"/>
      <c r="OS603"/>
      <c r="OT603"/>
      <c r="OU603"/>
      <c r="OV603"/>
      <c r="OW603"/>
      <c r="OX603"/>
      <c r="OY603"/>
      <c r="OZ603"/>
      <c r="PA603"/>
      <c r="PB603"/>
      <c r="PC603"/>
      <c r="PD603"/>
      <c r="PE603"/>
      <c r="PF603"/>
      <c r="PG603"/>
      <c r="PH603"/>
      <c r="PI603"/>
      <c r="PJ603"/>
      <c r="PK603"/>
      <c r="PL603"/>
      <c r="PM603"/>
      <c r="PN603"/>
      <c r="PO603"/>
      <c r="PP603"/>
      <c r="PQ603"/>
      <c r="PR603"/>
      <c r="PS603"/>
      <c r="PT603"/>
      <c r="PU603"/>
      <c r="PV603"/>
      <c r="PW603"/>
      <c r="PX603"/>
      <c r="PY603"/>
      <c r="PZ603"/>
      <c r="QA603"/>
      <c r="QB603"/>
      <c r="QC603"/>
      <c r="QD603"/>
      <c r="QE603"/>
      <c r="QF603"/>
      <c r="QG603"/>
      <c r="QH603"/>
      <c r="QI603"/>
      <c r="QJ603"/>
      <c r="QK603"/>
      <c r="QL603"/>
      <c r="QM603"/>
      <c r="QN603"/>
      <c r="QO603"/>
      <c r="QP603"/>
      <c r="QQ603"/>
      <c r="QR603"/>
      <c r="QS603"/>
      <c r="QT603"/>
      <c r="QU603"/>
      <c r="QV603"/>
      <c r="QW603"/>
      <c r="QX603"/>
      <c r="QY603"/>
      <c r="QZ603"/>
      <c r="RA603"/>
      <c r="RB603"/>
      <c r="RC603"/>
      <c r="RD603"/>
      <c r="RE603"/>
      <c r="RF603"/>
      <c r="RG603"/>
      <c r="RH603"/>
      <c r="RI603"/>
      <c r="RJ603"/>
      <c r="RK603"/>
      <c r="RL603"/>
      <c r="RM603"/>
      <c r="RN603"/>
      <c r="RO603"/>
      <c r="RP603"/>
      <c r="RQ603"/>
      <c r="RR603"/>
      <c r="RS603"/>
      <c r="RT603"/>
      <c r="RU603"/>
      <c r="RV603"/>
      <c r="RW603"/>
      <c r="RX603"/>
      <c r="RY603"/>
      <c r="RZ603"/>
      <c r="SA603"/>
      <c r="SB603"/>
      <c r="SC603"/>
      <c r="SD603"/>
      <c r="SE603"/>
      <c r="SF603"/>
      <c r="SG603"/>
      <c r="SH603"/>
      <c r="SI603"/>
      <c r="SJ603"/>
      <c r="SK603"/>
      <c r="SL603"/>
      <c r="SM603"/>
      <c r="SN603"/>
      <c r="SO603"/>
      <c r="SP603"/>
      <c r="SQ603"/>
      <c r="SR603"/>
      <c r="SS603"/>
      <c r="ST603"/>
      <c r="SU603"/>
      <c r="SV603"/>
      <c r="SW603"/>
      <c r="SX603"/>
      <c r="SY603"/>
      <c r="SZ603"/>
      <c r="TA603"/>
      <c r="TB603"/>
      <c r="TC603"/>
      <c r="TD603"/>
      <c r="TE603"/>
      <c r="TF603"/>
      <c r="TG603"/>
      <c r="TH603"/>
      <c r="TI603"/>
      <c r="TJ603"/>
      <c r="TK603"/>
      <c r="TL603"/>
      <c r="TM603"/>
      <c r="TN603"/>
      <c r="TO603"/>
      <c r="TP603"/>
      <c r="TQ603"/>
      <c r="TR603"/>
      <c r="TS603"/>
      <c r="TT603"/>
      <c r="TU603"/>
      <c r="TV603"/>
      <c r="TW603"/>
      <c r="TX603"/>
      <c r="TY603"/>
      <c r="TZ603"/>
      <c r="UA603"/>
      <c r="UB603"/>
      <c r="UC603"/>
      <c r="UD603"/>
      <c r="UE603"/>
      <c r="UF603"/>
      <c r="UG603"/>
      <c r="UH603"/>
      <c r="UI603"/>
      <c r="UJ603"/>
      <c r="UK603"/>
      <c r="UL603"/>
      <c r="UM603"/>
      <c r="UN603"/>
      <c r="UO603"/>
      <c r="UP603"/>
      <c r="UQ603"/>
      <c r="UR603"/>
      <c r="US603"/>
      <c r="UT603"/>
      <c r="UU603"/>
      <c r="UV603"/>
      <c r="UW603"/>
      <c r="UX603"/>
      <c r="UY603"/>
      <c r="UZ603"/>
      <c r="VA603"/>
      <c r="VB603"/>
      <c r="VC603"/>
      <c r="VD603"/>
      <c r="VE603"/>
      <c r="VF603"/>
      <c r="VG603"/>
      <c r="VH603"/>
      <c r="VI603"/>
      <c r="VJ603"/>
      <c r="VK603"/>
      <c r="VL603"/>
      <c r="VM603"/>
      <c r="VN603"/>
      <c r="VO603"/>
      <c r="VP603"/>
      <c r="VQ603"/>
      <c r="VR603"/>
      <c r="VS603"/>
      <c r="VT603"/>
      <c r="VU603"/>
      <c r="VV603"/>
      <c r="VW603"/>
      <c r="VX603"/>
      <c r="VY603"/>
      <c r="VZ603"/>
      <c r="WA603"/>
      <c r="WB603"/>
      <c r="WC603"/>
      <c r="WD603"/>
      <c r="WE603"/>
      <c r="WF603"/>
      <c r="WG603"/>
      <c r="WH603"/>
      <c r="WI603"/>
      <c r="WJ603"/>
      <c r="WK603"/>
      <c r="WL603"/>
      <c r="WM603"/>
      <c r="WN603"/>
      <c r="WO603"/>
      <c r="WP603"/>
      <c r="WQ603"/>
      <c r="WR603"/>
      <c r="WS603"/>
      <c r="WT603"/>
      <c r="WU603"/>
      <c r="WV603"/>
      <c r="WW603"/>
      <c r="WX603"/>
      <c r="WY603"/>
      <c r="WZ603"/>
      <c r="XA603"/>
      <c r="XB603"/>
      <c r="XC603"/>
      <c r="XD603"/>
      <c r="XE603"/>
      <c r="XF603"/>
      <c r="XG603"/>
      <c r="XH603"/>
      <c r="XI603"/>
      <c r="XJ603"/>
      <c r="XK603"/>
      <c r="XL603"/>
      <c r="XM603"/>
      <c r="XN603"/>
      <c r="XO603"/>
      <c r="XP603"/>
      <c r="XQ603"/>
      <c r="XR603"/>
      <c r="XS603"/>
      <c r="XT603"/>
      <c r="XU603"/>
      <c r="XV603"/>
      <c r="XW603"/>
      <c r="XX603"/>
      <c r="XY603"/>
      <c r="XZ603"/>
      <c r="YA603"/>
      <c r="YB603"/>
      <c r="YC603"/>
      <c r="YD603"/>
      <c r="YE603"/>
      <c r="YF603"/>
      <c r="YG603"/>
      <c r="YH603"/>
      <c r="YI603"/>
      <c r="YJ603"/>
      <c r="YK603"/>
      <c r="YL603"/>
      <c r="YM603"/>
      <c r="YN603"/>
      <c r="YO603"/>
      <c r="YP603"/>
      <c r="YQ603"/>
      <c r="YR603"/>
      <c r="YS603"/>
      <c r="YT603"/>
      <c r="YU603"/>
      <c r="YV603"/>
      <c r="YW603"/>
      <c r="YX603"/>
      <c r="YY603"/>
      <c r="YZ603"/>
      <c r="ZA603"/>
      <c r="ZB603"/>
      <c r="ZC603"/>
      <c r="ZD603"/>
      <c r="ZE603"/>
      <c r="ZF603"/>
      <c r="ZG603"/>
      <c r="ZH603"/>
      <c r="ZI603"/>
      <c r="ZJ603"/>
      <c r="ZK603"/>
      <c r="ZL603"/>
      <c r="ZM603"/>
      <c r="ZN603"/>
      <c r="ZO603"/>
      <c r="ZP603"/>
      <c r="ZQ603"/>
      <c r="ZR603"/>
      <c r="ZS603"/>
      <c r="ZT603"/>
      <c r="ZU603"/>
      <c r="ZV603"/>
      <c r="ZW603"/>
      <c r="ZX603"/>
      <c r="ZY603"/>
      <c r="ZZ603" s="52"/>
      <c r="AAA603" s="192"/>
      <c r="AAD603" s="90"/>
      <c r="AAE603" s="519">
        <f t="shared" si="475"/>
        <v>1</v>
      </c>
      <c r="AAF603" s="190" t="s">
        <v>52</v>
      </c>
      <c r="AAG603" s="71"/>
      <c r="AAH603" s="71"/>
      <c r="AAI603" s="71"/>
      <c r="AAJ603" s="56"/>
      <c r="AAK603" s="254" t="str">
        <f>S.Staff.Mgr&amp;":"</f>
        <v>MargaretMGR:</v>
      </c>
      <c r="AAL603" s="90"/>
    </row>
    <row r="604" spans="1:715" s="23" customFormat="1" ht="15" customHeight="1" outlineLevel="1">
      <c r="A604" s="171"/>
      <c r="B604" s="363" t="str">
        <f>AAK604</f>
        <v>* shares comments/responses to comments with Andy and approves</v>
      </c>
      <c r="C604" s="362"/>
      <c r="D604" s="380"/>
      <c r="E604" s="342">
        <f>NETWORKDAYS(G604,H604,S.DDL_DEQClosed)</f>
        <v>1</v>
      </c>
      <c r="F604" s="457">
        <f t="shared" ref="F604" ca="1" si="489">IF(YEAR(H604)&gt;2000,NETWORKDAYS(TODAY(),H604,S.DDL_DEQClosed),0)</f>
        <v>52</v>
      </c>
      <c r="G604" s="408">
        <f t="shared" ref="G604" si="490">AAG604</f>
        <v>41652</v>
      </c>
      <c r="H604" s="408">
        <f t="shared" ref="H604" si="491">AAH604</f>
        <v>41652</v>
      </c>
      <c r="I604" s="244"/>
      <c r="J604" s="194"/>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9"/>
      <c r="BN604" s="49"/>
      <c r="BO604" s="49"/>
      <c r="BP604" s="49"/>
      <c r="BQ604" s="49"/>
      <c r="BR604" s="49"/>
      <c r="BS604" s="49"/>
      <c r="BT604" s="49"/>
      <c r="BU604" s="49"/>
      <c r="BV604" s="49"/>
      <c r="BW604" s="49"/>
      <c r="BX604" s="49"/>
      <c r="BY604" s="49"/>
      <c r="BZ604" s="49"/>
      <c r="CA604" s="49"/>
      <c r="CB604" s="49"/>
      <c r="CC604" s="49"/>
      <c r="CD604" s="49"/>
      <c r="CE604" s="49"/>
      <c r="CF604" s="49"/>
      <c r="CG604" s="49"/>
      <c r="CH604" s="49"/>
      <c r="CI604" s="49"/>
      <c r="CJ604" s="49"/>
      <c r="CK604" s="49"/>
      <c r="CL604" s="49"/>
      <c r="CM604" s="49"/>
      <c r="CN604" s="49"/>
      <c r="CO604" s="49"/>
      <c r="CP604" s="49"/>
      <c r="CQ604" s="49"/>
      <c r="CR604" s="49"/>
      <c r="CS604" s="49"/>
      <c r="CT604" s="49"/>
      <c r="CU604" s="49"/>
      <c r="CV604" s="49"/>
      <c r="CW604" s="49"/>
      <c r="CX604" s="49"/>
      <c r="CY604" s="49"/>
      <c r="CZ604" s="49"/>
      <c r="DA604" s="49"/>
      <c r="DB604" s="49"/>
      <c r="DC604" s="49"/>
      <c r="DD604" s="49"/>
      <c r="DE604" s="49"/>
      <c r="DF604" s="49"/>
      <c r="DG604" s="49"/>
      <c r="DH604" s="49"/>
      <c r="DI604" s="49"/>
      <c r="DJ604" s="49"/>
      <c r="DK604" s="49"/>
      <c r="DL604" s="49"/>
      <c r="DM604" s="49"/>
      <c r="DN604" s="49"/>
      <c r="DO604" s="49"/>
      <c r="DP604" s="49"/>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c r="IW604"/>
      <c r="IX604"/>
      <c r="IY604"/>
      <c r="IZ604"/>
      <c r="JA604"/>
      <c r="JB604"/>
      <c r="JC604"/>
      <c r="JD604"/>
      <c r="JE604"/>
      <c r="JF604"/>
      <c r="JG604"/>
      <c r="JH604"/>
      <c r="JI604"/>
      <c r="JJ604"/>
      <c r="JK604"/>
      <c r="JL604"/>
      <c r="JM604"/>
      <c r="JN604"/>
      <c r="JO604"/>
      <c r="JP604"/>
      <c r="JQ604"/>
      <c r="JR604"/>
      <c r="JS604"/>
      <c r="JT604"/>
      <c r="JU604"/>
      <c r="JV604"/>
      <c r="JW604"/>
      <c r="JX604"/>
      <c r="JY604"/>
      <c r="JZ604"/>
      <c r="KA604"/>
      <c r="KB604"/>
      <c r="KC604"/>
      <c r="KD604"/>
      <c r="KE604"/>
      <c r="KF604"/>
      <c r="KG604"/>
      <c r="KH604"/>
      <c r="KI604"/>
      <c r="KJ604"/>
      <c r="KK604"/>
      <c r="KL604"/>
      <c r="KM604"/>
      <c r="KN604"/>
      <c r="KO604"/>
      <c r="KP604"/>
      <c r="KQ604"/>
      <c r="KR604"/>
      <c r="KS604"/>
      <c r="KT604"/>
      <c r="KU604"/>
      <c r="KV604"/>
      <c r="KW604"/>
      <c r="KX604"/>
      <c r="KY604"/>
      <c r="KZ604"/>
      <c r="LA604"/>
      <c r="LB604"/>
      <c r="LC604"/>
      <c r="LD604"/>
      <c r="LE604"/>
      <c r="LF604"/>
      <c r="LG604"/>
      <c r="LH604"/>
      <c r="LI604"/>
      <c r="LJ604"/>
      <c r="LK604"/>
      <c r="LL604"/>
      <c r="LM604"/>
      <c r="LN604"/>
      <c r="LO604"/>
      <c r="LP604"/>
      <c r="LQ604"/>
      <c r="LR604"/>
      <c r="LS604"/>
      <c r="LT604"/>
      <c r="LU604"/>
      <c r="LV604"/>
      <c r="LW604"/>
      <c r="LX604"/>
      <c r="LY604"/>
      <c r="LZ604"/>
      <c r="MA604"/>
      <c r="MB604"/>
      <c r="MC604"/>
      <c r="MD604"/>
      <c r="ME604"/>
      <c r="MF604"/>
      <c r="MG604"/>
      <c r="MH604"/>
      <c r="MI604"/>
      <c r="MJ604"/>
      <c r="MK604"/>
      <c r="ML604"/>
      <c r="MM604"/>
      <c r="MN604"/>
      <c r="MO604"/>
      <c r="MP604"/>
      <c r="MQ604"/>
      <c r="MR604"/>
      <c r="MS604"/>
      <c r="MT604"/>
      <c r="MU604"/>
      <c r="MV604"/>
      <c r="MW604"/>
      <c r="MX604"/>
      <c r="MY604"/>
      <c r="MZ604"/>
      <c r="NA604"/>
      <c r="NB604"/>
      <c r="NC604"/>
      <c r="ND604"/>
      <c r="NE604"/>
      <c r="NF604"/>
      <c r="NG604"/>
      <c r="NH604"/>
      <c r="NI604"/>
      <c r="NJ604"/>
      <c r="NK604"/>
      <c r="NL604"/>
      <c r="NM604"/>
      <c r="NN604"/>
      <c r="NO604"/>
      <c r="NP604"/>
      <c r="NQ604"/>
      <c r="NR604"/>
      <c r="NS604"/>
      <c r="NT604"/>
      <c r="NU604"/>
      <c r="NV604"/>
      <c r="NW604"/>
      <c r="NX604"/>
      <c r="NY604"/>
      <c r="NZ604"/>
      <c r="OA604"/>
      <c r="OB604"/>
      <c r="OC604"/>
      <c r="OD604"/>
      <c r="OE604"/>
      <c r="OF604"/>
      <c r="OG604"/>
      <c r="OH604"/>
      <c r="OI604"/>
      <c r="OJ604"/>
      <c r="OK604"/>
      <c r="OL604"/>
      <c r="OM604"/>
      <c r="ON604"/>
      <c r="OO604"/>
      <c r="OP604"/>
      <c r="OQ604"/>
      <c r="OR604"/>
      <c r="OS604"/>
      <c r="OT604"/>
      <c r="OU604"/>
      <c r="OV604"/>
      <c r="OW604"/>
      <c r="OX604"/>
      <c r="OY604"/>
      <c r="OZ604"/>
      <c r="PA604"/>
      <c r="PB604"/>
      <c r="PC604"/>
      <c r="PD604"/>
      <c r="PE604"/>
      <c r="PF604"/>
      <c r="PG604"/>
      <c r="PH604"/>
      <c r="PI604"/>
      <c r="PJ604"/>
      <c r="PK604"/>
      <c r="PL604"/>
      <c r="PM604"/>
      <c r="PN604"/>
      <c r="PO604"/>
      <c r="PP604"/>
      <c r="PQ604"/>
      <c r="PR604"/>
      <c r="PS604"/>
      <c r="PT604"/>
      <c r="PU604"/>
      <c r="PV604"/>
      <c r="PW604"/>
      <c r="PX604"/>
      <c r="PY604"/>
      <c r="PZ604"/>
      <c r="QA604"/>
      <c r="QB604"/>
      <c r="QC604"/>
      <c r="QD604"/>
      <c r="QE604"/>
      <c r="QF604"/>
      <c r="QG604"/>
      <c r="QH604"/>
      <c r="QI604"/>
      <c r="QJ604"/>
      <c r="QK604"/>
      <c r="QL604"/>
      <c r="QM604"/>
      <c r="QN604"/>
      <c r="QO604"/>
      <c r="QP604"/>
      <c r="QQ604"/>
      <c r="QR604"/>
      <c r="QS604"/>
      <c r="QT604"/>
      <c r="QU604"/>
      <c r="QV604"/>
      <c r="QW604"/>
      <c r="QX604"/>
      <c r="QY604"/>
      <c r="QZ604"/>
      <c r="RA604"/>
      <c r="RB604"/>
      <c r="RC604"/>
      <c r="RD604"/>
      <c r="RE604"/>
      <c r="RF604"/>
      <c r="RG604"/>
      <c r="RH604"/>
      <c r="RI604"/>
      <c r="RJ604"/>
      <c r="RK604"/>
      <c r="RL604"/>
      <c r="RM604"/>
      <c r="RN604"/>
      <c r="RO604"/>
      <c r="RP604"/>
      <c r="RQ604"/>
      <c r="RR604"/>
      <c r="RS604"/>
      <c r="RT604"/>
      <c r="RU604"/>
      <c r="RV604"/>
      <c r="RW604"/>
      <c r="RX604"/>
      <c r="RY604"/>
      <c r="RZ604"/>
      <c r="SA604"/>
      <c r="SB604"/>
      <c r="SC604"/>
      <c r="SD604"/>
      <c r="SE604"/>
      <c r="SF604"/>
      <c r="SG604"/>
      <c r="SH604"/>
      <c r="SI604"/>
      <c r="SJ604"/>
      <c r="SK604"/>
      <c r="SL604"/>
      <c r="SM604"/>
      <c r="SN604"/>
      <c r="SO604"/>
      <c r="SP604"/>
      <c r="SQ604"/>
      <c r="SR604"/>
      <c r="SS604"/>
      <c r="ST604"/>
      <c r="SU604"/>
      <c r="SV604"/>
      <c r="SW604"/>
      <c r="SX604"/>
      <c r="SY604"/>
      <c r="SZ604"/>
      <c r="TA604"/>
      <c r="TB604"/>
      <c r="TC604"/>
      <c r="TD604"/>
      <c r="TE604"/>
      <c r="TF604"/>
      <c r="TG604"/>
      <c r="TH604"/>
      <c r="TI604"/>
      <c r="TJ604"/>
      <c r="TK604"/>
      <c r="TL604"/>
      <c r="TM604"/>
      <c r="TN604"/>
      <c r="TO604"/>
      <c r="TP604"/>
      <c r="TQ604"/>
      <c r="TR604"/>
      <c r="TS604"/>
      <c r="TT604"/>
      <c r="TU604"/>
      <c r="TV604"/>
      <c r="TW604"/>
      <c r="TX604"/>
      <c r="TY604"/>
      <c r="TZ604"/>
      <c r="UA604"/>
      <c r="UB604"/>
      <c r="UC604"/>
      <c r="UD604"/>
      <c r="UE604"/>
      <c r="UF604"/>
      <c r="UG604"/>
      <c r="UH604"/>
      <c r="UI604"/>
      <c r="UJ604"/>
      <c r="UK604"/>
      <c r="UL604"/>
      <c r="UM604"/>
      <c r="UN604"/>
      <c r="UO604"/>
      <c r="UP604"/>
      <c r="UQ604"/>
      <c r="UR604"/>
      <c r="US604"/>
      <c r="UT604"/>
      <c r="UU604"/>
      <c r="UV604"/>
      <c r="UW604"/>
      <c r="UX604"/>
      <c r="UY604"/>
      <c r="UZ604"/>
      <c r="VA604"/>
      <c r="VB604"/>
      <c r="VC604"/>
      <c r="VD604"/>
      <c r="VE604"/>
      <c r="VF604"/>
      <c r="VG604"/>
      <c r="VH604"/>
      <c r="VI604"/>
      <c r="VJ604"/>
      <c r="VK604"/>
      <c r="VL604"/>
      <c r="VM604"/>
      <c r="VN604"/>
      <c r="VO604"/>
      <c r="VP604"/>
      <c r="VQ604"/>
      <c r="VR604"/>
      <c r="VS604"/>
      <c r="VT604"/>
      <c r="VU604"/>
      <c r="VV604"/>
      <c r="VW604"/>
      <c r="VX604"/>
      <c r="VY604"/>
      <c r="VZ604"/>
      <c r="WA604"/>
      <c r="WB604"/>
      <c r="WC604"/>
      <c r="WD604"/>
      <c r="WE604"/>
      <c r="WF604"/>
      <c r="WG604"/>
      <c r="WH604"/>
      <c r="WI604"/>
      <c r="WJ604"/>
      <c r="WK604"/>
      <c r="WL604"/>
      <c r="WM604"/>
      <c r="WN604"/>
      <c r="WO604"/>
      <c r="WP604"/>
      <c r="WQ604"/>
      <c r="WR604"/>
      <c r="WS604"/>
      <c r="WT604"/>
      <c r="WU604"/>
      <c r="WV604"/>
      <c r="WW604"/>
      <c r="WX604"/>
      <c r="WY604"/>
      <c r="WZ604"/>
      <c r="XA604"/>
      <c r="XB604"/>
      <c r="XC604"/>
      <c r="XD604"/>
      <c r="XE604"/>
      <c r="XF604"/>
      <c r="XG604"/>
      <c r="XH604"/>
      <c r="XI604"/>
      <c r="XJ604"/>
      <c r="XK604"/>
      <c r="XL604"/>
      <c r="XM604"/>
      <c r="XN604"/>
      <c r="XO604"/>
      <c r="XP604"/>
      <c r="XQ604"/>
      <c r="XR604"/>
      <c r="XS604"/>
      <c r="XT604"/>
      <c r="XU604"/>
      <c r="XV604"/>
      <c r="XW604"/>
      <c r="XX604"/>
      <c r="XY604"/>
      <c r="XZ604"/>
      <c r="YA604"/>
      <c r="YB604"/>
      <c r="YC604"/>
      <c r="YD604"/>
      <c r="YE604"/>
      <c r="YF604"/>
      <c r="YG604"/>
      <c r="YH604"/>
      <c r="YI604"/>
      <c r="YJ604"/>
      <c r="YK604"/>
      <c r="YL604"/>
      <c r="YM604"/>
      <c r="YN604"/>
      <c r="YO604"/>
      <c r="YP604"/>
      <c r="YQ604"/>
      <c r="YR604"/>
      <c r="YS604"/>
      <c r="YT604"/>
      <c r="YU604"/>
      <c r="YV604"/>
      <c r="YW604"/>
      <c r="YX604"/>
      <c r="YY604"/>
      <c r="YZ604"/>
      <c r="ZA604"/>
      <c r="ZB604"/>
      <c r="ZC604"/>
      <c r="ZD604"/>
      <c r="ZE604"/>
      <c r="ZF604"/>
      <c r="ZG604"/>
      <c r="ZH604"/>
      <c r="ZI604"/>
      <c r="ZJ604"/>
      <c r="ZK604"/>
      <c r="ZL604"/>
      <c r="ZM604"/>
      <c r="ZN604"/>
      <c r="ZO604"/>
      <c r="ZP604"/>
      <c r="ZQ604"/>
      <c r="ZR604"/>
      <c r="ZS604"/>
      <c r="ZT604"/>
      <c r="ZU604"/>
      <c r="ZV604"/>
      <c r="ZW604"/>
      <c r="ZX604"/>
      <c r="ZY604"/>
      <c r="ZZ604" s="52"/>
      <c r="AAA604" s="192"/>
      <c r="AAD604" s="90"/>
      <c r="AAE604" s="519">
        <f>IF(S.Notice.Involved="Y",1,0)</f>
        <v>1</v>
      </c>
      <c r="AAF604" s="90"/>
      <c r="AAG604" s="73">
        <f>H596</f>
        <v>41652</v>
      </c>
      <c r="AAH604" s="73">
        <f t="shared" ref="AAH604" si="492">G604</f>
        <v>41652</v>
      </c>
      <c r="AAI604" s="71"/>
      <c r="AAJ604" s="56"/>
      <c r="AAK604" s="254" t="str">
        <f>"* shares comments/responses to comments with "&amp;S.Staff.DA&amp;" and approves"</f>
        <v>* shares comments/responses to comments with Andy and approves</v>
      </c>
      <c r="AAL604" s="90"/>
    </row>
    <row r="605" spans="1:715" ht="15" customHeight="1" outlineLevel="1" thickBot="1">
      <c r="A605" s="171"/>
      <c r="B605" s="734" t="s">
        <v>448</v>
      </c>
      <c r="C605"/>
      <c r="D605" s="380"/>
      <c r="E605" s="342">
        <f>NETWORKDAYS(G605,H605,S.DDL_DEQClosed)</f>
        <v>1</v>
      </c>
      <c r="F605" s="457">
        <f t="shared" ca="1" si="477"/>
        <v>55</v>
      </c>
      <c r="G605" s="408">
        <f t="shared" si="483"/>
        <v>41655</v>
      </c>
      <c r="H605" s="408">
        <f t="shared" si="484"/>
        <v>41655</v>
      </c>
      <c r="I605" s="244"/>
      <c r="J605" s="194"/>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c r="BM605" s="49"/>
      <c r="BN605" s="49"/>
      <c r="BO605" s="49"/>
      <c r="BP605" s="49"/>
      <c r="BQ605" s="49"/>
      <c r="BR605" s="49"/>
      <c r="BS605" s="49"/>
      <c r="BT605" s="49"/>
      <c r="BU605" s="49"/>
      <c r="BV605" s="49"/>
      <c r="BW605" s="49"/>
      <c r="BX605" s="49"/>
      <c r="BY605" s="49"/>
      <c r="BZ605" s="49"/>
      <c r="CA605" s="49"/>
      <c r="CB605" s="49"/>
      <c r="CC605" s="49"/>
      <c r="CD605" s="49"/>
      <c r="CE605" s="49"/>
      <c r="CF605" s="49"/>
      <c r="CG605" s="49"/>
      <c r="CH605" s="49"/>
      <c r="CI605" s="49"/>
      <c r="CJ605" s="49"/>
      <c r="CK605" s="49"/>
      <c r="CL605" s="49"/>
      <c r="CM605" s="49"/>
      <c r="CN605" s="49"/>
      <c r="CO605" s="49"/>
      <c r="CP605" s="49"/>
      <c r="CQ605" s="49"/>
      <c r="CR605" s="49"/>
      <c r="CS605" s="49"/>
      <c r="CT605" s="49"/>
      <c r="CU605" s="49"/>
      <c r="CV605" s="49"/>
      <c r="CW605" s="49"/>
      <c r="CX605" s="49"/>
      <c r="CY605" s="49"/>
      <c r="CZ605" s="49"/>
      <c r="DA605" s="49"/>
      <c r="DB605" s="49"/>
      <c r="DC605" s="49"/>
      <c r="DD605" s="49"/>
      <c r="DE605" s="49"/>
      <c r="DF605" s="49"/>
      <c r="DG605" s="49"/>
      <c r="DH605" s="49"/>
      <c r="DI605" s="49"/>
      <c r="DJ605" s="49"/>
      <c r="DK605" s="49"/>
      <c r="DL605" s="49"/>
      <c r="DM605" s="49"/>
      <c r="DN605" s="49"/>
      <c r="DO605" s="49"/>
      <c r="DP605" s="49"/>
      <c r="AAA605" s="192"/>
      <c r="AAD605" s="90"/>
      <c r="AAE605" s="519">
        <f>IF(S.Notice.Involved="Y",1,0)</f>
        <v>1</v>
      </c>
      <c r="AAF605" s="90"/>
      <c r="AAG605" s="73">
        <f>H597</f>
        <v>41655</v>
      </c>
      <c r="AAH605" s="73">
        <f t="shared" ref="AAH605:AAH608" si="493">G605</f>
        <v>41655</v>
      </c>
      <c r="AAI605" s="72"/>
      <c r="AAJ605" s="56"/>
      <c r="AAK605" s="56"/>
      <c r="AAL605" s="90"/>
      <c r="AAM605"/>
    </row>
    <row r="606" spans="1:715" ht="15" customHeight="1" outlineLevel="1" thickBot="1">
      <c r="A606" s="171"/>
      <c r="B606" s="731" t="s">
        <v>449</v>
      </c>
      <c r="C606" s="611" t="s">
        <v>17</v>
      </c>
      <c r="D606" s="380"/>
      <c r="E606" s="342">
        <f>NETWORKDAYS(G606,H606,S.DDL_DEQClosed)</f>
        <v>1</v>
      </c>
      <c r="F606" s="457">
        <f t="shared" ca="1" si="477"/>
        <v>55</v>
      </c>
      <c r="G606" s="408">
        <f t="shared" si="483"/>
        <v>41655</v>
      </c>
      <c r="H606" s="408">
        <f t="shared" si="484"/>
        <v>41655</v>
      </c>
      <c r="I606" s="244"/>
      <c r="J606" s="194"/>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c r="BM606" s="49"/>
      <c r="BN606" s="49"/>
      <c r="BO606" s="49"/>
      <c r="BP606" s="49"/>
      <c r="BQ606" s="49"/>
      <c r="BR606" s="49"/>
      <c r="BS606" s="49"/>
      <c r="BT606" s="49"/>
      <c r="BU606" s="49"/>
      <c r="BV606" s="49"/>
      <c r="BW606" s="49"/>
      <c r="BX606" s="49"/>
      <c r="BY606" s="49"/>
      <c r="BZ606" s="49"/>
      <c r="CA606" s="49"/>
      <c r="CB606" s="49"/>
      <c r="CC606" s="49"/>
      <c r="CD606" s="49"/>
      <c r="CE606" s="49"/>
      <c r="CF606" s="49"/>
      <c r="CG606" s="49"/>
      <c r="CH606" s="49"/>
      <c r="CI606" s="49"/>
      <c r="CJ606" s="49"/>
      <c r="CK606" s="49"/>
      <c r="CL606" s="49"/>
      <c r="CM606" s="49"/>
      <c r="CN606" s="49"/>
      <c r="CO606" s="49"/>
      <c r="CP606" s="49"/>
      <c r="CQ606" s="49"/>
      <c r="CR606" s="49"/>
      <c r="CS606" s="49"/>
      <c r="CT606" s="49"/>
      <c r="CU606" s="49"/>
      <c r="CV606" s="49"/>
      <c r="CW606" s="49"/>
      <c r="CX606" s="49"/>
      <c r="CY606" s="49"/>
      <c r="CZ606" s="49"/>
      <c r="DA606" s="49"/>
      <c r="DB606" s="49"/>
      <c r="DC606" s="49"/>
      <c r="DD606" s="49"/>
      <c r="DE606" s="49"/>
      <c r="DF606" s="49"/>
      <c r="DG606" s="49"/>
      <c r="DH606" s="49"/>
      <c r="DI606" s="49"/>
      <c r="DJ606" s="49"/>
      <c r="DK606" s="49"/>
      <c r="DL606" s="49"/>
      <c r="DM606" s="49"/>
      <c r="DN606" s="49"/>
      <c r="DO606" s="49"/>
      <c r="DP606" s="49"/>
      <c r="AAA606" s="192"/>
      <c r="AAD606" s="90"/>
      <c r="AAE606" s="519">
        <f>IF(AND(S.Comment.ApproveResponseLoop2="Y",S.Notice.Involved="Y"),1,)</f>
        <v>1</v>
      </c>
      <c r="AAF606" s="90"/>
      <c r="AAG606" s="73">
        <f>IF(S.Comment.ApproveResponseLoop2="N",,H605)</f>
        <v>41655</v>
      </c>
      <c r="AAH606" s="73">
        <f t="shared" si="493"/>
        <v>41655</v>
      </c>
      <c r="AAI606" s="72"/>
      <c r="AAJ606" s="56"/>
      <c r="AAK606" s="56"/>
      <c r="AAL606" s="90"/>
      <c r="AAM606"/>
    </row>
    <row r="607" spans="1:715" ht="15" customHeight="1" outlineLevel="1" thickBot="1">
      <c r="A607" s="171"/>
      <c r="B607" s="732" t="s">
        <v>450</v>
      </c>
      <c r="C607" s="611" t="s">
        <v>17</v>
      </c>
      <c r="D607" s="380"/>
      <c r="E607" s="342">
        <f>NETWORKDAYS(G607,H607,S.DDL_DEQClosed)</f>
        <v>1</v>
      </c>
      <c r="F607" s="457">
        <f t="shared" ca="1" si="477"/>
        <v>55</v>
      </c>
      <c r="G607" s="408">
        <f t="shared" si="483"/>
        <v>41655</v>
      </c>
      <c r="H607" s="408">
        <f t="shared" si="484"/>
        <v>41655</v>
      </c>
      <c r="I607" s="244"/>
      <c r="J607" s="194"/>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c r="BM607" s="49"/>
      <c r="BN607" s="49"/>
      <c r="BO607" s="49"/>
      <c r="BP607" s="49"/>
      <c r="BQ607" s="49"/>
      <c r="BR607" s="49"/>
      <c r="BS607" s="49"/>
      <c r="BT607" s="49"/>
      <c r="BU607" s="49"/>
      <c r="BV607" s="49"/>
      <c r="BW607" s="49"/>
      <c r="BX607" s="49"/>
      <c r="BY607" s="49"/>
      <c r="BZ607" s="49"/>
      <c r="CA607" s="49"/>
      <c r="CB607" s="49"/>
      <c r="CC607" s="49"/>
      <c r="CD607" s="49"/>
      <c r="CE607" s="49"/>
      <c r="CF607" s="49"/>
      <c r="CG607" s="49"/>
      <c r="CH607" s="49"/>
      <c r="CI607" s="49"/>
      <c r="CJ607" s="49"/>
      <c r="CK607" s="49"/>
      <c r="CL607" s="49"/>
      <c r="CM607" s="49"/>
      <c r="CN607" s="49"/>
      <c r="CO607" s="49"/>
      <c r="CP607" s="49"/>
      <c r="CQ607" s="49"/>
      <c r="CR607" s="49"/>
      <c r="CS607" s="49"/>
      <c r="CT607" s="49"/>
      <c r="CU607" s="49"/>
      <c r="CV607" s="49"/>
      <c r="CW607" s="49"/>
      <c r="CX607" s="49"/>
      <c r="CY607" s="49"/>
      <c r="CZ607" s="49"/>
      <c r="DA607" s="49"/>
      <c r="DB607" s="49"/>
      <c r="DC607" s="49"/>
      <c r="DD607" s="49"/>
      <c r="DE607" s="49"/>
      <c r="DF607" s="49"/>
      <c r="DG607" s="49"/>
      <c r="DH607" s="49"/>
      <c r="DI607" s="49"/>
      <c r="DJ607" s="49"/>
      <c r="DK607" s="49"/>
      <c r="DL607" s="49"/>
      <c r="DM607" s="49"/>
      <c r="DN607" s="49"/>
      <c r="DO607" s="49"/>
      <c r="DP607" s="49"/>
      <c r="AAA607" s="192"/>
      <c r="AAD607" s="90"/>
      <c r="AAE607" s="519">
        <f>IF(AND(S.Comment.ApproveResponseLoop3="Y",S.Notice.Involved="Y"),1,)</f>
        <v>1</v>
      </c>
      <c r="AAF607" s="90"/>
      <c r="AAG607" s="73">
        <f>IF(S.Comment.ApproveResponseLoop3="N",,H606)</f>
        <v>41655</v>
      </c>
      <c r="AAH607" s="73">
        <f t="shared" si="493"/>
        <v>41655</v>
      </c>
      <c r="AAI607" s="72"/>
      <c r="AAJ607" s="56"/>
      <c r="AAK607" s="56"/>
      <c r="AAL607" s="90"/>
      <c r="AAM607"/>
    </row>
    <row r="608" spans="1:715" ht="15" customHeight="1" outlineLevel="1" thickBot="1">
      <c r="A608" s="171"/>
      <c r="B608" s="733" t="s">
        <v>451</v>
      </c>
      <c r="C608" s="611" t="s">
        <v>17</v>
      </c>
      <c r="D608" s="380"/>
      <c r="E608" s="342">
        <f>NETWORKDAYS(G608,H608,S.DDL_DEQClosed)</f>
        <v>1</v>
      </c>
      <c r="F608" s="457">
        <f t="shared" ca="1" si="477"/>
        <v>55</v>
      </c>
      <c r="G608" s="408">
        <f t="shared" si="483"/>
        <v>41655</v>
      </c>
      <c r="H608" s="408">
        <f t="shared" si="484"/>
        <v>41655</v>
      </c>
      <c r="I608" s="244"/>
      <c r="J608" s="194"/>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c r="BM608" s="49"/>
      <c r="BN608" s="49"/>
      <c r="BO608" s="49"/>
      <c r="BP608" s="49"/>
      <c r="BQ608" s="49"/>
      <c r="BR608" s="49"/>
      <c r="BS608" s="49"/>
      <c r="BT608" s="49"/>
      <c r="BU608" s="49"/>
      <c r="BV608" s="49"/>
      <c r="BW608" s="49"/>
      <c r="BX608" s="49"/>
      <c r="BY608" s="49"/>
      <c r="BZ608" s="49"/>
      <c r="CA608" s="49"/>
      <c r="CB608" s="49"/>
      <c r="CC608" s="49"/>
      <c r="CD608" s="49"/>
      <c r="CE608" s="49"/>
      <c r="CF608" s="49"/>
      <c r="CG608" s="49"/>
      <c r="CH608" s="49"/>
      <c r="CI608" s="49"/>
      <c r="CJ608" s="49"/>
      <c r="CK608" s="49"/>
      <c r="CL608" s="49"/>
      <c r="CM608" s="49"/>
      <c r="CN608" s="49"/>
      <c r="CO608" s="49"/>
      <c r="CP608" s="49"/>
      <c r="CQ608" s="49"/>
      <c r="CR608" s="49"/>
      <c r="CS608" s="49"/>
      <c r="CT608" s="49"/>
      <c r="CU608" s="49"/>
      <c r="CV608" s="49"/>
      <c r="CW608" s="49"/>
      <c r="CX608" s="49"/>
      <c r="CY608" s="49"/>
      <c r="CZ608" s="49"/>
      <c r="DA608" s="49"/>
      <c r="DB608" s="49"/>
      <c r="DC608" s="49"/>
      <c r="DD608" s="49"/>
      <c r="DE608" s="49"/>
      <c r="DF608" s="49"/>
      <c r="DG608" s="49"/>
      <c r="DH608" s="49"/>
      <c r="DI608" s="49"/>
      <c r="DJ608" s="49"/>
      <c r="DK608" s="49"/>
      <c r="DL608" s="49"/>
      <c r="DM608" s="49"/>
      <c r="DN608" s="49"/>
      <c r="DO608" s="49"/>
      <c r="DP608" s="49"/>
      <c r="AAA608" s="192" t="s">
        <v>0</v>
      </c>
      <c r="AAD608" s="90"/>
      <c r="AAE608" s="519">
        <f>IF(AND(S.Comment.ApproveResponseLoop4="Y",S.Notice.Involved="Y"),1,)</f>
        <v>1</v>
      </c>
      <c r="AAF608" s="90"/>
      <c r="AAG608" s="73">
        <f>IF(S.Comment.ApproveResponseLoop4="N",,H607)</f>
        <v>41655</v>
      </c>
      <c r="AAH608" s="73">
        <f t="shared" si="493"/>
        <v>41655</v>
      </c>
      <c r="AAI608" s="72"/>
      <c r="AAJ608" s="56"/>
      <c r="AAK608" s="56"/>
      <c r="AAL608" s="90"/>
      <c r="AAM608"/>
    </row>
    <row r="609" spans="1:715" s="23" customFormat="1" ht="15" customHeight="1" outlineLevel="1">
      <c r="A609" s="171"/>
      <c r="B609" s="398" t="str">
        <f>AAK609</f>
        <v>AndreaRW:</v>
      </c>
      <c r="C609" s="346"/>
      <c r="D609" s="357"/>
      <c r="E609" s="350"/>
      <c r="F609" s="350"/>
      <c r="G609" s="346"/>
      <c r="H609" s="718"/>
      <c r="I609" s="244"/>
      <c r="J609" s="194"/>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c r="BM609" s="49"/>
      <c r="BN609" s="49"/>
      <c r="BO609" s="49"/>
      <c r="BP609" s="49"/>
      <c r="BQ609" s="49"/>
      <c r="BR609" s="49"/>
      <c r="BS609" s="49"/>
      <c r="BT609" s="49"/>
      <c r="BU609" s="49"/>
      <c r="BV609" s="49"/>
      <c r="BW609" s="49"/>
      <c r="BX609" s="49"/>
      <c r="BY609" s="49"/>
      <c r="BZ609" s="49"/>
      <c r="CA609" s="49"/>
      <c r="CB609" s="49"/>
      <c r="CC609" s="49"/>
      <c r="CD609" s="49"/>
      <c r="CE609" s="49"/>
      <c r="CF609" s="49"/>
      <c r="CG609" s="49"/>
      <c r="CH609" s="49"/>
      <c r="CI609" s="49"/>
      <c r="CJ609" s="49"/>
      <c r="CK609" s="49"/>
      <c r="CL609" s="49"/>
      <c r="CM609" s="49"/>
      <c r="CN609" s="49"/>
      <c r="CO609" s="49"/>
      <c r="CP609" s="49"/>
      <c r="CQ609" s="49"/>
      <c r="CR609" s="49"/>
      <c r="CS609" s="49"/>
      <c r="CT609" s="49"/>
      <c r="CU609" s="49"/>
      <c r="CV609" s="49"/>
      <c r="CW609" s="49"/>
      <c r="CX609" s="49"/>
      <c r="CY609" s="49"/>
      <c r="CZ609" s="49"/>
      <c r="DA609" s="49"/>
      <c r="DB609" s="49"/>
      <c r="DC609" s="49"/>
      <c r="DD609" s="49"/>
      <c r="DE609" s="49"/>
      <c r="DF609" s="49"/>
      <c r="DG609" s="49"/>
      <c r="DH609" s="49"/>
      <c r="DI609" s="49"/>
      <c r="DJ609" s="49"/>
      <c r="DK609" s="49"/>
      <c r="DL609" s="49"/>
      <c r="DM609" s="49"/>
      <c r="DN609" s="49"/>
      <c r="DO609" s="49"/>
      <c r="DP609" s="4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c r="IW609"/>
      <c r="IX609"/>
      <c r="IY609"/>
      <c r="IZ609"/>
      <c r="JA609"/>
      <c r="JB609"/>
      <c r="JC609"/>
      <c r="JD609"/>
      <c r="JE609"/>
      <c r="JF609"/>
      <c r="JG609"/>
      <c r="JH609"/>
      <c r="JI609"/>
      <c r="JJ609"/>
      <c r="JK609"/>
      <c r="JL609"/>
      <c r="JM609"/>
      <c r="JN609"/>
      <c r="JO609"/>
      <c r="JP609"/>
      <c r="JQ609"/>
      <c r="JR609"/>
      <c r="JS609"/>
      <c r="JT609"/>
      <c r="JU609"/>
      <c r="JV609"/>
      <c r="JW609"/>
      <c r="JX609"/>
      <c r="JY609"/>
      <c r="JZ609"/>
      <c r="KA609"/>
      <c r="KB609"/>
      <c r="KC609"/>
      <c r="KD609"/>
      <c r="KE609"/>
      <c r="KF609"/>
      <c r="KG609"/>
      <c r="KH609"/>
      <c r="KI609"/>
      <c r="KJ609"/>
      <c r="KK609"/>
      <c r="KL609"/>
      <c r="KM609"/>
      <c r="KN609"/>
      <c r="KO609"/>
      <c r="KP609"/>
      <c r="KQ609"/>
      <c r="KR609"/>
      <c r="KS609"/>
      <c r="KT609"/>
      <c r="KU609"/>
      <c r="KV609"/>
      <c r="KW609"/>
      <c r="KX609"/>
      <c r="KY609"/>
      <c r="KZ609"/>
      <c r="LA609"/>
      <c r="LB609"/>
      <c r="LC609"/>
      <c r="LD609"/>
      <c r="LE609"/>
      <c r="LF609"/>
      <c r="LG609"/>
      <c r="LH609"/>
      <c r="LI609"/>
      <c r="LJ609"/>
      <c r="LK609"/>
      <c r="LL609"/>
      <c r="LM609"/>
      <c r="LN609"/>
      <c r="LO609"/>
      <c r="LP609"/>
      <c r="LQ609"/>
      <c r="LR609"/>
      <c r="LS609"/>
      <c r="LT609"/>
      <c r="LU609"/>
      <c r="LV609"/>
      <c r="LW609"/>
      <c r="LX609"/>
      <c r="LY609"/>
      <c r="LZ609"/>
      <c r="MA609"/>
      <c r="MB609"/>
      <c r="MC609"/>
      <c r="MD609"/>
      <c r="ME609"/>
      <c r="MF609"/>
      <c r="MG609"/>
      <c r="MH609"/>
      <c r="MI609"/>
      <c r="MJ609"/>
      <c r="MK609"/>
      <c r="ML609"/>
      <c r="MM609"/>
      <c r="MN609"/>
      <c r="MO609"/>
      <c r="MP609"/>
      <c r="MQ609"/>
      <c r="MR609"/>
      <c r="MS609"/>
      <c r="MT609"/>
      <c r="MU609"/>
      <c r="MV609"/>
      <c r="MW609"/>
      <c r="MX609"/>
      <c r="MY609"/>
      <c r="MZ609"/>
      <c r="NA609"/>
      <c r="NB609"/>
      <c r="NC609"/>
      <c r="ND609"/>
      <c r="NE609"/>
      <c r="NF609"/>
      <c r="NG609"/>
      <c r="NH609"/>
      <c r="NI609"/>
      <c r="NJ609"/>
      <c r="NK609"/>
      <c r="NL609"/>
      <c r="NM609"/>
      <c r="NN609"/>
      <c r="NO609"/>
      <c r="NP609"/>
      <c r="NQ609"/>
      <c r="NR609"/>
      <c r="NS609"/>
      <c r="NT609"/>
      <c r="NU609"/>
      <c r="NV609"/>
      <c r="NW609"/>
      <c r="NX609"/>
      <c r="NY609"/>
      <c r="NZ609"/>
      <c r="OA609"/>
      <c r="OB609"/>
      <c r="OC609"/>
      <c r="OD609"/>
      <c r="OE609"/>
      <c r="OF609"/>
      <c r="OG609"/>
      <c r="OH609"/>
      <c r="OI609"/>
      <c r="OJ609"/>
      <c r="OK609"/>
      <c r="OL609"/>
      <c r="OM609"/>
      <c r="ON609"/>
      <c r="OO609"/>
      <c r="OP609"/>
      <c r="OQ609"/>
      <c r="OR609"/>
      <c r="OS609"/>
      <c r="OT609"/>
      <c r="OU609"/>
      <c r="OV609"/>
      <c r="OW609"/>
      <c r="OX609"/>
      <c r="OY609"/>
      <c r="OZ609"/>
      <c r="PA609"/>
      <c r="PB609"/>
      <c r="PC609"/>
      <c r="PD609"/>
      <c r="PE609"/>
      <c r="PF609"/>
      <c r="PG609"/>
      <c r="PH609"/>
      <c r="PI609"/>
      <c r="PJ609"/>
      <c r="PK609"/>
      <c r="PL609"/>
      <c r="PM609"/>
      <c r="PN609"/>
      <c r="PO609"/>
      <c r="PP609"/>
      <c r="PQ609"/>
      <c r="PR609"/>
      <c r="PS609"/>
      <c r="PT609"/>
      <c r="PU609"/>
      <c r="PV609"/>
      <c r="PW609"/>
      <c r="PX609"/>
      <c r="PY609"/>
      <c r="PZ609"/>
      <c r="QA609"/>
      <c r="QB609"/>
      <c r="QC609"/>
      <c r="QD609"/>
      <c r="QE609"/>
      <c r="QF609"/>
      <c r="QG609"/>
      <c r="QH609"/>
      <c r="QI609"/>
      <c r="QJ609"/>
      <c r="QK609"/>
      <c r="QL609"/>
      <c r="QM609"/>
      <c r="QN609"/>
      <c r="QO609"/>
      <c r="QP609"/>
      <c r="QQ609"/>
      <c r="QR609"/>
      <c r="QS609"/>
      <c r="QT609"/>
      <c r="QU609"/>
      <c r="QV609"/>
      <c r="QW609"/>
      <c r="QX609"/>
      <c r="QY609"/>
      <c r="QZ609"/>
      <c r="RA609"/>
      <c r="RB609"/>
      <c r="RC609"/>
      <c r="RD609"/>
      <c r="RE609"/>
      <c r="RF609"/>
      <c r="RG609"/>
      <c r="RH609"/>
      <c r="RI609"/>
      <c r="RJ609"/>
      <c r="RK609"/>
      <c r="RL609"/>
      <c r="RM609"/>
      <c r="RN609"/>
      <c r="RO609"/>
      <c r="RP609"/>
      <c r="RQ609"/>
      <c r="RR609"/>
      <c r="RS609"/>
      <c r="RT609"/>
      <c r="RU609"/>
      <c r="RV609"/>
      <c r="RW609"/>
      <c r="RX609"/>
      <c r="RY609"/>
      <c r="RZ609"/>
      <c r="SA609"/>
      <c r="SB609"/>
      <c r="SC609"/>
      <c r="SD609"/>
      <c r="SE609"/>
      <c r="SF609"/>
      <c r="SG609"/>
      <c r="SH609"/>
      <c r="SI609"/>
      <c r="SJ609"/>
      <c r="SK609"/>
      <c r="SL609"/>
      <c r="SM609"/>
      <c r="SN609"/>
      <c r="SO609"/>
      <c r="SP609"/>
      <c r="SQ609"/>
      <c r="SR609"/>
      <c r="SS609"/>
      <c r="ST609"/>
      <c r="SU609"/>
      <c r="SV609"/>
      <c r="SW609"/>
      <c r="SX609"/>
      <c r="SY609"/>
      <c r="SZ609"/>
      <c r="TA609"/>
      <c r="TB609"/>
      <c r="TC609"/>
      <c r="TD609"/>
      <c r="TE609"/>
      <c r="TF609"/>
      <c r="TG609"/>
      <c r="TH609"/>
      <c r="TI609"/>
      <c r="TJ609"/>
      <c r="TK609"/>
      <c r="TL609"/>
      <c r="TM609"/>
      <c r="TN609"/>
      <c r="TO609"/>
      <c r="TP609"/>
      <c r="TQ609"/>
      <c r="TR609"/>
      <c r="TS609"/>
      <c r="TT609"/>
      <c r="TU609"/>
      <c r="TV609"/>
      <c r="TW609"/>
      <c r="TX609"/>
      <c r="TY609"/>
      <c r="TZ609"/>
      <c r="UA609"/>
      <c r="UB609"/>
      <c r="UC609"/>
      <c r="UD609"/>
      <c r="UE609"/>
      <c r="UF609"/>
      <c r="UG609"/>
      <c r="UH609"/>
      <c r="UI609"/>
      <c r="UJ609"/>
      <c r="UK609"/>
      <c r="UL609"/>
      <c r="UM609"/>
      <c r="UN609"/>
      <c r="UO609"/>
      <c r="UP609"/>
      <c r="UQ609"/>
      <c r="UR609"/>
      <c r="US609"/>
      <c r="UT609"/>
      <c r="UU609"/>
      <c r="UV609"/>
      <c r="UW609"/>
      <c r="UX609"/>
      <c r="UY609"/>
      <c r="UZ609"/>
      <c r="VA609"/>
      <c r="VB609"/>
      <c r="VC609"/>
      <c r="VD609"/>
      <c r="VE609"/>
      <c r="VF609"/>
      <c r="VG609"/>
      <c r="VH609"/>
      <c r="VI609"/>
      <c r="VJ609"/>
      <c r="VK609"/>
      <c r="VL609"/>
      <c r="VM609"/>
      <c r="VN609"/>
      <c r="VO609"/>
      <c r="VP609"/>
      <c r="VQ609"/>
      <c r="VR609"/>
      <c r="VS609"/>
      <c r="VT609"/>
      <c r="VU609"/>
      <c r="VV609"/>
      <c r="VW609"/>
      <c r="VX609"/>
      <c r="VY609"/>
      <c r="VZ609"/>
      <c r="WA609"/>
      <c r="WB609"/>
      <c r="WC609"/>
      <c r="WD609"/>
      <c r="WE609"/>
      <c r="WF609"/>
      <c r="WG609"/>
      <c r="WH609"/>
      <c r="WI609"/>
      <c r="WJ609"/>
      <c r="WK609"/>
      <c r="WL609"/>
      <c r="WM609"/>
      <c r="WN609"/>
      <c r="WO609"/>
      <c r="WP609"/>
      <c r="WQ609"/>
      <c r="WR609"/>
      <c r="WS609"/>
      <c r="WT609"/>
      <c r="WU609"/>
      <c r="WV609"/>
      <c r="WW609"/>
      <c r="WX609"/>
      <c r="WY609"/>
      <c r="WZ609"/>
      <c r="XA609"/>
      <c r="XB609"/>
      <c r="XC609"/>
      <c r="XD609"/>
      <c r="XE609"/>
      <c r="XF609"/>
      <c r="XG609"/>
      <c r="XH609"/>
      <c r="XI609"/>
      <c r="XJ609"/>
      <c r="XK609"/>
      <c r="XL609"/>
      <c r="XM609"/>
      <c r="XN609"/>
      <c r="XO609"/>
      <c r="XP609"/>
      <c r="XQ609"/>
      <c r="XR609"/>
      <c r="XS609"/>
      <c r="XT609"/>
      <c r="XU609"/>
      <c r="XV609"/>
      <c r="XW609"/>
      <c r="XX609"/>
      <c r="XY609"/>
      <c r="XZ609"/>
      <c r="YA609"/>
      <c r="YB609"/>
      <c r="YC609"/>
      <c r="YD609"/>
      <c r="YE609"/>
      <c r="YF609"/>
      <c r="YG609"/>
      <c r="YH609"/>
      <c r="YI609"/>
      <c r="YJ609"/>
      <c r="YK609"/>
      <c r="YL609"/>
      <c r="YM609"/>
      <c r="YN609"/>
      <c r="YO609"/>
      <c r="YP609"/>
      <c r="YQ609"/>
      <c r="YR609"/>
      <c r="YS609"/>
      <c r="YT609"/>
      <c r="YU609"/>
      <c r="YV609"/>
      <c r="YW609"/>
      <c r="YX609"/>
      <c r="YY609"/>
      <c r="YZ609"/>
      <c r="ZA609"/>
      <c r="ZB609"/>
      <c r="ZC609"/>
      <c r="ZD609"/>
      <c r="ZE609"/>
      <c r="ZF609"/>
      <c r="ZG609"/>
      <c r="ZH609"/>
      <c r="ZI609"/>
      <c r="ZJ609"/>
      <c r="ZK609"/>
      <c r="ZL609"/>
      <c r="ZM609"/>
      <c r="ZN609"/>
      <c r="ZO609"/>
      <c r="ZP609"/>
      <c r="ZQ609"/>
      <c r="ZR609"/>
      <c r="ZS609"/>
      <c r="ZT609"/>
      <c r="ZU609"/>
      <c r="ZV609"/>
      <c r="ZW609"/>
      <c r="ZX609"/>
      <c r="ZY609"/>
      <c r="ZZ609" s="52"/>
      <c r="AAA609" s="192"/>
      <c r="AAD609" s="90"/>
      <c r="AAE609" s="519">
        <f t="shared" si="475"/>
        <v>1</v>
      </c>
      <c r="AAF609" s="190" t="s">
        <v>52</v>
      </c>
      <c r="AAG609" s="71"/>
      <c r="AAH609" s="71"/>
      <c r="AAI609" s="72"/>
      <c r="AAJ609" s="72"/>
      <c r="AAK609" s="80" t="str">
        <f>S.Staff.Lead&amp;":"</f>
        <v>AndreaRW:</v>
      </c>
      <c r="AAL609" s="90"/>
    </row>
    <row r="610" spans="1:715" s="239" customFormat="1" ht="15.75" customHeight="1" outlineLevel="1">
      <c r="A610" s="576"/>
      <c r="B610" s="363" t="s">
        <v>452</v>
      </c>
      <c r="C610" s="789" t="str">
        <f>HYPERLINK("\\deqhq1\Rule_Development\Currrent Plan","i")</f>
        <v>i</v>
      </c>
      <c r="D610" s="401"/>
      <c r="E610" s="577">
        <f t="shared" ref="E610" si="494">NETWORKDAYS(G610,H610,S.DDL_DEQClosed)</f>
        <v>1</v>
      </c>
      <c r="F610" s="575">
        <f ca="1">IF(YEAR(H610)&gt;2000,NETWORKDAYS(TODAY(),H610,S.DDL_DEQClosed),0)</f>
        <v>55</v>
      </c>
      <c r="G610" s="578">
        <f>AAG610</f>
        <v>41655</v>
      </c>
      <c r="H610" s="673">
        <f>AAH610</f>
        <v>41655</v>
      </c>
      <c r="I610" s="579"/>
      <c r="J610" s="580"/>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1"/>
      <c r="AL610" s="581"/>
      <c r="AM610" s="581"/>
      <c r="AN610" s="581"/>
      <c r="AO610" s="581"/>
      <c r="AP610" s="581"/>
      <c r="AQ610" s="581"/>
      <c r="AR610" s="581"/>
      <c r="AS610" s="581"/>
      <c r="AT610" s="581"/>
      <c r="AU610" s="581"/>
      <c r="AV610" s="581"/>
      <c r="AW610" s="581"/>
      <c r="AX610" s="581"/>
      <c r="AY610" s="581"/>
      <c r="AZ610" s="581"/>
      <c r="BA610" s="581"/>
      <c r="BB610" s="581"/>
      <c r="BC610" s="581"/>
      <c r="BD610" s="581"/>
      <c r="BE610" s="581"/>
      <c r="BF610" s="581"/>
      <c r="BG610" s="581"/>
      <c r="BH610" s="581"/>
      <c r="BI610" s="581"/>
      <c r="BJ610" s="581"/>
      <c r="BK610" s="581"/>
      <c r="BL610" s="581"/>
      <c r="BM610" s="581"/>
      <c r="BN610" s="581"/>
      <c r="BO610" s="581"/>
      <c r="BP610" s="581"/>
      <c r="BQ610" s="581"/>
      <c r="BR610" s="581"/>
      <c r="BS610" s="581"/>
      <c r="BT610" s="581"/>
      <c r="BU610" s="581"/>
      <c r="BV610" s="581"/>
      <c r="BW610" s="581"/>
      <c r="BX610" s="581"/>
      <c r="BY610" s="581"/>
      <c r="BZ610" s="581"/>
      <c r="CA610" s="581"/>
      <c r="CB610" s="581"/>
      <c r="CC610" s="581"/>
      <c r="CD610" s="581"/>
      <c r="CE610" s="581"/>
      <c r="CF610" s="581"/>
      <c r="CG610" s="581"/>
      <c r="CH610" s="581"/>
      <c r="CI610" s="581"/>
      <c r="CJ610" s="581"/>
      <c r="CK610" s="581"/>
      <c r="CL610" s="581"/>
      <c r="CM610" s="581"/>
      <c r="CN610" s="581"/>
      <c r="CO610" s="581"/>
      <c r="CP610" s="581"/>
      <c r="CQ610" s="581"/>
      <c r="CR610" s="581"/>
      <c r="CS610" s="581"/>
      <c r="CT610" s="581"/>
      <c r="CU610" s="581"/>
      <c r="CV610" s="581"/>
      <c r="CW610" s="581"/>
      <c r="CX610" s="581"/>
      <c r="CY610" s="581"/>
      <c r="CZ610" s="581"/>
      <c r="DA610" s="581"/>
      <c r="DB610" s="581"/>
      <c r="DC610" s="581"/>
      <c r="DD610" s="581"/>
      <c r="DE610" s="581"/>
      <c r="DF610" s="581"/>
      <c r="DG610" s="581"/>
      <c r="DH610" s="581"/>
      <c r="DI610" s="581"/>
      <c r="DJ610" s="581"/>
      <c r="DK610" s="581"/>
      <c r="DL610" s="581"/>
      <c r="DM610" s="581"/>
      <c r="DN610" s="581"/>
      <c r="DO610" s="581"/>
      <c r="DP610" s="581"/>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c r="IW610"/>
      <c r="IX610"/>
      <c r="IY610"/>
      <c r="IZ610"/>
      <c r="JA610"/>
      <c r="JB610"/>
      <c r="JC610"/>
      <c r="JD610"/>
      <c r="JE610"/>
      <c r="JF610"/>
      <c r="JG610"/>
      <c r="JH610"/>
      <c r="JI610"/>
      <c r="JJ610"/>
      <c r="JK610"/>
      <c r="JL610"/>
      <c r="JM610"/>
      <c r="JN610"/>
      <c r="JO610"/>
      <c r="JP610"/>
      <c r="JQ610"/>
      <c r="JR610"/>
      <c r="JS610"/>
      <c r="JT610"/>
      <c r="JU610"/>
      <c r="JV610"/>
      <c r="JW610"/>
      <c r="JX610"/>
      <c r="JY610"/>
      <c r="JZ610"/>
      <c r="KA610"/>
      <c r="KB610"/>
      <c r="KC610"/>
      <c r="KD610"/>
      <c r="KE610"/>
      <c r="KF610"/>
      <c r="KG610"/>
      <c r="KH610"/>
      <c r="KI610"/>
      <c r="KJ610"/>
      <c r="KK610"/>
      <c r="KL610"/>
      <c r="KM610"/>
      <c r="KN610"/>
      <c r="KO610"/>
      <c r="KP610"/>
      <c r="KQ610"/>
      <c r="KR610"/>
      <c r="KS610"/>
      <c r="KT610"/>
      <c r="KU610"/>
      <c r="KV610"/>
      <c r="KW610"/>
      <c r="KX610"/>
      <c r="KY610"/>
      <c r="KZ610"/>
      <c r="LA610"/>
      <c r="LB610"/>
      <c r="LC610"/>
      <c r="LD610"/>
      <c r="LE610"/>
      <c r="LF610"/>
      <c r="LG610"/>
      <c r="LH610"/>
      <c r="LI610"/>
      <c r="LJ610"/>
      <c r="LK610"/>
      <c r="LL610"/>
      <c r="LM610"/>
      <c r="LN610"/>
      <c r="LO610"/>
      <c r="LP610"/>
      <c r="LQ610"/>
      <c r="LR610"/>
      <c r="LS610"/>
      <c r="LT610"/>
      <c r="LU610"/>
      <c r="LV610"/>
      <c r="LW610"/>
      <c r="LX610"/>
      <c r="LY610"/>
      <c r="LZ610"/>
      <c r="MA610"/>
      <c r="MB610"/>
      <c r="MC610"/>
      <c r="MD610"/>
      <c r="ME610"/>
      <c r="MF610"/>
      <c r="MG610"/>
      <c r="MH610"/>
      <c r="MI610"/>
      <c r="MJ610"/>
      <c r="MK610"/>
      <c r="ML610"/>
      <c r="MM610"/>
      <c r="MN610"/>
      <c r="MO610"/>
      <c r="MP610"/>
      <c r="MQ610"/>
      <c r="MR610"/>
      <c r="MS610"/>
      <c r="MT610"/>
      <c r="MU610"/>
      <c r="MV610"/>
      <c r="MW610"/>
      <c r="MX610"/>
      <c r="MY610"/>
      <c r="MZ610"/>
      <c r="NA610"/>
      <c r="NB610"/>
      <c r="NC610"/>
      <c r="ND610"/>
      <c r="NE610"/>
      <c r="NF610"/>
      <c r="NG610"/>
      <c r="NH610"/>
      <c r="NI610"/>
      <c r="NJ610"/>
      <c r="NK610"/>
      <c r="NL610"/>
      <c r="NM610"/>
      <c r="NN610"/>
      <c r="NO610"/>
      <c r="NP610"/>
      <c r="NQ610"/>
      <c r="NR610"/>
      <c r="NS610"/>
      <c r="NT610"/>
      <c r="NU610"/>
      <c r="NV610"/>
      <c r="NW610"/>
      <c r="NX610"/>
      <c r="NY610"/>
      <c r="NZ610"/>
      <c r="OA610"/>
      <c r="OB610"/>
      <c r="OC610"/>
      <c r="OD610"/>
      <c r="OE610"/>
      <c r="OF610"/>
      <c r="OG610"/>
      <c r="OH610"/>
      <c r="OI610"/>
      <c r="OJ610"/>
      <c r="OK610"/>
      <c r="OL610"/>
      <c r="OM610"/>
      <c r="ON610"/>
      <c r="OO610"/>
      <c r="OP610"/>
      <c r="OQ610"/>
      <c r="OR610"/>
      <c r="OS610"/>
      <c r="OT610"/>
      <c r="OU610"/>
      <c r="OV610"/>
      <c r="OW610"/>
      <c r="OX610"/>
      <c r="OY610"/>
      <c r="OZ610"/>
      <c r="PA610"/>
      <c r="PB610"/>
      <c r="PC610"/>
      <c r="PD610"/>
      <c r="PE610"/>
      <c r="PF610"/>
      <c r="PG610"/>
      <c r="PH610"/>
      <c r="PI610"/>
      <c r="PJ610"/>
      <c r="PK610"/>
      <c r="PL610"/>
      <c r="PM610"/>
      <c r="PN610"/>
      <c r="PO610"/>
      <c r="PP610"/>
      <c r="PQ610"/>
      <c r="PR610"/>
      <c r="PS610"/>
      <c r="PT610"/>
      <c r="PU610"/>
      <c r="PV610"/>
      <c r="PW610"/>
      <c r="PX610"/>
      <c r="PY610"/>
      <c r="PZ610"/>
      <c r="QA610"/>
      <c r="QB610"/>
      <c r="QC610"/>
      <c r="QD610"/>
      <c r="QE610"/>
      <c r="QF610"/>
      <c r="QG610"/>
      <c r="QH610"/>
      <c r="QI610"/>
      <c r="QJ610"/>
      <c r="QK610"/>
      <c r="QL610"/>
      <c r="QM610"/>
      <c r="QN610"/>
      <c r="QO610"/>
      <c r="QP610"/>
      <c r="QQ610"/>
      <c r="QR610"/>
      <c r="QS610"/>
      <c r="QT610"/>
      <c r="QU610"/>
      <c r="QV610"/>
      <c r="QW610"/>
      <c r="QX610"/>
      <c r="QY610"/>
      <c r="QZ610"/>
      <c r="RA610"/>
      <c r="RB610"/>
      <c r="RC610"/>
      <c r="RD610"/>
      <c r="RE610"/>
      <c r="RF610"/>
      <c r="RG610"/>
      <c r="RH610"/>
      <c r="RI610"/>
      <c r="RJ610"/>
      <c r="RK610"/>
      <c r="RL610"/>
      <c r="RM610"/>
      <c r="RN610"/>
      <c r="RO610"/>
      <c r="RP610"/>
      <c r="RQ610"/>
      <c r="RR610"/>
      <c r="RS610"/>
      <c r="RT610"/>
      <c r="RU610"/>
      <c r="RV610"/>
      <c r="RW610"/>
      <c r="RX610"/>
      <c r="RY610"/>
      <c r="RZ610"/>
      <c r="SA610"/>
      <c r="SB610"/>
      <c r="SC610"/>
      <c r="SD610"/>
      <c r="SE610"/>
      <c r="SF610"/>
      <c r="SG610"/>
      <c r="SH610"/>
      <c r="SI610"/>
      <c r="SJ610"/>
      <c r="SK610"/>
      <c r="SL610"/>
      <c r="SM610"/>
      <c r="SN610"/>
      <c r="SO610"/>
      <c r="SP610"/>
      <c r="SQ610"/>
      <c r="SR610"/>
      <c r="SS610"/>
      <c r="ST610"/>
      <c r="SU610"/>
      <c r="SV610"/>
      <c r="SW610"/>
      <c r="SX610"/>
      <c r="SY610"/>
      <c r="SZ610"/>
      <c r="TA610"/>
      <c r="TB610"/>
      <c r="TC610"/>
      <c r="TD610"/>
      <c r="TE610"/>
      <c r="TF610"/>
      <c r="TG610"/>
      <c r="TH610"/>
      <c r="TI610"/>
      <c r="TJ610"/>
      <c r="TK610"/>
      <c r="TL610"/>
      <c r="TM610"/>
      <c r="TN610"/>
      <c r="TO610"/>
      <c r="TP610"/>
      <c r="TQ610"/>
      <c r="TR610"/>
      <c r="TS610"/>
      <c r="TT610"/>
      <c r="TU610"/>
      <c r="TV610"/>
      <c r="TW610"/>
      <c r="TX610"/>
      <c r="TY610"/>
      <c r="TZ610"/>
      <c r="UA610"/>
      <c r="UB610"/>
      <c r="UC610"/>
      <c r="UD610"/>
      <c r="UE610"/>
      <c r="UF610"/>
      <c r="UG610"/>
      <c r="UH610"/>
      <c r="UI610"/>
      <c r="UJ610"/>
      <c r="UK610"/>
      <c r="UL610"/>
      <c r="UM610"/>
      <c r="UN610"/>
      <c r="UO610"/>
      <c r="UP610"/>
      <c r="UQ610"/>
      <c r="UR610"/>
      <c r="US610"/>
      <c r="UT610"/>
      <c r="UU610"/>
      <c r="UV610"/>
      <c r="UW610"/>
      <c r="UX610"/>
      <c r="UY610"/>
      <c r="UZ610"/>
      <c r="VA610"/>
      <c r="VB610"/>
      <c r="VC610"/>
      <c r="VD610"/>
      <c r="VE610"/>
      <c r="VF610"/>
      <c r="VG610"/>
      <c r="VH610"/>
      <c r="VI610"/>
      <c r="VJ610"/>
      <c r="VK610"/>
      <c r="VL610"/>
      <c r="VM610"/>
      <c r="VN610"/>
      <c r="VO610"/>
      <c r="VP610"/>
      <c r="VQ610"/>
      <c r="VR610"/>
      <c r="VS610"/>
      <c r="VT610"/>
      <c r="VU610"/>
      <c r="VV610"/>
      <c r="VW610"/>
      <c r="VX610"/>
      <c r="VY610"/>
      <c r="VZ610"/>
      <c r="WA610"/>
      <c r="WB610"/>
      <c r="WC610"/>
      <c r="WD610"/>
      <c r="WE610"/>
      <c r="WF610"/>
      <c r="WG610"/>
      <c r="WH610"/>
      <c r="WI610"/>
      <c r="WJ610"/>
      <c r="WK610"/>
      <c r="WL610"/>
      <c r="WM610"/>
      <c r="WN610"/>
      <c r="WO610"/>
      <c r="WP610"/>
      <c r="WQ610"/>
      <c r="WR610"/>
      <c r="WS610"/>
      <c r="WT610"/>
      <c r="WU610"/>
      <c r="WV610"/>
      <c r="WW610"/>
      <c r="WX610"/>
      <c r="WY610"/>
      <c r="WZ610"/>
      <c r="XA610"/>
      <c r="XB610"/>
      <c r="XC610"/>
      <c r="XD610"/>
      <c r="XE610"/>
      <c r="XF610"/>
      <c r="XG610"/>
      <c r="XH610"/>
      <c r="XI610"/>
      <c r="XJ610"/>
      <c r="XK610"/>
      <c r="XL610"/>
      <c r="XM610"/>
      <c r="XN610"/>
      <c r="XO610"/>
      <c r="XP610"/>
      <c r="XQ610"/>
      <c r="XR610"/>
      <c r="XS610"/>
      <c r="XT610"/>
      <c r="XU610"/>
      <c r="XV610"/>
      <c r="XW610"/>
      <c r="XX610"/>
      <c r="XY610"/>
      <c r="XZ610"/>
      <c r="YA610"/>
      <c r="YB610"/>
      <c r="YC610"/>
      <c r="YD610"/>
      <c r="YE610"/>
      <c r="YF610"/>
      <c r="YG610"/>
      <c r="YH610"/>
      <c r="YI610"/>
      <c r="YJ610"/>
      <c r="YK610"/>
      <c r="YL610"/>
      <c r="YM610"/>
      <c r="YN610"/>
      <c r="YO610"/>
      <c r="YP610"/>
      <c r="YQ610"/>
      <c r="YR610"/>
      <c r="YS610"/>
      <c r="YT610"/>
      <c r="YU610"/>
      <c r="YV610"/>
      <c r="YW610"/>
      <c r="YX610"/>
      <c r="YY610"/>
      <c r="YZ610"/>
      <c r="ZA610"/>
      <c r="ZB610"/>
      <c r="ZC610"/>
      <c r="ZD610"/>
      <c r="ZE610"/>
      <c r="ZF610"/>
      <c r="ZG610"/>
      <c r="ZH610"/>
      <c r="ZI610"/>
      <c r="ZJ610"/>
      <c r="ZK610"/>
      <c r="ZL610"/>
      <c r="ZM610"/>
      <c r="ZN610"/>
      <c r="ZO610"/>
      <c r="ZP610"/>
      <c r="ZQ610"/>
      <c r="ZR610"/>
      <c r="ZS610"/>
      <c r="ZT610"/>
      <c r="ZU610"/>
      <c r="ZV610"/>
      <c r="ZW610"/>
      <c r="ZX610"/>
      <c r="ZY610"/>
      <c r="ZZ610" s="52"/>
      <c r="AAA610" s="774"/>
      <c r="AAD610" s="90"/>
      <c r="AAE610" s="582">
        <f t="shared" si="475"/>
        <v>1</v>
      </c>
      <c r="AAF610" s="90"/>
      <c r="AAG610" s="73">
        <f>+IF(AAE610=0,,H590)</f>
        <v>41655</v>
      </c>
      <c r="AAH610" s="73">
        <f>G610</f>
        <v>41655</v>
      </c>
      <c r="AAI610" s="583"/>
      <c r="AAJ610" s="583"/>
      <c r="AAK610" s="71" t="s">
        <v>0</v>
      </c>
      <c r="AAL610" s="90"/>
    </row>
    <row r="611" spans="1:715" s="23" customFormat="1" ht="15.75" customHeight="1" outlineLevel="1">
      <c r="A611" s="171"/>
      <c r="B611" s="363" t="s">
        <v>363</v>
      </c>
      <c r="C611" s="362"/>
      <c r="D611" s="373"/>
      <c r="E611" s="350"/>
      <c r="F611" s="350"/>
      <c r="G611" s="346"/>
      <c r="H611" s="346"/>
      <c r="I611" s="244"/>
      <c r="J611" s="194"/>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c r="BM611" s="49"/>
      <c r="BN611" s="49"/>
      <c r="BO611" s="49"/>
      <c r="BP611" s="49"/>
      <c r="BQ611" s="49"/>
      <c r="BR611" s="49"/>
      <c r="BS611" s="49"/>
      <c r="BT611" s="49"/>
      <c r="BU611" s="49"/>
      <c r="BV611" s="49"/>
      <c r="BW611" s="49"/>
      <c r="BX611" s="49"/>
      <c r="BY611" s="49"/>
      <c r="BZ611" s="49"/>
      <c r="CA611" s="49"/>
      <c r="CB611" s="49"/>
      <c r="CC611" s="49"/>
      <c r="CD611" s="49"/>
      <c r="CE611" s="49"/>
      <c r="CF611" s="49"/>
      <c r="CG611" s="49"/>
      <c r="CH611" s="49"/>
      <c r="CI611" s="49"/>
      <c r="CJ611" s="49"/>
      <c r="CK611" s="49"/>
      <c r="CL611" s="49"/>
      <c r="CM611" s="49"/>
      <c r="CN611" s="49"/>
      <c r="CO611" s="49"/>
      <c r="CP611" s="49"/>
      <c r="CQ611" s="49"/>
      <c r="CR611" s="49"/>
      <c r="CS611" s="49"/>
      <c r="CT611" s="49"/>
      <c r="CU611" s="49"/>
      <c r="CV611" s="49"/>
      <c r="CW611" s="49"/>
      <c r="CX611" s="49"/>
      <c r="CY611" s="49"/>
      <c r="CZ611" s="49"/>
      <c r="DA611" s="49"/>
      <c r="DB611" s="49"/>
      <c r="DC611" s="49"/>
      <c r="DD611" s="49"/>
      <c r="DE611" s="49"/>
      <c r="DF611" s="49"/>
      <c r="DG611" s="49"/>
      <c r="DH611" s="49"/>
      <c r="DI611" s="49"/>
      <c r="DJ611" s="49"/>
      <c r="DK611" s="49"/>
      <c r="DL611" s="49"/>
      <c r="DM611" s="49"/>
      <c r="DN611" s="49"/>
      <c r="DO611" s="49"/>
      <c r="DP611" s="49"/>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c r="IW611"/>
      <c r="IX611"/>
      <c r="IY611"/>
      <c r="IZ611"/>
      <c r="JA611"/>
      <c r="JB611"/>
      <c r="JC611"/>
      <c r="JD611"/>
      <c r="JE611"/>
      <c r="JF611"/>
      <c r="JG611"/>
      <c r="JH611"/>
      <c r="JI611"/>
      <c r="JJ611"/>
      <c r="JK611"/>
      <c r="JL611"/>
      <c r="JM611"/>
      <c r="JN611"/>
      <c r="JO611"/>
      <c r="JP611"/>
      <c r="JQ611"/>
      <c r="JR611"/>
      <c r="JS611"/>
      <c r="JT611"/>
      <c r="JU611"/>
      <c r="JV611"/>
      <c r="JW611"/>
      <c r="JX611"/>
      <c r="JY611"/>
      <c r="JZ611"/>
      <c r="KA611"/>
      <c r="KB611"/>
      <c r="KC611"/>
      <c r="KD611"/>
      <c r="KE611"/>
      <c r="KF611"/>
      <c r="KG611"/>
      <c r="KH611"/>
      <c r="KI611"/>
      <c r="KJ611"/>
      <c r="KK611"/>
      <c r="KL611"/>
      <c r="KM611"/>
      <c r="KN611"/>
      <c r="KO611"/>
      <c r="KP611"/>
      <c r="KQ611"/>
      <c r="KR611"/>
      <c r="KS611"/>
      <c r="KT611"/>
      <c r="KU611"/>
      <c r="KV611"/>
      <c r="KW611"/>
      <c r="KX611"/>
      <c r="KY611"/>
      <c r="KZ611"/>
      <c r="LA611"/>
      <c r="LB611"/>
      <c r="LC611"/>
      <c r="LD611"/>
      <c r="LE611"/>
      <c r="LF611"/>
      <c r="LG611"/>
      <c r="LH611"/>
      <c r="LI611"/>
      <c r="LJ611"/>
      <c r="LK611"/>
      <c r="LL611"/>
      <c r="LM611"/>
      <c r="LN611"/>
      <c r="LO611"/>
      <c r="LP611"/>
      <c r="LQ611"/>
      <c r="LR611"/>
      <c r="LS611"/>
      <c r="LT611"/>
      <c r="LU611"/>
      <c r="LV611"/>
      <c r="LW611"/>
      <c r="LX611"/>
      <c r="LY611"/>
      <c r="LZ611"/>
      <c r="MA611"/>
      <c r="MB611"/>
      <c r="MC611"/>
      <c r="MD611"/>
      <c r="ME611"/>
      <c r="MF611"/>
      <c r="MG611"/>
      <c r="MH611"/>
      <c r="MI611"/>
      <c r="MJ611"/>
      <c r="MK611"/>
      <c r="ML611"/>
      <c r="MM611"/>
      <c r="MN611"/>
      <c r="MO611"/>
      <c r="MP611"/>
      <c r="MQ611"/>
      <c r="MR611"/>
      <c r="MS611"/>
      <c r="MT611"/>
      <c r="MU611"/>
      <c r="MV611"/>
      <c r="MW611"/>
      <c r="MX611"/>
      <c r="MY611"/>
      <c r="MZ611"/>
      <c r="NA611"/>
      <c r="NB611"/>
      <c r="NC611"/>
      <c r="ND611"/>
      <c r="NE611"/>
      <c r="NF611"/>
      <c r="NG611"/>
      <c r="NH611"/>
      <c r="NI611"/>
      <c r="NJ611"/>
      <c r="NK611"/>
      <c r="NL611"/>
      <c r="NM611"/>
      <c r="NN611"/>
      <c r="NO611"/>
      <c r="NP611"/>
      <c r="NQ611"/>
      <c r="NR611"/>
      <c r="NS611"/>
      <c r="NT611"/>
      <c r="NU611"/>
      <c r="NV611"/>
      <c r="NW611"/>
      <c r="NX611"/>
      <c r="NY611"/>
      <c r="NZ611"/>
      <c r="OA611"/>
      <c r="OB611"/>
      <c r="OC611"/>
      <c r="OD611"/>
      <c r="OE611"/>
      <c r="OF611"/>
      <c r="OG611"/>
      <c r="OH611"/>
      <c r="OI611"/>
      <c r="OJ611"/>
      <c r="OK611"/>
      <c r="OL611"/>
      <c r="OM611"/>
      <c r="ON611"/>
      <c r="OO611"/>
      <c r="OP611"/>
      <c r="OQ611"/>
      <c r="OR611"/>
      <c r="OS611"/>
      <c r="OT611"/>
      <c r="OU611"/>
      <c r="OV611"/>
      <c r="OW611"/>
      <c r="OX611"/>
      <c r="OY611"/>
      <c r="OZ611"/>
      <c r="PA611"/>
      <c r="PB611"/>
      <c r="PC611"/>
      <c r="PD611"/>
      <c r="PE611"/>
      <c r="PF611"/>
      <c r="PG611"/>
      <c r="PH611"/>
      <c r="PI611"/>
      <c r="PJ611"/>
      <c r="PK611"/>
      <c r="PL611"/>
      <c r="PM611"/>
      <c r="PN611"/>
      <c r="PO611"/>
      <c r="PP611"/>
      <c r="PQ611"/>
      <c r="PR611"/>
      <c r="PS611"/>
      <c r="PT611"/>
      <c r="PU611"/>
      <c r="PV611"/>
      <c r="PW611"/>
      <c r="PX611"/>
      <c r="PY611"/>
      <c r="PZ611"/>
      <c r="QA611"/>
      <c r="QB611"/>
      <c r="QC611"/>
      <c r="QD611"/>
      <c r="QE611"/>
      <c r="QF611"/>
      <c r="QG611"/>
      <c r="QH611"/>
      <c r="QI611"/>
      <c r="QJ611"/>
      <c r="QK611"/>
      <c r="QL611"/>
      <c r="QM611"/>
      <c r="QN611"/>
      <c r="QO611"/>
      <c r="QP611"/>
      <c r="QQ611"/>
      <c r="QR611"/>
      <c r="QS611"/>
      <c r="QT611"/>
      <c r="QU611"/>
      <c r="QV611"/>
      <c r="QW611"/>
      <c r="QX611"/>
      <c r="QY611"/>
      <c r="QZ611"/>
      <c r="RA611"/>
      <c r="RB611"/>
      <c r="RC611"/>
      <c r="RD611"/>
      <c r="RE611"/>
      <c r="RF611"/>
      <c r="RG611"/>
      <c r="RH611"/>
      <c r="RI611"/>
      <c r="RJ611"/>
      <c r="RK611"/>
      <c r="RL611"/>
      <c r="RM611"/>
      <c r="RN611"/>
      <c r="RO611"/>
      <c r="RP611"/>
      <c r="RQ611"/>
      <c r="RR611"/>
      <c r="RS611"/>
      <c r="RT611"/>
      <c r="RU611"/>
      <c r="RV611"/>
      <c r="RW611"/>
      <c r="RX611"/>
      <c r="RY611"/>
      <c r="RZ611"/>
      <c r="SA611"/>
      <c r="SB611"/>
      <c r="SC611"/>
      <c r="SD611"/>
      <c r="SE611"/>
      <c r="SF611"/>
      <c r="SG611"/>
      <c r="SH611"/>
      <c r="SI611"/>
      <c r="SJ611"/>
      <c r="SK611"/>
      <c r="SL611"/>
      <c r="SM611"/>
      <c r="SN611"/>
      <c r="SO611"/>
      <c r="SP611"/>
      <c r="SQ611"/>
      <c r="SR611"/>
      <c r="SS611"/>
      <c r="ST611"/>
      <c r="SU611"/>
      <c r="SV611"/>
      <c r="SW611"/>
      <c r="SX611"/>
      <c r="SY611"/>
      <c r="SZ611"/>
      <c r="TA611"/>
      <c r="TB611"/>
      <c r="TC611"/>
      <c r="TD611"/>
      <c r="TE611"/>
      <c r="TF611"/>
      <c r="TG611"/>
      <c r="TH611"/>
      <c r="TI611"/>
      <c r="TJ611"/>
      <c r="TK611"/>
      <c r="TL611"/>
      <c r="TM611"/>
      <c r="TN611"/>
      <c r="TO611"/>
      <c r="TP611"/>
      <c r="TQ611"/>
      <c r="TR611"/>
      <c r="TS611"/>
      <c r="TT611"/>
      <c r="TU611"/>
      <c r="TV611"/>
      <c r="TW611"/>
      <c r="TX611"/>
      <c r="TY611"/>
      <c r="TZ611"/>
      <c r="UA611"/>
      <c r="UB611"/>
      <c r="UC611"/>
      <c r="UD611"/>
      <c r="UE611"/>
      <c r="UF611"/>
      <c r="UG611"/>
      <c r="UH611"/>
      <c r="UI611"/>
      <c r="UJ611"/>
      <c r="UK611"/>
      <c r="UL611"/>
      <c r="UM611"/>
      <c r="UN611"/>
      <c r="UO611"/>
      <c r="UP611"/>
      <c r="UQ611"/>
      <c r="UR611"/>
      <c r="US611"/>
      <c r="UT611"/>
      <c r="UU611"/>
      <c r="UV611"/>
      <c r="UW611"/>
      <c r="UX611"/>
      <c r="UY611"/>
      <c r="UZ611"/>
      <c r="VA611"/>
      <c r="VB611"/>
      <c r="VC611"/>
      <c r="VD611"/>
      <c r="VE611"/>
      <c r="VF611"/>
      <c r="VG611"/>
      <c r="VH611"/>
      <c r="VI611"/>
      <c r="VJ611"/>
      <c r="VK611"/>
      <c r="VL611"/>
      <c r="VM611"/>
      <c r="VN611"/>
      <c r="VO611"/>
      <c r="VP611"/>
      <c r="VQ611"/>
      <c r="VR611"/>
      <c r="VS611"/>
      <c r="VT611"/>
      <c r="VU611"/>
      <c r="VV611"/>
      <c r="VW611"/>
      <c r="VX611"/>
      <c r="VY611"/>
      <c r="VZ611"/>
      <c r="WA611"/>
      <c r="WB611"/>
      <c r="WC611"/>
      <c r="WD611"/>
      <c r="WE611"/>
      <c r="WF611"/>
      <c r="WG611"/>
      <c r="WH611"/>
      <c r="WI611"/>
      <c r="WJ611"/>
      <c r="WK611"/>
      <c r="WL611"/>
      <c r="WM611"/>
      <c r="WN611"/>
      <c r="WO611"/>
      <c r="WP611"/>
      <c r="WQ611"/>
      <c r="WR611"/>
      <c r="WS611"/>
      <c r="WT611"/>
      <c r="WU611"/>
      <c r="WV611"/>
      <c r="WW611"/>
      <c r="WX611"/>
      <c r="WY611"/>
      <c r="WZ611"/>
      <c r="XA611"/>
      <c r="XB611"/>
      <c r="XC611"/>
      <c r="XD611"/>
      <c r="XE611"/>
      <c r="XF611"/>
      <c r="XG611"/>
      <c r="XH611"/>
      <c r="XI611"/>
      <c r="XJ611"/>
      <c r="XK611"/>
      <c r="XL611"/>
      <c r="XM611"/>
      <c r="XN611"/>
      <c r="XO611"/>
      <c r="XP611"/>
      <c r="XQ611"/>
      <c r="XR611"/>
      <c r="XS611"/>
      <c r="XT611"/>
      <c r="XU611"/>
      <c r="XV611"/>
      <c r="XW611"/>
      <c r="XX611"/>
      <c r="XY611"/>
      <c r="XZ611"/>
      <c r="YA611"/>
      <c r="YB611"/>
      <c r="YC611"/>
      <c r="YD611"/>
      <c r="YE611"/>
      <c r="YF611"/>
      <c r="YG611"/>
      <c r="YH611"/>
      <c r="YI611"/>
      <c r="YJ611"/>
      <c r="YK611"/>
      <c r="YL611"/>
      <c r="YM611"/>
      <c r="YN611"/>
      <c r="YO611"/>
      <c r="YP611"/>
      <c r="YQ611"/>
      <c r="YR611"/>
      <c r="YS611"/>
      <c r="YT611"/>
      <c r="YU611"/>
      <c r="YV611"/>
      <c r="YW611"/>
      <c r="YX611"/>
      <c r="YY611"/>
      <c r="YZ611"/>
      <c r="ZA611"/>
      <c r="ZB611"/>
      <c r="ZC611"/>
      <c r="ZD611"/>
      <c r="ZE611"/>
      <c r="ZF611"/>
      <c r="ZG611"/>
      <c r="ZH611"/>
      <c r="ZI611"/>
      <c r="ZJ611"/>
      <c r="ZK611"/>
      <c r="ZL611"/>
      <c r="ZM611"/>
      <c r="ZN611"/>
      <c r="ZO611"/>
      <c r="ZP611"/>
      <c r="ZQ611"/>
      <c r="ZR611"/>
      <c r="ZS611"/>
      <c r="ZT611"/>
      <c r="ZU611"/>
      <c r="ZV611"/>
      <c r="ZW611"/>
      <c r="ZX611"/>
      <c r="ZY611"/>
      <c r="ZZ611" s="52"/>
      <c r="AAA611" s="192"/>
      <c r="AAD611" s="90"/>
      <c r="AAE611" s="519">
        <f t="shared" si="475"/>
        <v>1</v>
      </c>
      <c r="AAF611" s="190" t="s">
        <v>52</v>
      </c>
      <c r="AAG611" s="71"/>
      <c r="AAH611" s="71"/>
      <c r="AAI611" s="71"/>
      <c r="AAJ611" s="56"/>
      <c r="AAK611" s="71" t="s">
        <v>0</v>
      </c>
      <c r="AAL611" s="90"/>
    </row>
    <row r="612" spans="1:715" ht="6" customHeight="1" outlineLevel="1">
      <c r="A612" s="171"/>
      <c r="B612" s="95"/>
      <c r="C612" s="96"/>
      <c r="D612" s="231"/>
      <c r="E612" s="97"/>
      <c r="F612" s="97"/>
      <c r="G612" s="96"/>
      <c r="H612" s="96"/>
      <c r="I612" s="244"/>
      <c r="J612" s="194"/>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c r="BM612" s="49"/>
      <c r="BN612" s="49"/>
      <c r="BO612" s="49"/>
      <c r="BP612" s="49"/>
      <c r="BQ612" s="49"/>
      <c r="BR612" s="49"/>
      <c r="BS612" s="49"/>
      <c r="BT612" s="49"/>
      <c r="BU612" s="49"/>
      <c r="BV612" s="49"/>
      <c r="BW612" s="49"/>
      <c r="BX612" s="49"/>
      <c r="BY612" s="49"/>
      <c r="BZ612" s="49"/>
      <c r="CA612" s="49"/>
      <c r="CB612" s="49"/>
      <c r="CC612" s="49"/>
      <c r="CD612" s="49"/>
      <c r="CE612" s="49"/>
      <c r="CF612" s="49"/>
      <c r="CG612" s="49"/>
      <c r="CH612" s="49"/>
      <c r="CI612" s="49"/>
      <c r="CJ612" s="49"/>
      <c r="CK612" s="49"/>
      <c r="CL612" s="49"/>
      <c r="CM612" s="49"/>
      <c r="CN612" s="49"/>
      <c r="CO612" s="49"/>
      <c r="CP612" s="49"/>
      <c r="CQ612" s="49"/>
      <c r="CR612" s="49"/>
      <c r="CS612" s="49"/>
      <c r="CT612" s="49"/>
      <c r="CU612" s="49"/>
      <c r="CV612" s="49"/>
      <c r="CW612" s="49"/>
      <c r="CX612" s="49"/>
      <c r="CY612" s="49"/>
      <c r="CZ612" s="49"/>
      <c r="DA612" s="49"/>
      <c r="DB612" s="49"/>
      <c r="DC612" s="49"/>
      <c r="DD612" s="49"/>
      <c r="DE612" s="49"/>
      <c r="DF612" s="49"/>
      <c r="DG612" s="49"/>
      <c r="DH612" s="49"/>
      <c r="DI612" s="49"/>
      <c r="DJ612" s="49"/>
      <c r="DK612" s="49"/>
      <c r="DL612" s="49"/>
      <c r="DM612" s="49"/>
      <c r="DN612" s="49"/>
      <c r="DO612" s="49"/>
      <c r="DP612" s="49"/>
      <c r="AAA612" s="192"/>
      <c r="AAD612" s="90"/>
      <c r="AAE612" s="519" t="s">
        <v>21</v>
      </c>
      <c r="AAF612" s="190" t="s">
        <v>52</v>
      </c>
      <c r="AAG612" s="60"/>
      <c r="AAH612" s="60"/>
      <c r="AAI612" s="72"/>
      <c r="AAJ612" s="56"/>
      <c r="AAK612" s="56"/>
      <c r="AAL612" s="90"/>
      <c r="AAM612"/>
    </row>
    <row r="613" spans="1:715" s="23" customFormat="1" ht="18" customHeight="1" outlineLevel="1">
      <c r="A613" s="171"/>
      <c r="B613" s="795" t="s">
        <v>224</v>
      </c>
      <c r="C613" s="795"/>
      <c r="D613" s="795"/>
      <c r="E613" s="795"/>
      <c r="F613" s="795"/>
      <c r="G613" s="795"/>
      <c r="H613" s="795"/>
      <c r="I613" s="244"/>
      <c r="J613" s="195"/>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c r="CU613" s="47"/>
      <c r="CV613" s="47"/>
      <c r="CW613" s="47"/>
      <c r="CX613" s="47"/>
      <c r="CY613" s="47"/>
      <c r="CZ613" s="47"/>
      <c r="DA613" s="47"/>
      <c r="DB613" s="47"/>
      <c r="DC613" s="47"/>
      <c r="DD613" s="47"/>
      <c r="DE613" s="47"/>
      <c r="DF613" s="47"/>
      <c r="DG613" s="47"/>
      <c r="DH613" s="47"/>
      <c r="DI613" s="47"/>
      <c r="DJ613" s="47"/>
      <c r="DK613" s="47"/>
      <c r="DL613" s="47"/>
      <c r="DM613" s="47"/>
      <c r="DN613" s="47"/>
      <c r="DO613" s="47"/>
      <c r="DP613" s="47"/>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c r="IW613"/>
      <c r="IX613"/>
      <c r="IY613"/>
      <c r="IZ613"/>
      <c r="JA613"/>
      <c r="JB613"/>
      <c r="JC613"/>
      <c r="JD613"/>
      <c r="JE613"/>
      <c r="JF613"/>
      <c r="JG613"/>
      <c r="JH613"/>
      <c r="JI613"/>
      <c r="JJ613"/>
      <c r="JK613"/>
      <c r="JL613"/>
      <c r="JM613"/>
      <c r="JN613"/>
      <c r="JO613"/>
      <c r="JP613"/>
      <c r="JQ613"/>
      <c r="JR613"/>
      <c r="JS613"/>
      <c r="JT613"/>
      <c r="JU613"/>
      <c r="JV613"/>
      <c r="JW613"/>
      <c r="JX613"/>
      <c r="JY613"/>
      <c r="JZ613"/>
      <c r="KA613"/>
      <c r="KB613"/>
      <c r="KC613"/>
      <c r="KD613"/>
      <c r="KE613"/>
      <c r="KF613"/>
      <c r="KG613"/>
      <c r="KH613"/>
      <c r="KI613"/>
      <c r="KJ613"/>
      <c r="KK613"/>
      <c r="KL613"/>
      <c r="KM613"/>
      <c r="KN613"/>
      <c r="KO613"/>
      <c r="KP613"/>
      <c r="KQ613"/>
      <c r="KR613"/>
      <c r="KS613"/>
      <c r="KT613"/>
      <c r="KU613"/>
      <c r="KV613"/>
      <c r="KW613"/>
      <c r="KX613"/>
      <c r="KY613"/>
      <c r="KZ613"/>
      <c r="LA613"/>
      <c r="LB613"/>
      <c r="LC613"/>
      <c r="LD613"/>
      <c r="LE613"/>
      <c r="LF613"/>
      <c r="LG613"/>
      <c r="LH613"/>
      <c r="LI613"/>
      <c r="LJ613"/>
      <c r="LK613"/>
      <c r="LL613"/>
      <c r="LM613"/>
      <c r="LN613"/>
      <c r="LO613"/>
      <c r="LP613"/>
      <c r="LQ613"/>
      <c r="LR613"/>
      <c r="LS613"/>
      <c r="LT613"/>
      <c r="LU613"/>
      <c r="LV613"/>
      <c r="LW613"/>
      <c r="LX613"/>
      <c r="LY613"/>
      <c r="LZ613"/>
      <c r="MA613"/>
      <c r="MB613"/>
      <c r="MC613"/>
      <c r="MD613"/>
      <c r="ME613"/>
      <c r="MF613"/>
      <c r="MG613"/>
      <c r="MH613"/>
      <c r="MI613"/>
      <c r="MJ613"/>
      <c r="MK613"/>
      <c r="ML613"/>
      <c r="MM613"/>
      <c r="MN613"/>
      <c r="MO613"/>
      <c r="MP613"/>
      <c r="MQ613"/>
      <c r="MR613"/>
      <c r="MS613"/>
      <c r="MT613"/>
      <c r="MU613"/>
      <c r="MV613"/>
      <c r="MW613"/>
      <c r="MX613"/>
      <c r="MY613"/>
      <c r="MZ613"/>
      <c r="NA613"/>
      <c r="NB613"/>
      <c r="NC613"/>
      <c r="ND613"/>
      <c r="NE613"/>
      <c r="NF613"/>
      <c r="NG613"/>
      <c r="NH613"/>
      <c r="NI613"/>
      <c r="NJ613"/>
      <c r="NK613"/>
      <c r="NL613"/>
      <c r="NM613"/>
      <c r="NN613"/>
      <c r="NO613"/>
      <c r="NP613"/>
      <c r="NQ613"/>
      <c r="NR613"/>
      <c r="NS613"/>
      <c r="NT613"/>
      <c r="NU613"/>
      <c r="NV613"/>
      <c r="NW613"/>
      <c r="NX613"/>
      <c r="NY613"/>
      <c r="NZ613"/>
      <c r="OA613"/>
      <c r="OB613"/>
      <c r="OC613"/>
      <c r="OD613"/>
      <c r="OE613"/>
      <c r="OF613"/>
      <c r="OG613"/>
      <c r="OH613"/>
      <c r="OI613"/>
      <c r="OJ613"/>
      <c r="OK613"/>
      <c r="OL613"/>
      <c r="OM613"/>
      <c r="ON613"/>
      <c r="OO613"/>
      <c r="OP613"/>
      <c r="OQ613"/>
      <c r="OR613"/>
      <c r="OS613"/>
      <c r="OT613"/>
      <c r="OU613"/>
      <c r="OV613"/>
      <c r="OW613"/>
      <c r="OX613"/>
      <c r="OY613"/>
      <c r="OZ613"/>
      <c r="PA613"/>
      <c r="PB613"/>
      <c r="PC613"/>
      <c r="PD613"/>
      <c r="PE613"/>
      <c r="PF613"/>
      <c r="PG613"/>
      <c r="PH613"/>
      <c r="PI613"/>
      <c r="PJ613"/>
      <c r="PK613"/>
      <c r="PL613"/>
      <c r="PM613"/>
      <c r="PN613"/>
      <c r="PO613"/>
      <c r="PP613"/>
      <c r="PQ613"/>
      <c r="PR613"/>
      <c r="PS613"/>
      <c r="PT613"/>
      <c r="PU613"/>
      <c r="PV613"/>
      <c r="PW613"/>
      <c r="PX613"/>
      <c r="PY613"/>
      <c r="PZ613"/>
      <c r="QA613"/>
      <c r="QB613"/>
      <c r="QC613"/>
      <c r="QD613"/>
      <c r="QE613"/>
      <c r="QF613"/>
      <c r="QG613"/>
      <c r="QH613"/>
      <c r="QI613"/>
      <c r="QJ613"/>
      <c r="QK613"/>
      <c r="QL613"/>
      <c r="QM613"/>
      <c r="QN613"/>
      <c r="QO613"/>
      <c r="QP613"/>
      <c r="QQ613"/>
      <c r="QR613"/>
      <c r="QS613"/>
      <c r="QT613"/>
      <c r="QU613"/>
      <c r="QV613"/>
      <c r="QW613"/>
      <c r="QX613"/>
      <c r="QY613"/>
      <c r="QZ613"/>
      <c r="RA613"/>
      <c r="RB613"/>
      <c r="RC613"/>
      <c r="RD613"/>
      <c r="RE613"/>
      <c r="RF613"/>
      <c r="RG613"/>
      <c r="RH613"/>
      <c r="RI613"/>
      <c r="RJ613"/>
      <c r="RK613"/>
      <c r="RL613"/>
      <c r="RM613"/>
      <c r="RN613"/>
      <c r="RO613"/>
      <c r="RP613"/>
      <c r="RQ613"/>
      <c r="RR613"/>
      <c r="RS613"/>
      <c r="RT613"/>
      <c r="RU613"/>
      <c r="RV613"/>
      <c r="RW613"/>
      <c r="RX613"/>
      <c r="RY613"/>
      <c r="RZ613"/>
      <c r="SA613"/>
      <c r="SB613"/>
      <c r="SC613"/>
      <c r="SD613"/>
      <c r="SE613"/>
      <c r="SF613"/>
      <c r="SG613"/>
      <c r="SH613"/>
      <c r="SI613"/>
      <c r="SJ613"/>
      <c r="SK613"/>
      <c r="SL613"/>
      <c r="SM613"/>
      <c r="SN613"/>
      <c r="SO613"/>
      <c r="SP613"/>
      <c r="SQ613"/>
      <c r="SR613"/>
      <c r="SS613"/>
      <c r="ST613"/>
      <c r="SU613"/>
      <c r="SV613"/>
      <c r="SW613"/>
      <c r="SX613"/>
      <c r="SY613"/>
      <c r="SZ613"/>
      <c r="TA613"/>
      <c r="TB613"/>
      <c r="TC613"/>
      <c r="TD613"/>
      <c r="TE613"/>
      <c r="TF613"/>
      <c r="TG613"/>
      <c r="TH613"/>
      <c r="TI613"/>
      <c r="TJ613"/>
      <c r="TK613"/>
      <c r="TL613"/>
      <c r="TM613"/>
      <c r="TN613"/>
      <c r="TO613"/>
      <c r="TP613"/>
      <c r="TQ613"/>
      <c r="TR613"/>
      <c r="TS613"/>
      <c r="TT613"/>
      <c r="TU613"/>
      <c r="TV613"/>
      <c r="TW613"/>
      <c r="TX613"/>
      <c r="TY613"/>
      <c r="TZ613"/>
      <c r="UA613"/>
      <c r="UB613"/>
      <c r="UC613"/>
      <c r="UD613"/>
      <c r="UE613"/>
      <c r="UF613"/>
      <c r="UG613"/>
      <c r="UH613"/>
      <c r="UI613"/>
      <c r="UJ613"/>
      <c r="UK613"/>
      <c r="UL613"/>
      <c r="UM613"/>
      <c r="UN613"/>
      <c r="UO613"/>
      <c r="UP613"/>
      <c r="UQ613"/>
      <c r="UR613"/>
      <c r="US613"/>
      <c r="UT613"/>
      <c r="UU613"/>
      <c r="UV613"/>
      <c r="UW613"/>
      <c r="UX613"/>
      <c r="UY613"/>
      <c r="UZ613"/>
      <c r="VA613"/>
      <c r="VB613"/>
      <c r="VC613"/>
      <c r="VD613"/>
      <c r="VE613"/>
      <c r="VF613"/>
      <c r="VG613"/>
      <c r="VH613"/>
      <c r="VI613"/>
      <c r="VJ613"/>
      <c r="VK613"/>
      <c r="VL613"/>
      <c r="VM613"/>
      <c r="VN613"/>
      <c r="VO613"/>
      <c r="VP613"/>
      <c r="VQ613"/>
      <c r="VR613"/>
      <c r="VS613"/>
      <c r="VT613"/>
      <c r="VU613"/>
      <c r="VV613"/>
      <c r="VW613"/>
      <c r="VX613"/>
      <c r="VY613"/>
      <c r="VZ613"/>
      <c r="WA613"/>
      <c r="WB613"/>
      <c r="WC613"/>
      <c r="WD613"/>
      <c r="WE613"/>
      <c r="WF613"/>
      <c r="WG613"/>
      <c r="WH613"/>
      <c r="WI613"/>
      <c r="WJ613"/>
      <c r="WK613"/>
      <c r="WL613"/>
      <c r="WM613"/>
      <c r="WN613"/>
      <c r="WO613"/>
      <c r="WP613"/>
      <c r="WQ613"/>
      <c r="WR613"/>
      <c r="WS613"/>
      <c r="WT613"/>
      <c r="WU613"/>
      <c r="WV613"/>
      <c r="WW613"/>
      <c r="WX613"/>
      <c r="WY613"/>
      <c r="WZ613"/>
      <c r="XA613"/>
      <c r="XB613"/>
      <c r="XC613"/>
      <c r="XD613"/>
      <c r="XE613"/>
      <c r="XF613"/>
      <c r="XG613"/>
      <c r="XH613"/>
      <c r="XI613"/>
      <c r="XJ613"/>
      <c r="XK613"/>
      <c r="XL613"/>
      <c r="XM613"/>
      <c r="XN613"/>
      <c r="XO613"/>
      <c r="XP613"/>
      <c r="XQ613"/>
      <c r="XR613"/>
      <c r="XS613"/>
      <c r="XT613"/>
      <c r="XU613"/>
      <c r="XV613"/>
      <c r="XW613"/>
      <c r="XX613"/>
      <c r="XY613"/>
      <c r="XZ613"/>
      <c r="YA613"/>
      <c r="YB613"/>
      <c r="YC613"/>
      <c r="YD613"/>
      <c r="YE613"/>
      <c r="YF613"/>
      <c r="YG613"/>
      <c r="YH613"/>
      <c r="YI613"/>
      <c r="YJ613"/>
      <c r="YK613"/>
      <c r="YL613"/>
      <c r="YM613"/>
      <c r="YN613"/>
      <c r="YO613"/>
      <c r="YP613"/>
      <c r="YQ613"/>
      <c r="YR613"/>
      <c r="YS613"/>
      <c r="YT613"/>
      <c r="YU613"/>
      <c r="YV613"/>
      <c r="YW613"/>
      <c r="YX613"/>
      <c r="YY613"/>
      <c r="YZ613"/>
      <c r="ZA613"/>
      <c r="ZB613"/>
      <c r="ZC613"/>
      <c r="ZD613"/>
      <c r="ZE613"/>
      <c r="ZF613"/>
      <c r="ZG613"/>
      <c r="ZH613"/>
      <c r="ZI613"/>
      <c r="ZJ613"/>
      <c r="ZK613"/>
      <c r="ZL613"/>
      <c r="ZM613"/>
      <c r="ZN613"/>
      <c r="ZO613"/>
      <c r="ZP613"/>
      <c r="ZQ613"/>
      <c r="ZR613"/>
      <c r="ZS613"/>
      <c r="ZT613"/>
      <c r="ZU613"/>
      <c r="ZV613"/>
      <c r="ZW613"/>
      <c r="ZX613"/>
      <c r="ZY613"/>
      <c r="ZZ613" s="52"/>
      <c r="AAA613" s="192"/>
      <c r="AAB613"/>
      <c r="AAC613"/>
      <c r="AAD613" s="90"/>
      <c r="AAE613" s="519" t="s">
        <v>22</v>
      </c>
      <c r="AAF613" s="190" t="s">
        <v>52</v>
      </c>
      <c r="AAG613" s="90"/>
      <c r="AAH613" s="90"/>
      <c r="AAI613" s="72"/>
      <c r="AAJ613" s="81"/>
      <c r="AAK613" s="71"/>
      <c r="AAL613" s="90"/>
    </row>
    <row r="614" spans="1:715" s="23" customFormat="1" ht="14.25" customHeight="1" outlineLevel="1">
      <c r="A614" s="171"/>
      <c r="B614" s="141" t="s">
        <v>0</v>
      </c>
      <c r="C614" s="100" t="s">
        <v>0</v>
      </c>
      <c r="D614" s="237"/>
      <c r="E614" s="848" t="s">
        <v>225</v>
      </c>
      <c r="F614" s="848"/>
      <c r="G614" s="848" t="s">
        <v>12</v>
      </c>
      <c r="H614" s="848"/>
      <c r="I614" s="244"/>
      <c r="J614" s="195"/>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c r="CU614" s="47"/>
      <c r="CV614" s="47"/>
      <c r="CW614" s="47"/>
      <c r="CX614" s="47"/>
      <c r="CY614" s="47"/>
      <c r="CZ614" s="47"/>
      <c r="DA614" s="47"/>
      <c r="DB614" s="47"/>
      <c r="DC614" s="47"/>
      <c r="DD614" s="47"/>
      <c r="DE614" s="47"/>
      <c r="DF614" s="47"/>
      <c r="DG614" s="47"/>
      <c r="DH614" s="47"/>
      <c r="DI614" s="47"/>
      <c r="DJ614" s="47"/>
      <c r="DK614" s="47"/>
      <c r="DL614" s="47"/>
      <c r="DM614" s="47"/>
      <c r="DN614" s="47"/>
      <c r="DO614" s="47"/>
      <c r="DP614" s="47"/>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c r="IW614"/>
      <c r="IX614"/>
      <c r="IY614"/>
      <c r="IZ614"/>
      <c r="JA614"/>
      <c r="JB614"/>
      <c r="JC614"/>
      <c r="JD614"/>
      <c r="JE614"/>
      <c r="JF614"/>
      <c r="JG614"/>
      <c r="JH614"/>
      <c r="JI614"/>
      <c r="JJ614"/>
      <c r="JK614"/>
      <c r="JL614"/>
      <c r="JM614"/>
      <c r="JN614"/>
      <c r="JO614"/>
      <c r="JP614"/>
      <c r="JQ614"/>
      <c r="JR614"/>
      <c r="JS614"/>
      <c r="JT614"/>
      <c r="JU614"/>
      <c r="JV614"/>
      <c r="JW614"/>
      <c r="JX614"/>
      <c r="JY614"/>
      <c r="JZ614"/>
      <c r="KA614"/>
      <c r="KB614"/>
      <c r="KC614"/>
      <c r="KD614"/>
      <c r="KE614"/>
      <c r="KF614"/>
      <c r="KG614"/>
      <c r="KH614"/>
      <c r="KI614"/>
      <c r="KJ614"/>
      <c r="KK614"/>
      <c r="KL614"/>
      <c r="KM614"/>
      <c r="KN614"/>
      <c r="KO614"/>
      <c r="KP614"/>
      <c r="KQ614"/>
      <c r="KR614"/>
      <c r="KS614"/>
      <c r="KT614"/>
      <c r="KU614"/>
      <c r="KV614"/>
      <c r="KW614"/>
      <c r="KX614"/>
      <c r="KY614"/>
      <c r="KZ614"/>
      <c r="LA614"/>
      <c r="LB614"/>
      <c r="LC614"/>
      <c r="LD614"/>
      <c r="LE614"/>
      <c r="LF614"/>
      <c r="LG614"/>
      <c r="LH614"/>
      <c r="LI614"/>
      <c r="LJ614"/>
      <c r="LK614"/>
      <c r="LL614"/>
      <c r="LM614"/>
      <c r="LN614"/>
      <c r="LO614"/>
      <c r="LP614"/>
      <c r="LQ614"/>
      <c r="LR614"/>
      <c r="LS614"/>
      <c r="LT614"/>
      <c r="LU614"/>
      <c r="LV614"/>
      <c r="LW614"/>
      <c r="LX614"/>
      <c r="LY614"/>
      <c r="LZ614"/>
      <c r="MA614"/>
      <c r="MB614"/>
      <c r="MC614"/>
      <c r="MD614"/>
      <c r="ME614"/>
      <c r="MF614"/>
      <c r="MG614"/>
      <c r="MH614"/>
      <c r="MI614"/>
      <c r="MJ614"/>
      <c r="MK614"/>
      <c r="ML614"/>
      <c r="MM614"/>
      <c r="MN614"/>
      <c r="MO614"/>
      <c r="MP614"/>
      <c r="MQ614"/>
      <c r="MR614"/>
      <c r="MS614"/>
      <c r="MT614"/>
      <c r="MU614"/>
      <c r="MV614"/>
      <c r="MW614"/>
      <c r="MX614"/>
      <c r="MY614"/>
      <c r="MZ614"/>
      <c r="NA614"/>
      <c r="NB614"/>
      <c r="NC614"/>
      <c r="ND614"/>
      <c r="NE614"/>
      <c r="NF614"/>
      <c r="NG614"/>
      <c r="NH614"/>
      <c r="NI614"/>
      <c r="NJ614"/>
      <c r="NK614"/>
      <c r="NL614"/>
      <c r="NM614"/>
      <c r="NN614"/>
      <c r="NO614"/>
      <c r="NP614"/>
      <c r="NQ614"/>
      <c r="NR614"/>
      <c r="NS614"/>
      <c r="NT614"/>
      <c r="NU614"/>
      <c r="NV614"/>
      <c r="NW614"/>
      <c r="NX614"/>
      <c r="NY614"/>
      <c r="NZ614"/>
      <c r="OA614"/>
      <c r="OB614"/>
      <c r="OC614"/>
      <c r="OD614"/>
      <c r="OE614"/>
      <c r="OF614"/>
      <c r="OG614"/>
      <c r="OH614"/>
      <c r="OI614"/>
      <c r="OJ614"/>
      <c r="OK614"/>
      <c r="OL614"/>
      <c r="OM614"/>
      <c r="ON614"/>
      <c r="OO614"/>
      <c r="OP614"/>
      <c r="OQ614"/>
      <c r="OR614"/>
      <c r="OS614"/>
      <c r="OT614"/>
      <c r="OU614"/>
      <c r="OV614"/>
      <c r="OW614"/>
      <c r="OX614"/>
      <c r="OY614"/>
      <c r="OZ614"/>
      <c r="PA614"/>
      <c r="PB614"/>
      <c r="PC614"/>
      <c r="PD614"/>
      <c r="PE614"/>
      <c r="PF614"/>
      <c r="PG614"/>
      <c r="PH614"/>
      <c r="PI614"/>
      <c r="PJ614"/>
      <c r="PK614"/>
      <c r="PL614"/>
      <c r="PM614"/>
      <c r="PN614"/>
      <c r="PO614"/>
      <c r="PP614"/>
      <c r="PQ614"/>
      <c r="PR614"/>
      <c r="PS614"/>
      <c r="PT614"/>
      <c r="PU614"/>
      <c r="PV614"/>
      <c r="PW614"/>
      <c r="PX614"/>
      <c r="PY614"/>
      <c r="PZ614"/>
      <c r="QA614"/>
      <c r="QB614"/>
      <c r="QC614"/>
      <c r="QD614"/>
      <c r="QE614"/>
      <c r="QF614"/>
      <c r="QG614"/>
      <c r="QH614"/>
      <c r="QI614"/>
      <c r="QJ614"/>
      <c r="QK614"/>
      <c r="QL614"/>
      <c r="QM614"/>
      <c r="QN614"/>
      <c r="QO614"/>
      <c r="QP614"/>
      <c r="QQ614"/>
      <c r="QR614"/>
      <c r="QS614"/>
      <c r="QT614"/>
      <c r="QU614"/>
      <c r="QV614"/>
      <c r="QW614"/>
      <c r="QX614"/>
      <c r="QY614"/>
      <c r="QZ614"/>
      <c r="RA614"/>
      <c r="RB614"/>
      <c r="RC614"/>
      <c r="RD614"/>
      <c r="RE614"/>
      <c r="RF614"/>
      <c r="RG614"/>
      <c r="RH614"/>
      <c r="RI614"/>
      <c r="RJ614"/>
      <c r="RK614"/>
      <c r="RL614"/>
      <c r="RM614"/>
      <c r="RN614"/>
      <c r="RO614"/>
      <c r="RP614"/>
      <c r="RQ614"/>
      <c r="RR614"/>
      <c r="RS614"/>
      <c r="RT614"/>
      <c r="RU614"/>
      <c r="RV614"/>
      <c r="RW614"/>
      <c r="RX614"/>
      <c r="RY614"/>
      <c r="RZ614"/>
      <c r="SA614"/>
      <c r="SB614"/>
      <c r="SC614"/>
      <c r="SD614"/>
      <c r="SE614"/>
      <c r="SF614"/>
      <c r="SG614"/>
      <c r="SH614"/>
      <c r="SI614"/>
      <c r="SJ614"/>
      <c r="SK614"/>
      <c r="SL614"/>
      <c r="SM614"/>
      <c r="SN614"/>
      <c r="SO614"/>
      <c r="SP614"/>
      <c r="SQ614"/>
      <c r="SR614"/>
      <c r="SS614"/>
      <c r="ST614"/>
      <c r="SU614"/>
      <c r="SV614"/>
      <c r="SW614"/>
      <c r="SX614"/>
      <c r="SY614"/>
      <c r="SZ614"/>
      <c r="TA614"/>
      <c r="TB614"/>
      <c r="TC614"/>
      <c r="TD614"/>
      <c r="TE614"/>
      <c r="TF614"/>
      <c r="TG614"/>
      <c r="TH614"/>
      <c r="TI614"/>
      <c r="TJ614"/>
      <c r="TK614"/>
      <c r="TL614"/>
      <c r="TM614"/>
      <c r="TN614"/>
      <c r="TO614"/>
      <c r="TP614"/>
      <c r="TQ614"/>
      <c r="TR614"/>
      <c r="TS614"/>
      <c r="TT614"/>
      <c r="TU614"/>
      <c r="TV614"/>
      <c r="TW614"/>
      <c r="TX614"/>
      <c r="TY614"/>
      <c r="TZ614"/>
      <c r="UA614"/>
      <c r="UB614"/>
      <c r="UC614"/>
      <c r="UD614"/>
      <c r="UE614"/>
      <c r="UF614"/>
      <c r="UG614"/>
      <c r="UH614"/>
      <c r="UI614"/>
      <c r="UJ614"/>
      <c r="UK614"/>
      <c r="UL614"/>
      <c r="UM614"/>
      <c r="UN614"/>
      <c r="UO614"/>
      <c r="UP614"/>
      <c r="UQ614"/>
      <c r="UR614"/>
      <c r="US614"/>
      <c r="UT614"/>
      <c r="UU614"/>
      <c r="UV614"/>
      <c r="UW614"/>
      <c r="UX614"/>
      <c r="UY614"/>
      <c r="UZ614"/>
      <c r="VA614"/>
      <c r="VB614"/>
      <c r="VC614"/>
      <c r="VD614"/>
      <c r="VE614"/>
      <c r="VF614"/>
      <c r="VG614"/>
      <c r="VH614"/>
      <c r="VI614"/>
      <c r="VJ614"/>
      <c r="VK614"/>
      <c r="VL614"/>
      <c r="VM614"/>
      <c r="VN614"/>
      <c r="VO614"/>
      <c r="VP614"/>
      <c r="VQ614"/>
      <c r="VR614"/>
      <c r="VS614"/>
      <c r="VT614"/>
      <c r="VU614"/>
      <c r="VV614"/>
      <c r="VW614"/>
      <c r="VX614"/>
      <c r="VY614"/>
      <c r="VZ614"/>
      <c r="WA614"/>
      <c r="WB614"/>
      <c r="WC614"/>
      <c r="WD614"/>
      <c r="WE614"/>
      <c r="WF614"/>
      <c r="WG614"/>
      <c r="WH614"/>
      <c r="WI614"/>
      <c r="WJ614"/>
      <c r="WK614"/>
      <c r="WL614"/>
      <c r="WM614"/>
      <c r="WN614"/>
      <c r="WO614"/>
      <c r="WP614"/>
      <c r="WQ614"/>
      <c r="WR614"/>
      <c r="WS614"/>
      <c r="WT614"/>
      <c r="WU614"/>
      <c r="WV614"/>
      <c r="WW614"/>
      <c r="WX614"/>
      <c r="WY614"/>
      <c r="WZ614"/>
      <c r="XA614"/>
      <c r="XB614"/>
      <c r="XC614"/>
      <c r="XD614"/>
      <c r="XE614"/>
      <c r="XF614"/>
      <c r="XG614"/>
      <c r="XH614"/>
      <c r="XI614"/>
      <c r="XJ614"/>
      <c r="XK614"/>
      <c r="XL614"/>
      <c r="XM614"/>
      <c r="XN614"/>
      <c r="XO614"/>
      <c r="XP614"/>
      <c r="XQ614"/>
      <c r="XR614"/>
      <c r="XS614"/>
      <c r="XT614"/>
      <c r="XU614"/>
      <c r="XV614"/>
      <c r="XW614"/>
      <c r="XX614"/>
      <c r="XY614"/>
      <c r="XZ614"/>
      <c r="YA614"/>
      <c r="YB614"/>
      <c r="YC614"/>
      <c r="YD614"/>
      <c r="YE614"/>
      <c r="YF614"/>
      <c r="YG614"/>
      <c r="YH614"/>
      <c r="YI614"/>
      <c r="YJ614"/>
      <c r="YK614"/>
      <c r="YL614"/>
      <c r="YM614"/>
      <c r="YN614"/>
      <c r="YO614"/>
      <c r="YP614"/>
      <c r="YQ614"/>
      <c r="YR614"/>
      <c r="YS614"/>
      <c r="YT614"/>
      <c r="YU614"/>
      <c r="YV614"/>
      <c r="YW614"/>
      <c r="YX614"/>
      <c r="YY614"/>
      <c r="YZ614"/>
      <c r="ZA614"/>
      <c r="ZB614"/>
      <c r="ZC614"/>
      <c r="ZD614"/>
      <c r="ZE614"/>
      <c r="ZF614"/>
      <c r="ZG614"/>
      <c r="ZH614"/>
      <c r="ZI614"/>
      <c r="ZJ614"/>
      <c r="ZK614"/>
      <c r="ZL614"/>
      <c r="ZM614"/>
      <c r="ZN614"/>
      <c r="ZO614"/>
      <c r="ZP614"/>
      <c r="ZQ614"/>
      <c r="ZR614"/>
      <c r="ZS614"/>
      <c r="ZT614"/>
      <c r="ZU614"/>
      <c r="ZV614"/>
      <c r="ZW614"/>
      <c r="ZX614"/>
      <c r="ZY614"/>
      <c r="ZZ614" s="52"/>
      <c r="AAA614" s="192"/>
      <c r="AAD614" s="90"/>
      <c r="AAE614" s="519" t="s">
        <v>63</v>
      </c>
      <c r="AAF614" s="190" t="s">
        <v>52</v>
      </c>
      <c r="AAG614" s="90"/>
      <c r="AAH614" s="90"/>
      <c r="AAI614" s="72"/>
      <c r="AAJ614" s="81"/>
      <c r="AAK614" s="71"/>
      <c r="AAL614" s="90"/>
    </row>
    <row r="615" spans="1:715" s="552" customFormat="1" ht="24" customHeight="1" outlineLevel="1">
      <c r="A615" s="545"/>
      <c r="B615" s="686" t="str">
        <f>S.General.RulemakingTitle</f>
        <v>Incorporate Lane Regional Air Protection Agency Rules into State Implementation Plan</v>
      </c>
      <c r="C615" s="547" t="s">
        <v>0</v>
      </c>
      <c r="D615" s="547"/>
      <c r="E615" s="559" t="s">
        <v>228</v>
      </c>
      <c r="F615" s="560" t="s">
        <v>226</v>
      </c>
      <c r="G615" s="548" t="s">
        <v>61</v>
      </c>
      <c r="H615" s="548" t="s">
        <v>227</v>
      </c>
      <c r="I615" s="549"/>
      <c r="J615" s="550"/>
      <c r="K615" s="551"/>
      <c r="L615" s="551"/>
      <c r="M615" s="551"/>
      <c r="N615" s="551"/>
      <c r="O615" s="551"/>
      <c r="P615" s="551"/>
      <c r="Q615" s="551"/>
      <c r="R615" s="551"/>
      <c r="S615" s="551"/>
      <c r="T615" s="551"/>
      <c r="U615" s="551"/>
      <c r="V615" s="551"/>
      <c r="W615" s="551"/>
      <c r="X615" s="551"/>
      <c r="Y615" s="551"/>
      <c r="Z615" s="551"/>
      <c r="AA615" s="551"/>
      <c r="AB615" s="551"/>
      <c r="AC615" s="551"/>
      <c r="AD615" s="551"/>
      <c r="AE615" s="551"/>
      <c r="AF615" s="551"/>
      <c r="AG615" s="551"/>
      <c r="AH615" s="551"/>
      <c r="AI615" s="551"/>
      <c r="AJ615" s="551"/>
      <c r="AK615" s="551"/>
      <c r="AL615" s="551"/>
      <c r="AM615" s="551"/>
      <c r="AN615" s="551"/>
      <c r="AO615" s="551"/>
      <c r="AP615" s="551"/>
      <c r="AQ615" s="551"/>
      <c r="AR615" s="551"/>
      <c r="AS615" s="551"/>
      <c r="AT615" s="551"/>
      <c r="AU615" s="551"/>
      <c r="AV615" s="551"/>
      <c r="AW615" s="551"/>
      <c r="AX615" s="551"/>
      <c r="AY615" s="551"/>
      <c r="AZ615" s="551"/>
      <c r="BA615" s="551"/>
      <c r="BB615" s="551"/>
      <c r="BC615" s="551"/>
      <c r="BD615" s="551"/>
      <c r="BE615" s="551"/>
      <c r="BF615" s="551"/>
      <c r="BG615" s="551"/>
      <c r="BH615" s="551"/>
      <c r="BI615" s="551"/>
      <c r="BJ615" s="551"/>
      <c r="BK615" s="551"/>
      <c r="BL615" s="551"/>
      <c r="BM615" s="551"/>
      <c r="BN615" s="551"/>
      <c r="BO615" s="551"/>
      <c r="BP615" s="551"/>
      <c r="BQ615" s="551"/>
      <c r="BR615" s="551"/>
      <c r="BS615" s="551"/>
      <c r="BT615" s="551"/>
      <c r="BU615" s="551"/>
      <c r="BV615" s="551"/>
      <c r="BW615" s="551"/>
      <c r="BX615" s="551"/>
      <c r="BY615" s="551"/>
      <c r="BZ615" s="551"/>
      <c r="CA615" s="551"/>
      <c r="CB615" s="551"/>
      <c r="CC615" s="551"/>
      <c r="CD615" s="551"/>
      <c r="CE615" s="551"/>
      <c r="CF615" s="551"/>
      <c r="CG615" s="551"/>
      <c r="CH615" s="551"/>
      <c r="CI615" s="551"/>
      <c r="CJ615" s="551"/>
      <c r="CK615" s="551"/>
      <c r="CL615" s="551"/>
      <c r="CM615" s="551"/>
      <c r="CN615" s="551"/>
      <c r="CO615" s="551"/>
      <c r="CP615" s="551"/>
      <c r="CQ615" s="551"/>
      <c r="CR615" s="551"/>
      <c r="CS615" s="551"/>
      <c r="CT615" s="551"/>
      <c r="CU615" s="551"/>
      <c r="CV615" s="551"/>
      <c r="CW615" s="551"/>
      <c r="CX615" s="551"/>
      <c r="CY615" s="551"/>
      <c r="CZ615" s="551"/>
      <c r="DA615" s="551"/>
      <c r="DB615" s="551"/>
      <c r="DC615" s="551"/>
      <c r="DD615" s="551"/>
      <c r="DE615" s="551"/>
      <c r="DF615" s="551"/>
      <c r="DG615" s="551"/>
      <c r="DH615" s="551"/>
      <c r="DI615" s="551"/>
      <c r="DJ615" s="551"/>
      <c r="DK615" s="551"/>
      <c r="DL615" s="551"/>
      <c r="DM615" s="551"/>
      <c r="DN615" s="551"/>
      <c r="DO615" s="551"/>
      <c r="DP615" s="551"/>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c r="IW615"/>
      <c r="IX615"/>
      <c r="IY615"/>
      <c r="IZ615"/>
      <c r="JA615"/>
      <c r="JB615"/>
      <c r="JC615"/>
      <c r="JD615"/>
      <c r="JE615"/>
      <c r="JF615"/>
      <c r="JG615"/>
      <c r="JH615"/>
      <c r="JI615"/>
      <c r="JJ615"/>
      <c r="JK615"/>
      <c r="JL615"/>
      <c r="JM615"/>
      <c r="JN615"/>
      <c r="JO615"/>
      <c r="JP615"/>
      <c r="JQ615"/>
      <c r="JR615"/>
      <c r="JS615"/>
      <c r="JT615"/>
      <c r="JU615"/>
      <c r="JV615"/>
      <c r="JW615"/>
      <c r="JX615"/>
      <c r="JY615"/>
      <c r="JZ615"/>
      <c r="KA615"/>
      <c r="KB615"/>
      <c r="KC615"/>
      <c r="KD615"/>
      <c r="KE615"/>
      <c r="KF615"/>
      <c r="KG615"/>
      <c r="KH615"/>
      <c r="KI615"/>
      <c r="KJ615"/>
      <c r="KK615"/>
      <c r="KL615"/>
      <c r="KM615"/>
      <c r="KN615"/>
      <c r="KO615"/>
      <c r="KP615"/>
      <c r="KQ615"/>
      <c r="KR615"/>
      <c r="KS615"/>
      <c r="KT615"/>
      <c r="KU615"/>
      <c r="KV615"/>
      <c r="KW615"/>
      <c r="KX615"/>
      <c r="KY615"/>
      <c r="KZ615"/>
      <c r="LA615"/>
      <c r="LB615"/>
      <c r="LC615"/>
      <c r="LD615"/>
      <c r="LE615"/>
      <c r="LF615"/>
      <c r="LG615"/>
      <c r="LH615"/>
      <c r="LI615"/>
      <c r="LJ615"/>
      <c r="LK615"/>
      <c r="LL615"/>
      <c r="LM615"/>
      <c r="LN615"/>
      <c r="LO615"/>
      <c r="LP615"/>
      <c r="LQ615"/>
      <c r="LR615"/>
      <c r="LS615"/>
      <c r="LT615"/>
      <c r="LU615"/>
      <c r="LV615"/>
      <c r="LW615"/>
      <c r="LX615"/>
      <c r="LY615"/>
      <c r="LZ615"/>
      <c r="MA615"/>
      <c r="MB615"/>
      <c r="MC615"/>
      <c r="MD615"/>
      <c r="ME615"/>
      <c r="MF615"/>
      <c r="MG615"/>
      <c r="MH615"/>
      <c r="MI615"/>
      <c r="MJ615"/>
      <c r="MK615"/>
      <c r="ML615"/>
      <c r="MM615"/>
      <c r="MN615"/>
      <c r="MO615"/>
      <c r="MP615"/>
      <c r="MQ615"/>
      <c r="MR615"/>
      <c r="MS615"/>
      <c r="MT615"/>
      <c r="MU615"/>
      <c r="MV615"/>
      <c r="MW615"/>
      <c r="MX615"/>
      <c r="MY615"/>
      <c r="MZ615"/>
      <c r="NA615"/>
      <c r="NB615"/>
      <c r="NC615"/>
      <c r="ND615"/>
      <c r="NE615"/>
      <c r="NF615"/>
      <c r="NG615"/>
      <c r="NH615"/>
      <c r="NI615"/>
      <c r="NJ615"/>
      <c r="NK615"/>
      <c r="NL615"/>
      <c r="NM615"/>
      <c r="NN615"/>
      <c r="NO615"/>
      <c r="NP615"/>
      <c r="NQ615"/>
      <c r="NR615"/>
      <c r="NS615"/>
      <c r="NT615"/>
      <c r="NU615"/>
      <c r="NV615"/>
      <c r="NW615"/>
      <c r="NX615"/>
      <c r="NY615"/>
      <c r="NZ615"/>
      <c r="OA615"/>
      <c r="OB615"/>
      <c r="OC615"/>
      <c r="OD615"/>
      <c r="OE615"/>
      <c r="OF615"/>
      <c r="OG615"/>
      <c r="OH615"/>
      <c r="OI615"/>
      <c r="OJ615"/>
      <c r="OK615"/>
      <c r="OL615"/>
      <c r="OM615"/>
      <c r="ON615"/>
      <c r="OO615"/>
      <c r="OP615"/>
      <c r="OQ615"/>
      <c r="OR615"/>
      <c r="OS615"/>
      <c r="OT615"/>
      <c r="OU615"/>
      <c r="OV615"/>
      <c r="OW615"/>
      <c r="OX615"/>
      <c r="OY615"/>
      <c r="OZ615"/>
      <c r="PA615"/>
      <c r="PB615"/>
      <c r="PC615"/>
      <c r="PD615"/>
      <c r="PE615"/>
      <c r="PF615"/>
      <c r="PG615"/>
      <c r="PH615"/>
      <c r="PI615"/>
      <c r="PJ615"/>
      <c r="PK615"/>
      <c r="PL615"/>
      <c r="PM615"/>
      <c r="PN615"/>
      <c r="PO615"/>
      <c r="PP615"/>
      <c r="PQ615"/>
      <c r="PR615"/>
      <c r="PS615"/>
      <c r="PT615"/>
      <c r="PU615"/>
      <c r="PV615"/>
      <c r="PW615"/>
      <c r="PX615"/>
      <c r="PY615"/>
      <c r="PZ615"/>
      <c r="QA615"/>
      <c r="QB615"/>
      <c r="QC615"/>
      <c r="QD615"/>
      <c r="QE615"/>
      <c r="QF615"/>
      <c r="QG615"/>
      <c r="QH615"/>
      <c r="QI615"/>
      <c r="QJ615"/>
      <c r="QK615"/>
      <c r="QL615"/>
      <c r="QM615"/>
      <c r="QN615"/>
      <c r="QO615"/>
      <c r="QP615"/>
      <c r="QQ615"/>
      <c r="QR615"/>
      <c r="QS615"/>
      <c r="QT615"/>
      <c r="QU615"/>
      <c r="QV615"/>
      <c r="QW615"/>
      <c r="QX615"/>
      <c r="QY615"/>
      <c r="QZ615"/>
      <c r="RA615"/>
      <c r="RB615"/>
      <c r="RC615"/>
      <c r="RD615"/>
      <c r="RE615"/>
      <c r="RF615"/>
      <c r="RG615"/>
      <c r="RH615"/>
      <c r="RI615"/>
      <c r="RJ615"/>
      <c r="RK615"/>
      <c r="RL615"/>
      <c r="RM615"/>
      <c r="RN615"/>
      <c r="RO615"/>
      <c r="RP615"/>
      <c r="RQ615"/>
      <c r="RR615"/>
      <c r="RS615"/>
      <c r="RT615"/>
      <c r="RU615"/>
      <c r="RV615"/>
      <c r="RW615"/>
      <c r="RX615"/>
      <c r="RY615"/>
      <c r="RZ615"/>
      <c r="SA615"/>
      <c r="SB615"/>
      <c r="SC615"/>
      <c r="SD615"/>
      <c r="SE615"/>
      <c r="SF615"/>
      <c r="SG615"/>
      <c r="SH615"/>
      <c r="SI615"/>
      <c r="SJ615"/>
      <c r="SK615"/>
      <c r="SL615"/>
      <c r="SM615"/>
      <c r="SN615"/>
      <c r="SO615"/>
      <c r="SP615"/>
      <c r="SQ615"/>
      <c r="SR615"/>
      <c r="SS615"/>
      <c r="ST615"/>
      <c r="SU615"/>
      <c r="SV615"/>
      <c r="SW615"/>
      <c r="SX615"/>
      <c r="SY615"/>
      <c r="SZ615"/>
      <c r="TA615"/>
      <c r="TB615"/>
      <c r="TC615"/>
      <c r="TD615"/>
      <c r="TE615"/>
      <c r="TF615"/>
      <c r="TG615"/>
      <c r="TH615"/>
      <c r="TI615"/>
      <c r="TJ615"/>
      <c r="TK615"/>
      <c r="TL615"/>
      <c r="TM615"/>
      <c r="TN615"/>
      <c r="TO615"/>
      <c r="TP615"/>
      <c r="TQ615"/>
      <c r="TR615"/>
      <c r="TS615"/>
      <c r="TT615"/>
      <c r="TU615"/>
      <c r="TV615"/>
      <c r="TW615"/>
      <c r="TX615"/>
      <c r="TY615"/>
      <c r="TZ615"/>
      <c r="UA615"/>
      <c r="UB615"/>
      <c r="UC615"/>
      <c r="UD615"/>
      <c r="UE615"/>
      <c r="UF615"/>
      <c r="UG615"/>
      <c r="UH615"/>
      <c r="UI615"/>
      <c r="UJ615"/>
      <c r="UK615"/>
      <c r="UL615"/>
      <c r="UM615"/>
      <c r="UN615"/>
      <c r="UO615"/>
      <c r="UP615"/>
      <c r="UQ615"/>
      <c r="UR615"/>
      <c r="US615"/>
      <c r="UT615"/>
      <c r="UU615"/>
      <c r="UV615"/>
      <c r="UW615"/>
      <c r="UX615"/>
      <c r="UY615"/>
      <c r="UZ615"/>
      <c r="VA615"/>
      <c r="VB615"/>
      <c r="VC615"/>
      <c r="VD615"/>
      <c r="VE615"/>
      <c r="VF615"/>
      <c r="VG615"/>
      <c r="VH615"/>
      <c r="VI615"/>
      <c r="VJ615"/>
      <c r="VK615"/>
      <c r="VL615"/>
      <c r="VM615"/>
      <c r="VN615"/>
      <c r="VO615"/>
      <c r="VP615"/>
      <c r="VQ615"/>
      <c r="VR615"/>
      <c r="VS615"/>
      <c r="VT615"/>
      <c r="VU615"/>
      <c r="VV615"/>
      <c r="VW615"/>
      <c r="VX615"/>
      <c r="VY615"/>
      <c r="VZ615"/>
      <c r="WA615"/>
      <c r="WB615"/>
      <c r="WC615"/>
      <c r="WD615"/>
      <c r="WE615"/>
      <c r="WF615"/>
      <c r="WG615"/>
      <c r="WH615"/>
      <c r="WI615"/>
      <c r="WJ615"/>
      <c r="WK615"/>
      <c r="WL615"/>
      <c r="WM615"/>
      <c r="WN615"/>
      <c r="WO615"/>
      <c r="WP615"/>
      <c r="WQ615"/>
      <c r="WR615"/>
      <c r="WS615"/>
      <c r="WT615"/>
      <c r="WU615"/>
      <c r="WV615"/>
      <c r="WW615"/>
      <c r="WX615"/>
      <c r="WY615"/>
      <c r="WZ615"/>
      <c r="XA615"/>
      <c r="XB615"/>
      <c r="XC615"/>
      <c r="XD615"/>
      <c r="XE615"/>
      <c r="XF615"/>
      <c r="XG615"/>
      <c r="XH615"/>
      <c r="XI615"/>
      <c r="XJ615"/>
      <c r="XK615"/>
      <c r="XL615"/>
      <c r="XM615"/>
      <c r="XN615"/>
      <c r="XO615"/>
      <c r="XP615"/>
      <c r="XQ615"/>
      <c r="XR615"/>
      <c r="XS615"/>
      <c r="XT615"/>
      <c r="XU615"/>
      <c r="XV615"/>
      <c r="XW615"/>
      <c r="XX615"/>
      <c r="XY615"/>
      <c r="XZ615"/>
      <c r="YA615"/>
      <c r="YB615"/>
      <c r="YC615"/>
      <c r="YD615"/>
      <c r="YE615"/>
      <c r="YF615"/>
      <c r="YG615"/>
      <c r="YH615"/>
      <c r="YI615"/>
      <c r="YJ615"/>
      <c r="YK615"/>
      <c r="YL615"/>
      <c r="YM615"/>
      <c r="YN615"/>
      <c r="YO615"/>
      <c r="YP615"/>
      <c r="YQ615"/>
      <c r="YR615"/>
      <c r="YS615"/>
      <c r="YT615"/>
      <c r="YU615"/>
      <c r="YV615"/>
      <c r="YW615"/>
      <c r="YX615"/>
      <c r="YY615"/>
      <c r="YZ615"/>
      <c r="ZA615"/>
      <c r="ZB615"/>
      <c r="ZC615"/>
      <c r="ZD615"/>
      <c r="ZE615"/>
      <c r="ZF615"/>
      <c r="ZG615"/>
      <c r="ZH615"/>
      <c r="ZI615"/>
      <c r="ZJ615"/>
      <c r="ZK615"/>
      <c r="ZL615"/>
      <c r="ZM615"/>
      <c r="ZN615"/>
      <c r="ZO615"/>
      <c r="ZP615"/>
      <c r="ZQ615"/>
      <c r="ZR615"/>
      <c r="ZS615"/>
      <c r="ZT615"/>
      <c r="ZU615"/>
      <c r="ZV615"/>
      <c r="ZW615"/>
      <c r="ZX615"/>
      <c r="ZY615"/>
      <c r="ZZ615" s="52"/>
      <c r="AAA615" s="770"/>
      <c r="AAD615" s="553"/>
      <c r="AAE615" s="554" t="s">
        <v>63</v>
      </c>
      <c r="AAF615" s="555" t="s">
        <v>52</v>
      </c>
      <c r="AAG615" s="553"/>
      <c r="AAH615" s="553"/>
      <c r="AAI615" s="556"/>
      <c r="AAJ615" s="557"/>
      <c r="AAK615" s="558"/>
      <c r="AAL615" s="553"/>
    </row>
    <row r="616" spans="1:715" ht="18" customHeight="1" outlineLevel="1">
      <c r="A616" s="171"/>
      <c r="B616" s="127" t="s">
        <v>12</v>
      </c>
      <c r="C616" s="129"/>
      <c r="D616" s="128"/>
      <c r="E616" s="140"/>
      <c r="F616" s="162">
        <f>NETWORKDAYS(S.EQC.BANNER.Begin,S.EQC.BANNER.End,S.DDL_DEQClosed)</f>
        <v>98</v>
      </c>
      <c r="G616" s="247">
        <f>AAG616</f>
        <v>41572</v>
      </c>
      <c r="H616" s="142">
        <f>AAH616</f>
        <v>41717</v>
      </c>
      <c r="I616" s="244"/>
      <c r="J616" s="216"/>
      <c r="K616" s="219"/>
      <c r="L616" s="219"/>
      <c r="M616" s="219"/>
      <c r="N616" s="219"/>
      <c r="O616" s="219"/>
      <c r="P616" s="219"/>
      <c r="Q616" s="219"/>
      <c r="R616" s="219"/>
      <c r="S616" s="219"/>
      <c r="T616" s="219"/>
      <c r="U616" s="219"/>
      <c r="V616" s="219"/>
      <c r="W616" s="219"/>
      <c r="X616" s="219"/>
      <c r="Y616" s="219"/>
      <c r="Z616" s="219"/>
      <c r="AA616" s="219"/>
      <c r="AB616" s="219"/>
      <c r="AC616" s="219"/>
      <c r="AD616" s="219"/>
      <c r="AE616" s="219"/>
      <c r="AF616" s="219"/>
      <c r="AG616" s="219"/>
      <c r="AH616" s="219"/>
      <c r="AI616" s="219"/>
      <c r="AJ616" s="219"/>
      <c r="AK616" s="219"/>
      <c r="AL616" s="219"/>
      <c r="AM616" s="219"/>
      <c r="AN616" s="219"/>
      <c r="AO616" s="219"/>
      <c r="AP616" s="219"/>
      <c r="AQ616" s="219"/>
      <c r="AR616" s="219"/>
      <c r="AS616" s="219"/>
      <c r="AT616" s="219"/>
      <c r="AU616" s="219"/>
      <c r="AV616" s="219"/>
      <c r="AW616" s="219"/>
      <c r="AX616" s="219"/>
      <c r="AY616" s="219"/>
      <c r="AZ616" s="219"/>
      <c r="BA616" s="219"/>
      <c r="BB616" s="219"/>
      <c r="BC616" s="219"/>
      <c r="BD616" s="219"/>
      <c r="BE616" s="219"/>
      <c r="BF616" s="219"/>
      <c r="BG616" s="219"/>
      <c r="BH616" s="219"/>
      <c r="BI616" s="219"/>
      <c r="BJ616" s="219"/>
      <c r="BK616" s="219"/>
      <c r="BL616" s="219"/>
      <c r="BM616" s="219"/>
      <c r="BN616" s="219"/>
      <c r="BO616" s="219"/>
      <c r="BP616" s="219"/>
      <c r="BQ616" s="219"/>
      <c r="BR616" s="219"/>
      <c r="BS616" s="219"/>
      <c r="BT616" s="219"/>
      <c r="BU616" s="219"/>
      <c r="BV616" s="219"/>
      <c r="BW616" s="219"/>
      <c r="BX616" s="219"/>
      <c r="BY616" s="219"/>
      <c r="BZ616" s="219"/>
      <c r="CA616" s="219"/>
      <c r="CB616" s="219"/>
      <c r="CC616" s="219"/>
      <c r="CD616" s="219"/>
      <c r="CE616" s="219"/>
      <c r="CF616" s="219"/>
      <c r="CG616" s="219"/>
      <c r="CH616" s="219"/>
      <c r="CI616" s="219"/>
      <c r="CJ616" s="219"/>
      <c r="CK616" s="219"/>
      <c r="CL616" s="219"/>
      <c r="CM616" s="219"/>
      <c r="CN616" s="219"/>
      <c r="CO616" s="219"/>
      <c r="CP616" s="219"/>
      <c r="CQ616" s="219"/>
      <c r="CR616" s="219"/>
      <c r="CS616" s="219"/>
      <c r="CT616" s="219"/>
      <c r="CU616" s="219"/>
      <c r="CV616" s="219"/>
      <c r="CW616" s="219"/>
      <c r="CX616" s="219"/>
      <c r="CY616" s="219"/>
      <c r="CZ616" s="219"/>
      <c r="DA616" s="219"/>
      <c r="DB616" s="219"/>
      <c r="DC616" s="219"/>
      <c r="DD616" s="219"/>
      <c r="DE616" s="219"/>
      <c r="DF616" s="219"/>
      <c r="DG616" s="219"/>
      <c r="DH616" s="219"/>
      <c r="DI616" s="219"/>
      <c r="DJ616" s="219"/>
      <c r="DK616" s="219"/>
      <c r="DL616" s="219"/>
      <c r="DM616" s="219"/>
      <c r="DN616" s="219"/>
      <c r="DO616" s="219"/>
      <c r="DP616" s="219"/>
      <c r="AAA616" s="192"/>
      <c r="AAD616" s="90"/>
      <c r="AAE616" s="519" t="s">
        <v>63</v>
      </c>
      <c r="AAF616" s="190" t="s">
        <v>52</v>
      </c>
      <c r="AAG616" s="73">
        <f>IF(S.General.RuleType =1,S.Notice.SubmitToSOS,S.Overview.BANNER.Start)</f>
        <v>41572</v>
      </c>
      <c r="AAH616" s="73">
        <f>S.EQC.Meeting</f>
        <v>41717</v>
      </c>
      <c r="AAI616" s="72"/>
      <c r="AAJ616" s="56"/>
      <c r="AAK616" s="56"/>
      <c r="AAL616" s="90"/>
      <c r="AAM616"/>
    </row>
    <row r="617" spans="1:715" ht="6" customHeight="1" outlineLevel="1">
      <c r="A617" s="171"/>
      <c r="B617" s="120"/>
      <c r="C617" s="112"/>
      <c r="D617" s="230"/>
      <c r="E617" s="113"/>
      <c r="F617" s="113"/>
      <c r="G617" s="112"/>
      <c r="H617" s="112"/>
      <c r="I617" s="244"/>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c r="AAA617" s="192"/>
      <c r="AAD617" s="90"/>
      <c r="AAE617" s="519" t="s">
        <v>17</v>
      </c>
      <c r="AAF617" s="190" t="s">
        <v>52</v>
      </c>
      <c r="AAG617" s="60"/>
      <c r="AAH617" s="60"/>
      <c r="AAI617" s="72"/>
      <c r="AAJ617" s="56"/>
      <c r="AAK617" s="56"/>
      <c r="AAL617" s="90"/>
      <c r="AAM617"/>
    </row>
    <row r="618" spans="1:715" s="23" customFormat="1" ht="12.75" customHeight="1" outlineLevel="1">
      <c r="A618" s="171"/>
      <c r="B618" s="798" t="s">
        <v>510</v>
      </c>
      <c r="C618" s="797" t="str">
        <f>HYPERLINK("","i")</f>
        <v>i</v>
      </c>
      <c r="D618" s="231"/>
      <c r="E618" s="97"/>
      <c r="F618" s="97"/>
      <c r="G618" s="96"/>
      <c r="H618" s="96"/>
      <c r="I618" s="244"/>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c r="BI618" s="32"/>
      <c r="BJ618" s="32"/>
      <c r="BK618" s="32"/>
      <c r="BL618" s="32"/>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c r="CR618" s="32"/>
      <c r="CS618" s="32"/>
      <c r="CT618" s="32"/>
      <c r="CU618" s="32"/>
      <c r="CV618" s="32"/>
      <c r="CW618" s="32"/>
      <c r="CX618" s="32"/>
      <c r="CY618" s="32"/>
      <c r="CZ618" s="32"/>
      <c r="DA618" s="32"/>
      <c r="DB618" s="32"/>
      <c r="DC618" s="32"/>
      <c r="DD618" s="32"/>
      <c r="DE618" s="32"/>
      <c r="DF618" s="32"/>
      <c r="DG618" s="32"/>
      <c r="DH618" s="32"/>
      <c r="DI618" s="32"/>
      <c r="DJ618" s="32"/>
      <c r="DK618" s="32"/>
      <c r="DL618" s="32"/>
      <c r="DM618" s="32"/>
      <c r="DN618" s="32"/>
      <c r="DO618" s="32"/>
      <c r="DP618" s="32"/>
      <c r="ZZ618" s="52"/>
      <c r="AAA618" s="192"/>
      <c r="AAD618" s="90"/>
      <c r="AAE618" s="520" t="s">
        <v>21</v>
      </c>
      <c r="AAF618" s="190" t="s">
        <v>52</v>
      </c>
      <c r="AAG618" s="60"/>
      <c r="AAH618" s="60"/>
      <c r="AAI618" s="82"/>
      <c r="AAJ618" s="82"/>
      <c r="AAK618" s="40"/>
      <c r="AAL618" s="90"/>
    </row>
    <row r="619" spans="1:715" s="23" customFormat="1" ht="15" customHeight="1" outlineLevel="2">
      <c r="A619" s="171" t="s">
        <v>0</v>
      </c>
      <c r="B619" s="389" t="str">
        <f>AAK619</f>
        <v>AndreaRW:</v>
      </c>
      <c r="C619" s="418" t="s">
        <v>0</v>
      </c>
      <c r="D619" s="417"/>
      <c r="E619" s="397">
        <f t="shared" ref="E619" si="495">NETWORKDAYS(G619,H619,S.DDL_DEQClosed)</f>
        <v>70</v>
      </c>
      <c r="F619" s="457">
        <f t="shared" ref="F619:F625" ca="1" si="496">IF(YEAR(H619)&gt;2000,NETWORKDAYS(TODAY(),H619,S.DDL_DEQClosed),0)</f>
        <v>69</v>
      </c>
      <c r="G619" s="400">
        <f t="shared" ref="G619" si="497">AAG619</f>
        <v>41572</v>
      </c>
      <c r="H619" s="400">
        <f t="shared" ref="H619" si="498">AAH619</f>
        <v>41676</v>
      </c>
      <c r="I619" s="244"/>
      <c r="J619" s="222"/>
      <c r="K619" s="223"/>
      <c r="L619" s="223"/>
      <c r="M619" s="223"/>
      <c r="N619" s="223"/>
      <c r="O619" s="223"/>
      <c r="P619" s="223"/>
      <c r="Q619" s="223"/>
      <c r="R619" s="223"/>
      <c r="S619" s="223"/>
      <c r="T619" s="223"/>
      <c r="U619" s="223"/>
      <c r="V619" s="223"/>
      <c r="W619" s="223"/>
      <c r="X619" s="223"/>
      <c r="Y619" s="223"/>
      <c r="Z619" s="223"/>
      <c r="AA619" s="223"/>
      <c r="AB619" s="223"/>
      <c r="AC619" s="223"/>
      <c r="AD619" s="223"/>
      <c r="AE619" s="223"/>
      <c r="AF619" s="223"/>
      <c r="AG619" s="223"/>
      <c r="AH619" s="223"/>
      <c r="AI619" s="223"/>
      <c r="AJ619" s="223"/>
      <c r="AK619" s="223"/>
      <c r="AL619" s="223"/>
      <c r="AM619" s="223"/>
      <c r="AN619" s="223"/>
      <c r="AO619" s="223"/>
      <c r="AP619" s="223"/>
      <c r="AQ619" s="223"/>
      <c r="AR619" s="223"/>
      <c r="AS619" s="223"/>
      <c r="AT619" s="223"/>
      <c r="AU619" s="223"/>
      <c r="AV619" s="223"/>
      <c r="AW619" s="223"/>
      <c r="AX619" s="223"/>
      <c r="AY619" s="223"/>
      <c r="AZ619" s="223"/>
      <c r="BA619" s="223"/>
      <c r="BB619" s="223"/>
      <c r="BC619" s="223"/>
      <c r="BD619" s="223"/>
      <c r="BE619" s="223"/>
      <c r="BF619" s="223"/>
      <c r="BG619" s="223"/>
      <c r="BH619" s="223"/>
      <c r="BI619" s="223"/>
      <c r="BJ619" s="223"/>
      <c r="BK619" s="223"/>
      <c r="BL619" s="223"/>
      <c r="BM619" s="223"/>
      <c r="BN619" s="223"/>
      <c r="BO619" s="223"/>
      <c r="BP619" s="223"/>
      <c r="BQ619" s="223"/>
      <c r="BR619" s="223"/>
      <c r="BS619" s="223"/>
      <c r="BT619" s="223"/>
      <c r="BU619" s="223"/>
      <c r="BV619" s="223"/>
      <c r="BW619" s="223"/>
      <c r="BX619" s="223"/>
      <c r="BY619" s="223"/>
      <c r="BZ619" s="223"/>
      <c r="CA619" s="223"/>
      <c r="CB619" s="223"/>
      <c r="CC619" s="223"/>
      <c r="CD619" s="223"/>
      <c r="CE619" s="223"/>
      <c r="CF619" s="223"/>
      <c r="CG619" s="223"/>
      <c r="CH619" s="223"/>
      <c r="CI619" s="223"/>
      <c r="CJ619" s="223"/>
      <c r="CK619" s="223"/>
      <c r="CL619" s="223"/>
      <c r="CM619" s="223"/>
      <c r="CN619" s="223"/>
      <c r="CO619" s="223"/>
      <c r="CP619" s="223"/>
      <c r="CQ619" s="223"/>
      <c r="CR619" s="223"/>
      <c r="CS619" s="223"/>
      <c r="CT619" s="223"/>
      <c r="CU619" s="223"/>
      <c r="CV619" s="223"/>
      <c r="CW619" s="223"/>
      <c r="CX619" s="223"/>
      <c r="CY619" s="223"/>
      <c r="CZ619" s="223"/>
      <c r="DA619" s="223"/>
      <c r="DB619" s="223"/>
      <c r="DC619" s="223"/>
      <c r="DD619" s="223"/>
      <c r="DE619" s="223"/>
      <c r="DF619" s="223"/>
      <c r="DG619" s="223"/>
      <c r="DH619" s="223"/>
      <c r="DI619" s="223"/>
      <c r="DJ619" s="223"/>
      <c r="DK619" s="223"/>
      <c r="DL619" s="223"/>
      <c r="DM619" s="223"/>
      <c r="DN619" s="223"/>
      <c r="DO619" s="223"/>
      <c r="DP619" s="223"/>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c r="IW619"/>
      <c r="IX619"/>
      <c r="IY619"/>
      <c r="IZ619"/>
      <c r="JA619"/>
      <c r="JB619"/>
      <c r="JC619"/>
      <c r="JD619"/>
      <c r="JE619"/>
      <c r="JF619"/>
      <c r="JG619"/>
      <c r="JH619"/>
      <c r="JI619"/>
      <c r="JJ619"/>
      <c r="JK619"/>
      <c r="JL619"/>
      <c r="JM619"/>
      <c r="JN619"/>
      <c r="JO619"/>
      <c r="JP619"/>
      <c r="JQ619"/>
      <c r="JR619"/>
      <c r="JS619"/>
      <c r="JT619"/>
      <c r="JU619"/>
      <c r="JV619"/>
      <c r="JW619"/>
      <c r="JX619"/>
      <c r="JY619"/>
      <c r="JZ619"/>
      <c r="KA619"/>
      <c r="KB619"/>
      <c r="KC619"/>
      <c r="KD619"/>
      <c r="KE619"/>
      <c r="KF619"/>
      <c r="KG619"/>
      <c r="KH619"/>
      <c r="KI619"/>
      <c r="KJ619"/>
      <c r="KK619"/>
      <c r="KL619"/>
      <c r="KM619"/>
      <c r="KN619"/>
      <c r="KO619"/>
      <c r="KP619"/>
      <c r="KQ619"/>
      <c r="KR619"/>
      <c r="KS619"/>
      <c r="KT619"/>
      <c r="KU619"/>
      <c r="KV619"/>
      <c r="KW619"/>
      <c r="KX619"/>
      <c r="KY619"/>
      <c r="KZ619"/>
      <c r="LA619"/>
      <c r="LB619"/>
      <c r="LC619"/>
      <c r="LD619"/>
      <c r="LE619"/>
      <c r="LF619"/>
      <c r="LG619"/>
      <c r="LH619"/>
      <c r="LI619"/>
      <c r="LJ619"/>
      <c r="LK619"/>
      <c r="LL619"/>
      <c r="LM619"/>
      <c r="LN619"/>
      <c r="LO619"/>
      <c r="LP619"/>
      <c r="LQ619"/>
      <c r="LR619"/>
      <c r="LS619"/>
      <c r="LT619"/>
      <c r="LU619"/>
      <c r="LV619"/>
      <c r="LW619"/>
      <c r="LX619"/>
      <c r="LY619"/>
      <c r="LZ619"/>
      <c r="MA619"/>
      <c r="MB619"/>
      <c r="MC619"/>
      <c r="MD619"/>
      <c r="ME619"/>
      <c r="MF619"/>
      <c r="MG619"/>
      <c r="MH619"/>
      <c r="MI619"/>
      <c r="MJ619"/>
      <c r="MK619"/>
      <c r="ML619"/>
      <c r="MM619"/>
      <c r="MN619"/>
      <c r="MO619"/>
      <c r="MP619"/>
      <c r="MQ619"/>
      <c r="MR619"/>
      <c r="MS619"/>
      <c r="MT619"/>
      <c r="MU619"/>
      <c r="MV619"/>
      <c r="MW619"/>
      <c r="MX619"/>
      <c r="MY619"/>
      <c r="MZ619"/>
      <c r="NA619"/>
      <c r="NB619"/>
      <c r="NC619"/>
      <c r="ND619"/>
      <c r="NE619"/>
      <c r="NF619"/>
      <c r="NG619"/>
      <c r="NH619"/>
      <c r="NI619"/>
      <c r="NJ619"/>
      <c r="NK619"/>
      <c r="NL619"/>
      <c r="NM619"/>
      <c r="NN619"/>
      <c r="NO619"/>
      <c r="NP619"/>
      <c r="NQ619"/>
      <c r="NR619"/>
      <c r="NS619"/>
      <c r="NT619"/>
      <c r="NU619"/>
      <c r="NV619"/>
      <c r="NW619"/>
      <c r="NX619"/>
      <c r="NY619"/>
      <c r="NZ619"/>
      <c r="OA619"/>
      <c r="OB619"/>
      <c r="OC619"/>
      <c r="OD619"/>
      <c r="OE619"/>
      <c r="OF619"/>
      <c r="OG619"/>
      <c r="OH619"/>
      <c r="OI619"/>
      <c r="OJ619"/>
      <c r="OK619"/>
      <c r="OL619"/>
      <c r="OM619"/>
      <c r="ON619"/>
      <c r="OO619"/>
      <c r="OP619"/>
      <c r="OQ619"/>
      <c r="OR619"/>
      <c r="OS619"/>
      <c r="OT619"/>
      <c r="OU619"/>
      <c r="OV619"/>
      <c r="OW619"/>
      <c r="OX619"/>
      <c r="OY619"/>
      <c r="OZ619"/>
      <c r="PA619"/>
      <c r="PB619"/>
      <c r="PC619"/>
      <c r="PD619"/>
      <c r="PE619"/>
      <c r="PF619"/>
      <c r="PG619"/>
      <c r="PH619"/>
      <c r="PI619"/>
      <c r="PJ619"/>
      <c r="PK619"/>
      <c r="PL619"/>
      <c r="PM619"/>
      <c r="PN619"/>
      <c r="PO619"/>
      <c r="PP619"/>
      <c r="PQ619"/>
      <c r="PR619"/>
      <c r="PS619"/>
      <c r="PT619"/>
      <c r="PU619"/>
      <c r="PV619"/>
      <c r="PW619"/>
      <c r="PX619"/>
      <c r="PY619"/>
      <c r="PZ619"/>
      <c r="QA619"/>
      <c r="QB619"/>
      <c r="QC619"/>
      <c r="QD619"/>
      <c r="QE619"/>
      <c r="QF619"/>
      <c r="QG619"/>
      <c r="QH619"/>
      <c r="QI619"/>
      <c r="QJ619"/>
      <c r="QK619"/>
      <c r="QL619"/>
      <c r="QM619"/>
      <c r="QN619"/>
      <c r="QO619"/>
      <c r="QP619"/>
      <c r="QQ619"/>
      <c r="QR619"/>
      <c r="QS619"/>
      <c r="QT619"/>
      <c r="QU619"/>
      <c r="QV619"/>
      <c r="QW619"/>
      <c r="QX619"/>
      <c r="QY619"/>
      <c r="QZ619"/>
      <c r="RA619"/>
      <c r="RB619"/>
      <c r="RC619"/>
      <c r="RD619"/>
      <c r="RE619"/>
      <c r="RF619"/>
      <c r="RG619"/>
      <c r="RH619"/>
      <c r="RI619"/>
      <c r="RJ619"/>
      <c r="RK619"/>
      <c r="RL619"/>
      <c r="RM619"/>
      <c r="RN619"/>
      <c r="RO619"/>
      <c r="RP619"/>
      <c r="RQ619"/>
      <c r="RR619"/>
      <c r="RS619"/>
      <c r="RT619"/>
      <c r="RU619"/>
      <c r="RV619"/>
      <c r="RW619"/>
      <c r="RX619"/>
      <c r="RY619"/>
      <c r="RZ619"/>
      <c r="SA619"/>
      <c r="SB619"/>
      <c r="SC619"/>
      <c r="SD619"/>
      <c r="SE619"/>
      <c r="SF619"/>
      <c r="SG619"/>
      <c r="SH619"/>
      <c r="SI619"/>
      <c r="SJ619"/>
      <c r="SK619"/>
      <c r="SL619"/>
      <c r="SM619"/>
      <c r="SN619"/>
      <c r="SO619"/>
      <c r="SP619"/>
      <c r="SQ619"/>
      <c r="SR619"/>
      <c r="SS619"/>
      <c r="ST619"/>
      <c r="SU619"/>
      <c r="SV619"/>
      <c r="SW619"/>
      <c r="SX619"/>
      <c r="SY619"/>
      <c r="SZ619"/>
      <c r="TA619"/>
      <c r="TB619"/>
      <c r="TC619"/>
      <c r="TD619"/>
      <c r="TE619"/>
      <c r="TF619"/>
      <c r="TG619"/>
      <c r="TH619"/>
      <c r="TI619"/>
      <c r="TJ619"/>
      <c r="TK619"/>
      <c r="TL619"/>
      <c r="TM619"/>
      <c r="TN619"/>
      <c r="TO619"/>
      <c r="TP619"/>
      <c r="TQ619"/>
      <c r="TR619"/>
      <c r="TS619"/>
      <c r="TT619"/>
      <c r="TU619"/>
      <c r="TV619"/>
      <c r="TW619"/>
      <c r="TX619"/>
      <c r="TY619"/>
      <c r="TZ619"/>
      <c r="UA619"/>
      <c r="UB619"/>
      <c r="UC619"/>
      <c r="UD619"/>
      <c r="UE619"/>
      <c r="UF619"/>
      <c r="UG619"/>
      <c r="UH619"/>
      <c r="UI619"/>
      <c r="UJ619"/>
      <c r="UK619"/>
      <c r="UL619"/>
      <c r="UM619"/>
      <c r="UN619"/>
      <c r="UO619"/>
      <c r="UP619"/>
      <c r="UQ619"/>
      <c r="UR619"/>
      <c r="US619"/>
      <c r="UT619"/>
      <c r="UU619"/>
      <c r="UV619"/>
      <c r="UW619"/>
      <c r="UX619"/>
      <c r="UY619"/>
      <c r="UZ619"/>
      <c r="VA619"/>
      <c r="VB619"/>
      <c r="VC619"/>
      <c r="VD619"/>
      <c r="VE619"/>
      <c r="VF619"/>
      <c r="VG619"/>
      <c r="VH619"/>
      <c r="VI619"/>
      <c r="VJ619"/>
      <c r="VK619"/>
      <c r="VL619"/>
      <c r="VM619"/>
      <c r="VN619"/>
      <c r="VO619"/>
      <c r="VP619"/>
      <c r="VQ619"/>
      <c r="VR619"/>
      <c r="VS619"/>
      <c r="VT619"/>
      <c r="VU619"/>
      <c r="VV619"/>
      <c r="VW619"/>
      <c r="VX619"/>
      <c r="VY619"/>
      <c r="VZ619"/>
      <c r="WA619"/>
      <c r="WB619"/>
      <c r="WC619"/>
      <c r="WD619"/>
      <c r="WE619"/>
      <c r="WF619"/>
      <c r="WG619"/>
      <c r="WH619"/>
      <c r="WI619"/>
      <c r="WJ619"/>
      <c r="WK619"/>
      <c r="WL619"/>
      <c r="WM619"/>
      <c r="WN619"/>
      <c r="WO619"/>
      <c r="WP619"/>
      <c r="WQ619"/>
      <c r="WR619"/>
      <c r="WS619"/>
      <c r="WT619"/>
      <c r="WU619"/>
      <c r="WV619"/>
      <c r="WW619"/>
      <c r="WX619"/>
      <c r="WY619"/>
      <c r="WZ619"/>
      <c r="XA619"/>
      <c r="XB619"/>
      <c r="XC619"/>
      <c r="XD619"/>
      <c r="XE619"/>
      <c r="XF619"/>
      <c r="XG619"/>
      <c r="XH619"/>
      <c r="XI619"/>
      <c r="XJ619"/>
      <c r="XK619"/>
      <c r="XL619"/>
      <c r="XM619"/>
      <c r="XN619"/>
      <c r="XO619"/>
      <c r="XP619"/>
      <c r="XQ619"/>
      <c r="XR619"/>
      <c r="XS619"/>
      <c r="XT619"/>
      <c r="XU619"/>
      <c r="XV619"/>
      <c r="XW619"/>
      <c r="XX619"/>
      <c r="XY619"/>
      <c r="XZ619"/>
      <c r="YA619"/>
      <c r="YB619"/>
      <c r="YC619"/>
      <c r="YD619"/>
      <c r="YE619"/>
      <c r="YF619"/>
      <c r="YG619"/>
      <c r="YH619"/>
      <c r="YI619"/>
      <c r="YJ619"/>
      <c r="YK619"/>
      <c r="YL619"/>
      <c r="YM619"/>
      <c r="YN619"/>
      <c r="YO619"/>
      <c r="YP619"/>
      <c r="YQ619"/>
      <c r="YR619"/>
      <c r="YS619"/>
      <c r="YT619"/>
      <c r="YU619"/>
      <c r="YV619"/>
      <c r="YW619"/>
      <c r="YX619"/>
      <c r="YY619"/>
      <c r="YZ619"/>
      <c r="ZA619"/>
      <c r="ZB619"/>
      <c r="ZC619"/>
      <c r="ZD619"/>
      <c r="ZE619"/>
      <c r="ZF619"/>
      <c r="ZG619"/>
      <c r="ZH619"/>
      <c r="ZI619"/>
      <c r="ZJ619"/>
      <c r="ZK619"/>
      <c r="ZL619"/>
      <c r="ZM619"/>
      <c r="ZN619"/>
      <c r="ZO619"/>
      <c r="ZP619"/>
      <c r="ZQ619"/>
      <c r="ZR619"/>
      <c r="ZS619"/>
      <c r="ZT619"/>
      <c r="ZU619"/>
      <c r="ZV619"/>
      <c r="ZW619"/>
      <c r="ZX619"/>
      <c r="ZY619"/>
      <c r="ZZ619" s="52"/>
      <c r="AAA619" s="192"/>
      <c r="AAD619" s="90"/>
      <c r="AAE619" s="519">
        <v>1</v>
      </c>
      <c r="AAF619" s="90"/>
      <c r="AAG619" s="73">
        <f t="shared" ref="AAG619:AAG624" si="499">S.EQC.BANNER.Begin</f>
        <v>41572</v>
      </c>
      <c r="AAH619" s="73">
        <f t="shared" ref="AAH619:AAH625" si="500">S.EQC.SubmitStaffRpt</f>
        <v>41676</v>
      </c>
      <c r="AAI619" s="72"/>
      <c r="AAJ619" s="56"/>
      <c r="AAK619" s="80" t="str">
        <f>IF(AND(S.EQC.DirReport="N",S.EQC.InfoItem="N"),"No EQC involvement prior to Action Item meeting",S.Staff.Lead&amp;":")</f>
        <v>AndreaRW:</v>
      </c>
      <c r="AAL619" s="90"/>
    </row>
    <row r="620" spans="1:715" s="23" customFormat="1" ht="15" customHeight="1" outlineLevel="2">
      <c r="A620" s="171" t="s">
        <v>0</v>
      </c>
      <c r="B620" s="396" t="str">
        <f>AAK620</f>
        <v>* drafts content of Director's Report to EQC</v>
      </c>
      <c r="C620" s="418" t="s">
        <v>0</v>
      </c>
      <c r="D620" s="417"/>
      <c r="E620" s="397">
        <f t="shared" ref="E620:E621" si="501">NETWORKDAYS(G620,H620,S.DDL_DEQClosed)</f>
        <v>70</v>
      </c>
      <c r="F620" s="457">
        <f t="shared" ca="1" si="496"/>
        <v>69</v>
      </c>
      <c r="G620" s="400">
        <f t="shared" ref="G620:G621" si="502">AAG620</f>
        <v>41572</v>
      </c>
      <c r="H620" s="400">
        <f t="shared" ref="H620:H621" si="503">AAH620</f>
        <v>41676</v>
      </c>
      <c r="I620" s="244"/>
      <c r="J620" s="222"/>
      <c r="K620" s="223"/>
      <c r="L620" s="223"/>
      <c r="M620" s="223"/>
      <c r="N620" s="223"/>
      <c r="O620" s="223"/>
      <c r="P620" s="223"/>
      <c r="Q620" s="223"/>
      <c r="R620" s="223"/>
      <c r="S620" s="223"/>
      <c r="T620" s="223"/>
      <c r="U620" s="223"/>
      <c r="V620" s="223"/>
      <c r="W620" s="223"/>
      <c r="X620" s="223"/>
      <c r="Y620" s="223"/>
      <c r="Z620" s="223"/>
      <c r="AA620" s="223"/>
      <c r="AB620" s="223"/>
      <c r="AC620" s="223"/>
      <c r="AD620" s="223"/>
      <c r="AE620" s="223"/>
      <c r="AF620" s="223"/>
      <c r="AG620" s="223"/>
      <c r="AH620" s="223"/>
      <c r="AI620" s="223"/>
      <c r="AJ620" s="223"/>
      <c r="AK620" s="223"/>
      <c r="AL620" s="223"/>
      <c r="AM620" s="223"/>
      <c r="AN620" s="223"/>
      <c r="AO620" s="223"/>
      <c r="AP620" s="223"/>
      <c r="AQ620" s="223"/>
      <c r="AR620" s="223"/>
      <c r="AS620" s="223"/>
      <c r="AT620" s="223"/>
      <c r="AU620" s="223"/>
      <c r="AV620" s="223"/>
      <c r="AW620" s="223"/>
      <c r="AX620" s="223"/>
      <c r="AY620" s="223"/>
      <c r="AZ620" s="223"/>
      <c r="BA620" s="223"/>
      <c r="BB620" s="223"/>
      <c r="BC620" s="223"/>
      <c r="BD620" s="223"/>
      <c r="BE620" s="223"/>
      <c r="BF620" s="223"/>
      <c r="BG620" s="223"/>
      <c r="BH620" s="223"/>
      <c r="BI620" s="223"/>
      <c r="BJ620" s="223"/>
      <c r="BK620" s="223"/>
      <c r="BL620" s="223"/>
      <c r="BM620" s="223"/>
      <c r="BN620" s="223"/>
      <c r="BO620" s="223"/>
      <c r="BP620" s="223"/>
      <c r="BQ620" s="223"/>
      <c r="BR620" s="223"/>
      <c r="BS620" s="223"/>
      <c r="BT620" s="223"/>
      <c r="BU620" s="223"/>
      <c r="BV620" s="223"/>
      <c r="BW620" s="223"/>
      <c r="BX620" s="223"/>
      <c r="BY620" s="223"/>
      <c r="BZ620" s="223"/>
      <c r="CA620" s="223"/>
      <c r="CB620" s="223"/>
      <c r="CC620" s="223"/>
      <c r="CD620" s="223"/>
      <c r="CE620" s="223"/>
      <c r="CF620" s="223"/>
      <c r="CG620" s="223"/>
      <c r="CH620" s="223"/>
      <c r="CI620" s="223"/>
      <c r="CJ620" s="223"/>
      <c r="CK620" s="223"/>
      <c r="CL620" s="223"/>
      <c r="CM620" s="223"/>
      <c r="CN620" s="223"/>
      <c r="CO620" s="223"/>
      <c r="CP620" s="223"/>
      <c r="CQ620" s="223"/>
      <c r="CR620" s="223"/>
      <c r="CS620" s="223"/>
      <c r="CT620" s="223"/>
      <c r="CU620" s="223"/>
      <c r="CV620" s="223"/>
      <c r="CW620" s="223"/>
      <c r="CX620" s="223"/>
      <c r="CY620" s="223"/>
      <c r="CZ620" s="223"/>
      <c r="DA620" s="223"/>
      <c r="DB620" s="223"/>
      <c r="DC620" s="223"/>
      <c r="DD620" s="223"/>
      <c r="DE620" s="223"/>
      <c r="DF620" s="223"/>
      <c r="DG620" s="223"/>
      <c r="DH620" s="223"/>
      <c r="DI620" s="223"/>
      <c r="DJ620" s="223"/>
      <c r="DK620" s="223"/>
      <c r="DL620" s="223"/>
      <c r="DM620" s="223"/>
      <c r="DN620" s="223"/>
      <c r="DO620" s="223"/>
      <c r="DP620" s="223"/>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c r="IW620"/>
      <c r="IX620"/>
      <c r="IY620"/>
      <c r="IZ620"/>
      <c r="JA620"/>
      <c r="JB620"/>
      <c r="JC620"/>
      <c r="JD620"/>
      <c r="JE620"/>
      <c r="JF620"/>
      <c r="JG620"/>
      <c r="JH620"/>
      <c r="JI620"/>
      <c r="JJ620"/>
      <c r="JK620"/>
      <c r="JL620"/>
      <c r="JM620"/>
      <c r="JN620"/>
      <c r="JO620"/>
      <c r="JP620"/>
      <c r="JQ620"/>
      <c r="JR620"/>
      <c r="JS620"/>
      <c r="JT620"/>
      <c r="JU620"/>
      <c r="JV620"/>
      <c r="JW620"/>
      <c r="JX620"/>
      <c r="JY620"/>
      <c r="JZ620"/>
      <c r="KA620"/>
      <c r="KB620"/>
      <c r="KC620"/>
      <c r="KD620"/>
      <c r="KE620"/>
      <c r="KF620"/>
      <c r="KG620"/>
      <c r="KH620"/>
      <c r="KI620"/>
      <c r="KJ620"/>
      <c r="KK620"/>
      <c r="KL620"/>
      <c r="KM620"/>
      <c r="KN620"/>
      <c r="KO620"/>
      <c r="KP620"/>
      <c r="KQ620"/>
      <c r="KR620"/>
      <c r="KS620"/>
      <c r="KT620"/>
      <c r="KU620"/>
      <c r="KV620"/>
      <c r="KW620"/>
      <c r="KX620"/>
      <c r="KY620"/>
      <c r="KZ620"/>
      <c r="LA620"/>
      <c r="LB620"/>
      <c r="LC620"/>
      <c r="LD620"/>
      <c r="LE620"/>
      <c r="LF620"/>
      <c r="LG620"/>
      <c r="LH620"/>
      <c r="LI620"/>
      <c r="LJ620"/>
      <c r="LK620"/>
      <c r="LL620"/>
      <c r="LM620"/>
      <c r="LN620"/>
      <c r="LO620"/>
      <c r="LP620"/>
      <c r="LQ620"/>
      <c r="LR620"/>
      <c r="LS620"/>
      <c r="LT620"/>
      <c r="LU620"/>
      <c r="LV620"/>
      <c r="LW620"/>
      <c r="LX620"/>
      <c r="LY620"/>
      <c r="LZ620"/>
      <c r="MA620"/>
      <c r="MB620"/>
      <c r="MC620"/>
      <c r="MD620"/>
      <c r="ME620"/>
      <c r="MF620"/>
      <c r="MG620"/>
      <c r="MH620"/>
      <c r="MI620"/>
      <c r="MJ620"/>
      <c r="MK620"/>
      <c r="ML620"/>
      <c r="MM620"/>
      <c r="MN620"/>
      <c r="MO620"/>
      <c r="MP620"/>
      <c r="MQ620"/>
      <c r="MR620"/>
      <c r="MS620"/>
      <c r="MT620"/>
      <c r="MU620"/>
      <c r="MV620"/>
      <c r="MW620"/>
      <c r="MX620"/>
      <c r="MY620"/>
      <c r="MZ620"/>
      <c r="NA620"/>
      <c r="NB620"/>
      <c r="NC620"/>
      <c r="ND620"/>
      <c r="NE620"/>
      <c r="NF620"/>
      <c r="NG620"/>
      <c r="NH620"/>
      <c r="NI620"/>
      <c r="NJ620"/>
      <c r="NK620"/>
      <c r="NL620"/>
      <c r="NM620"/>
      <c r="NN620"/>
      <c r="NO620"/>
      <c r="NP620"/>
      <c r="NQ620"/>
      <c r="NR620"/>
      <c r="NS620"/>
      <c r="NT620"/>
      <c r="NU620"/>
      <c r="NV620"/>
      <c r="NW620"/>
      <c r="NX620"/>
      <c r="NY620"/>
      <c r="NZ620"/>
      <c r="OA620"/>
      <c r="OB620"/>
      <c r="OC620"/>
      <c r="OD620"/>
      <c r="OE620"/>
      <c r="OF620"/>
      <c r="OG620"/>
      <c r="OH620"/>
      <c r="OI620"/>
      <c r="OJ620"/>
      <c r="OK620"/>
      <c r="OL620"/>
      <c r="OM620"/>
      <c r="ON620"/>
      <c r="OO620"/>
      <c r="OP620"/>
      <c r="OQ620"/>
      <c r="OR620"/>
      <c r="OS620"/>
      <c r="OT620"/>
      <c r="OU620"/>
      <c r="OV620"/>
      <c r="OW620"/>
      <c r="OX620"/>
      <c r="OY620"/>
      <c r="OZ620"/>
      <c r="PA620"/>
      <c r="PB620"/>
      <c r="PC620"/>
      <c r="PD620"/>
      <c r="PE620"/>
      <c r="PF620"/>
      <c r="PG620"/>
      <c r="PH620"/>
      <c r="PI620"/>
      <c r="PJ620"/>
      <c r="PK620"/>
      <c r="PL620"/>
      <c r="PM620"/>
      <c r="PN620"/>
      <c r="PO620"/>
      <c r="PP620"/>
      <c r="PQ620"/>
      <c r="PR620"/>
      <c r="PS620"/>
      <c r="PT620"/>
      <c r="PU620"/>
      <c r="PV620"/>
      <c r="PW620"/>
      <c r="PX620"/>
      <c r="PY620"/>
      <c r="PZ620"/>
      <c r="QA620"/>
      <c r="QB620"/>
      <c r="QC620"/>
      <c r="QD620"/>
      <c r="QE620"/>
      <c r="QF620"/>
      <c r="QG620"/>
      <c r="QH620"/>
      <c r="QI620"/>
      <c r="QJ620"/>
      <c r="QK620"/>
      <c r="QL620"/>
      <c r="QM620"/>
      <c r="QN620"/>
      <c r="QO620"/>
      <c r="QP620"/>
      <c r="QQ620"/>
      <c r="QR620"/>
      <c r="QS620"/>
      <c r="QT620"/>
      <c r="QU620"/>
      <c r="QV620"/>
      <c r="QW620"/>
      <c r="QX620"/>
      <c r="QY620"/>
      <c r="QZ620"/>
      <c r="RA620"/>
      <c r="RB620"/>
      <c r="RC620"/>
      <c r="RD620"/>
      <c r="RE620"/>
      <c r="RF620"/>
      <c r="RG620"/>
      <c r="RH620"/>
      <c r="RI620"/>
      <c r="RJ620"/>
      <c r="RK620"/>
      <c r="RL620"/>
      <c r="RM620"/>
      <c r="RN620"/>
      <c r="RO620"/>
      <c r="RP620"/>
      <c r="RQ620"/>
      <c r="RR620"/>
      <c r="RS620"/>
      <c r="RT620"/>
      <c r="RU620"/>
      <c r="RV620"/>
      <c r="RW620"/>
      <c r="RX620"/>
      <c r="RY620"/>
      <c r="RZ620"/>
      <c r="SA620"/>
      <c r="SB620"/>
      <c r="SC620"/>
      <c r="SD620"/>
      <c r="SE620"/>
      <c r="SF620"/>
      <c r="SG620"/>
      <c r="SH620"/>
      <c r="SI620"/>
      <c r="SJ620"/>
      <c r="SK620"/>
      <c r="SL620"/>
      <c r="SM620"/>
      <c r="SN620"/>
      <c r="SO620"/>
      <c r="SP620"/>
      <c r="SQ620"/>
      <c r="SR620"/>
      <c r="SS620"/>
      <c r="ST620"/>
      <c r="SU620"/>
      <c r="SV620"/>
      <c r="SW620"/>
      <c r="SX620"/>
      <c r="SY620"/>
      <c r="SZ620"/>
      <c r="TA620"/>
      <c r="TB620"/>
      <c r="TC620"/>
      <c r="TD620"/>
      <c r="TE620"/>
      <c r="TF620"/>
      <c r="TG620"/>
      <c r="TH620"/>
      <c r="TI620"/>
      <c r="TJ620"/>
      <c r="TK620"/>
      <c r="TL620"/>
      <c r="TM620"/>
      <c r="TN620"/>
      <c r="TO620"/>
      <c r="TP620"/>
      <c r="TQ620"/>
      <c r="TR620"/>
      <c r="TS620"/>
      <c r="TT620"/>
      <c r="TU620"/>
      <c r="TV620"/>
      <c r="TW620"/>
      <c r="TX620"/>
      <c r="TY620"/>
      <c r="TZ620"/>
      <c r="UA620"/>
      <c r="UB620"/>
      <c r="UC620"/>
      <c r="UD620"/>
      <c r="UE620"/>
      <c r="UF620"/>
      <c r="UG620"/>
      <c r="UH620"/>
      <c r="UI620"/>
      <c r="UJ620"/>
      <c r="UK620"/>
      <c r="UL620"/>
      <c r="UM620"/>
      <c r="UN620"/>
      <c r="UO620"/>
      <c r="UP620"/>
      <c r="UQ620"/>
      <c r="UR620"/>
      <c r="US620"/>
      <c r="UT620"/>
      <c r="UU620"/>
      <c r="UV620"/>
      <c r="UW620"/>
      <c r="UX620"/>
      <c r="UY620"/>
      <c r="UZ620"/>
      <c r="VA620"/>
      <c r="VB620"/>
      <c r="VC620"/>
      <c r="VD620"/>
      <c r="VE620"/>
      <c r="VF620"/>
      <c r="VG620"/>
      <c r="VH620"/>
      <c r="VI620"/>
      <c r="VJ620"/>
      <c r="VK620"/>
      <c r="VL620"/>
      <c r="VM620"/>
      <c r="VN620"/>
      <c r="VO620"/>
      <c r="VP620"/>
      <c r="VQ620"/>
      <c r="VR620"/>
      <c r="VS620"/>
      <c r="VT620"/>
      <c r="VU620"/>
      <c r="VV620"/>
      <c r="VW620"/>
      <c r="VX620"/>
      <c r="VY620"/>
      <c r="VZ620"/>
      <c r="WA620"/>
      <c r="WB620"/>
      <c r="WC620"/>
      <c r="WD620"/>
      <c r="WE620"/>
      <c r="WF620"/>
      <c r="WG620"/>
      <c r="WH620"/>
      <c r="WI620"/>
      <c r="WJ620"/>
      <c r="WK620"/>
      <c r="WL620"/>
      <c r="WM620"/>
      <c r="WN620"/>
      <c r="WO620"/>
      <c r="WP620"/>
      <c r="WQ620"/>
      <c r="WR620"/>
      <c r="WS620"/>
      <c r="WT620"/>
      <c r="WU620"/>
      <c r="WV620"/>
      <c r="WW620"/>
      <c r="WX620"/>
      <c r="WY620"/>
      <c r="WZ620"/>
      <c r="XA620"/>
      <c r="XB620"/>
      <c r="XC620"/>
      <c r="XD620"/>
      <c r="XE620"/>
      <c r="XF620"/>
      <c r="XG620"/>
      <c r="XH620"/>
      <c r="XI620"/>
      <c r="XJ620"/>
      <c r="XK620"/>
      <c r="XL620"/>
      <c r="XM620"/>
      <c r="XN620"/>
      <c r="XO620"/>
      <c r="XP620"/>
      <c r="XQ620"/>
      <c r="XR620"/>
      <c r="XS620"/>
      <c r="XT620"/>
      <c r="XU620"/>
      <c r="XV620"/>
      <c r="XW620"/>
      <c r="XX620"/>
      <c r="XY620"/>
      <c r="XZ620"/>
      <c r="YA620"/>
      <c r="YB620"/>
      <c r="YC620"/>
      <c r="YD620"/>
      <c r="YE620"/>
      <c r="YF620"/>
      <c r="YG620"/>
      <c r="YH620"/>
      <c r="YI620"/>
      <c r="YJ620"/>
      <c r="YK620"/>
      <c r="YL620"/>
      <c r="YM620"/>
      <c r="YN620"/>
      <c r="YO620"/>
      <c r="YP620"/>
      <c r="YQ620"/>
      <c r="YR620"/>
      <c r="YS620"/>
      <c r="YT620"/>
      <c r="YU620"/>
      <c r="YV620"/>
      <c r="YW620"/>
      <c r="YX620"/>
      <c r="YY620"/>
      <c r="YZ620"/>
      <c r="ZA620"/>
      <c r="ZB620"/>
      <c r="ZC620"/>
      <c r="ZD620"/>
      <c r="ZE620"/>
      <c r="ZF620"/>
      <c r="ZG620"/>
      <c r="ZH620"/>
      <c r="ZI620"/>
      <c r="ZJ620"/>
      <c r="ZK620"/>
      <c r="ZL620"/>
      <c r="ZM620"/>
      <c r="ZN620"/>
      <c r="ZO620"/>
      <c r="ZP620"/>
      <c r="ZQ620"/>
      <c r="ZR620"/>
      <c r="ZS620"/>
      <c r="ZT620"/>
      <c r="ZU620"/>
      <c r="ZV620"/>
      <c r="ZW620"/>
      <c r="ZX620"/>
      <c r="ZY620"/>
      <c r="ZZ620" s="52"/>
      <c r="AAA620" s="192"/>
      <c r="AAD620" s="90"/>
      <c r="AAE620" s="519">
        <f>IF(S.EQC.DirReport="Y",1,0)</f>
        <v>1</v>
      </c>
      <c r="AAF620" s="90"/>
      <c r="AAG620" s="73">
        <f t="shared" si="499"/>
        <v>41572</v>
      </c>
      <c r="AAH620" s="73">
        <f t="shared" si="500"/>
        <v>41676</v>
      </c>
      <c r="AAI620" s="72"/>
      <c r="AAJ620" s="56"/>
      <c r="AAK620" s="80" t="str">
        <f>IF(S.EQC.DirReport="N","* no Director's Report","* drafts content of Director's Report to EQC")</f>
        <v>* drafts content of Director's Report to EQC</v>
      </c>
      <c r="AAL620" s="90"/>
    </row>
    <row r="621" spans="1:715" s="23" customFormat="1" ht="15" customHeight="1" outlineLevel="2">
      <c r="A621" s="171"/>
      <c r="B621" s="396" t="str">
        <f>AAK621</f>
        <v>* no EQC Information Item</v>
      </c>
      <c r="C621" s="790" t="str">
        <f>HYPERLINK("\\deqhq1\Rule_Resources\0.IndividualRulemaking\6-EQC Preparation\STAFF.RPT.InformationItem.docx","i")</f>
        <v>i</v>
      </c>
      <c r="D621" s="417"/>
      <c r="E621" s="397">
        <f t="shared" si="501"/>
        <v>70</v>
      </c>
      <c r="F621" s="457">
        <f t="shared" ca="1" si="496"/>
        <v>69</v>
      </c>
      <c r="G621" s="400">
        <f t="shared" si="502"/>
        <v>41572</v>
      </c>
      <c r="H621" s="400">
        <f t="shared" si="503"/>
        <v>41676</v>
      </c>
      <c r="I621" s="244"/>
      <c r="J621" s="222"/>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3"/>
      <c r="AG621" s="223"/>
      <c r="AH621" s="223"/>
      <c r="AI621" s="223"/>
      <c r="AJ621" s="223"/>
      <c r="AK621" s="223"/>
      <c r="AL621" s="223"/>
      <c r="AM621" s="223"/>
      <c r="AN621" s="223"/>
      <c r="AO621" s="223"/>
      <c r="AP621" s="223"/>
      <c r="AQ621" s="223"/>
      <c r="AR621" s="223"/>
      <c r="AS621" s="223"/>
      <c r="AT621" s="223"/>
      <c r="AU621" s="223"/>
      <c r="AV621" s="223"/>
      <c r="AW621" s="223"/>
      <c r="AX621" s="223"/>
      <c r="AY621" s="223"/>
      <c r="AZ621" s="223"/>
      <c r="BA621" s="223"/>
      <c r="BB621" s="223"/>
      <c r="BC621" s="223"/>
      <c r="BD621" s="223"/>
      <c r="BE621" s="223"/>
      <c r="BF621" s="223"/>
      <c r="BG621" s="223"/>
      <c r="BH621" s="223"/>
      <c r="BI621" s="223"/>
      <c r="BJ621" s="223"/>
      <c r="BK621" s="223"/>
      <c r="BL621" s="223"/>
      <c r="BM621" s="223"/>
      <c r="BN621" s="223"/>
      <c r="BO621" s="223"/>
      <c r="BP621" s="223"/>
      <c r="BQ621" s="223"/>
      <c r="BR621" s="223"/>
      <c r="BS621" s="223"/>
      <c r="BT621" s="223"/>
      <c r="BU621" s="223"/>
      <c r="BV621" s="223"/>
      <c r="BW621" s="223"/>
      <c r="BX621" s="223"/>
      <c r="BY621" s="223"/>
      <c r="BZ621" s="223"/>
      <c r="CA621" s="223"/>
      <c r="CB621" s="223"/>
      <c r="CC621" s="223"/>
      <c r="CD621" s="223"/>
      <c r="CE621" s="223"/>
      <c r="CF621" s="223"/>
      <c r="CG621" s="223"/>
      <c r="CH621" s="223"/>
      <c r="CI621" s="223"/>
      <c r="CJ621" s="223"/>
      <c r="CK621" s="223"/>
      <c r="CL621" s="223"/>
      <c r="CM621" s="223"/>
      <c r="CN621" s="223"/>
      <c r="CO621" s="223"/>
      <c r="CP621" s="223"/>
      <c r="CQ621" s="223"/>
      <c r="CR621" s="223"/>
      <c r="CS621" s="223"/>
      <c r="CT621" s="223"/>
      <c r="CU621" s="223"/>
      <c r="CV621" s="223"/>
      <c r="CW621" s="223"/>
      <c r="CX621" s="223"/>
      <c r="CY621" s="223"/>
      <c r="CZ621" s="223"/>
      <c r="DA621" s="223"/>
      <c r="DB621" s="223"/>
      <c r="DC621" s="223"/>
      <c r="DD621" s="223"/>
      <c r="DE621" s="223"/>
      <c r="DF621" s="223"/>
      <c r="DG621" s="223"/>
      <c r="DH621" s="223"/>
      <c r="DI621" s="223"/>
      <c r="DJ621" s="223"/>
      <c r="DK621" s="223"/>
      <c r="DL621" s="223"/>
      <c r="DM621" s="223"/>
      <c r="DN621" s="223"/>
      <c r="DO621" s="223"/>
      <c r="DP621" s="223"/>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c r="IW621"/>
      <c r="IX621"/>
      <c r="IY621"/>
      <c r="IZ621"/>
      <c r="JA621"/>
      <c r="JB621"/>
      <c r="JC621"/>
      <c r="JD621"/>
      <c r="JE621"/>
      <c r="JF621"/>
      <c r="JG621"/>
      <c r="JH621"/>
      <c r="JI621"/>
      <c r="JJ621"/>
      <c r="JK621"/>
      <c r="JL621"/>
      <c r="JM621"/>
      <c r="JN621"/>
      <c r="JO621"/>
      <c r="JP621"/>
      <c r="JQ621"/>
      <c r="JR621"/>
      <c r="JS621"/>
      <c r="JT621"/>
      <c r="JU621"/>
      <c r="JV621"/>
      <c r="JW621"/>
      <c r="JX621"/>
      <c r="JY621"/>
      <c r="JZ621"/>
      <c r="KA621"/>
      <c r="KB621"/>
      <c r="KC621"/>
      <c r="KD621"/>
      <c r="KE621"/>
      <c r="KF621"/>
      <c r="KG621"/>
      <c r="KH621"/>
      <c r="KI621"/>
      <c r="KJ621"/>
      <c r="KK621"/>
      <c r="KL621"/>
      <c r="KM621"/>
      <c r="KN621"/>
      <c r="KO621"/>
      <c r="KP621"/>
      <c r="KQ621"/>
      <c r="KR621"/>
      <c r="KS621"/>
      <c r="KT621"/>
      <c r="KU621"/>
      <c r="KV621"/>
      <c r="KW621"/>
      <c r="KX621"/>
      <c r="KY621"/>
      <c r="KZ621"/>
      <c r="LA621"/>
      <c r="LB621"/>
      <c r="LC621"/>
      <c r="LD621"/>
      <c r="LE621"/>
      <c r="LF621"/>
      <c r="LG621"/>
      <c r="LH621"/>
      <c r="LI621"/>
      <c r="LJ621"/>
      <c r="LK621"/>
      <c r="LL621"/>
      <c r="LM621"/>
      <c r="LN621"/>
      <c r="LO621"/>
      <c r="LP621"/>
      <c r="LQ621"/>
      <c r="LR621"/>
      <c r="LS621"/>
      <c r="LT621"/>
      <c r="LU621"/>
      <c r="LV621"/>
      <c r="LW621"/>
      <c r="LX621"/>
      <c r="LY621"/>
      <c r="LZ621"/>
      <c r="MA621"/>
      <c r="MB621"/>
      <c r="MC621"/>
      <c r="MD621"/>
      <c r="ME621"/>
      <c r="MF621"/>
      <c r="MG621"/>
      <c r="MH621"/>
      <c r="MI621"/>
      <c r="MJ621"/>
      <c r="MK621"/>
      <c r="ML621"/>
      <c r="MM621"/>
      <c r="MN621"/>
      <c r="MO621"/>
      <c r="MP621"/>
      <c r="MQ621"/>
      <c r="MR621"/>
      <c r="MS621"/>
      <c r="MT621"/>
      <c r="MU621"/>
      <c r="MV621"/>
      <c r="MW621"/>
      <c r="MX621"/>
      <c r="MY621"/>
      <c r="MZ621"/>
      <c r="NA621"/>
      <c r="NB621"/>
      <c r="NC621"/>
      <c r="ND621"/>
      <c r="NE621"/>
      <c r="NF621"/>
      <c r="NG621"/>
      <c r="NH621"/>
      <c r="NI621"/>
      <c r="NJ621"/>
      <c r="NK621"/>
      <c r="NL621"/>
      <c r="NM621"/>
      <c r="NN621"/>
      <c r="NO621"/>
      <c r="NP621"/>
      <c r="NQ621"/>
      <c r="NR621"/>
      <c r="NS621"/>
      <c r="NT621"/>
      <c r="NU621"/>
      <c r="NV621"/>
      <c r="NW621"/>
      <c r="NX621"/>
      <c r="NY621"/>
      <c r="NZ621"/>
      <c r="OA621"/>
      <c r="OB621"/>
      <c r="OC621"/>
      <c r="OD621"/>
      <c r="OE621"/>
      <c r="OF621"/>
      <c r="OG621"/>
      <c r="OH621"/>
      <c r="OI621"/>
      <c r="OJ621"/>
      <c r="OK621"/>
      <c r="OL621"/>
      <c r="OM621"/>
      <c r="ON621"/>
      <c r="OO621"/>
      <c r="OP621"/>
      <c r="OQ621"/>
      <c r="OR621"/>
      <c r="OS621"/>
      <c r="OT621"/>
      <c r="OU621"/>
      <c r="OV621"/>
      <c r="OW621"/>
      <c r="OX621"/>
      <c r="OY621"/>
      <c r="OZ621"/>
      <c r="PA621"/>
      <c r="PB621"/>
      <c r="PC621"/>
      <c r="PD621"/>
      <c r="PE621"/>
      <c r="PF621"/>
      <c r="PG621"/>
      <c r="PH621"/>
      <c r="PI621"/>
      <c r="PJ621"/>
      <c r="PK621"/>
      <c r="PL621"/>
      <c r="PM621"/>
      <c r="PN621"/>
      <c r="PO621"/>
      <c r="PP621"/>
      <c r="PQ621"/>
      <c r="PR621"/>
      <c r="PS621"/>
      <c r="PT621"/>
      <c r="PU621"/>
      <c r="PV621"/>
      <c r="PW621"/>
      <c r="PX621"/>
      <c r="PY621"/>
      <c r="PZ621"/>
      <c r="QA621"/>
      <c r="QB621"/>
      <c r="QC621"/>
      <c r="QD621"/>
      <c r="QE621"/>
      <c r="QF621"/>
      <c r="QG621"/>
      <c r="QH621"/>
      <c r="QI621"/>
      <c r="QJ621"/>
      <c r="QK621"/>
      <c r="QL621"/>
      <c r="QM621"/>
      <c r="QN621"/>
      <c r="QO621"/>
      <c r="QP621"/>
      <c r="QQ621"/>
      <c r="QR621"/>
      <c r="QS621"/>
      <c r="QT621"/>
      <c r="QU621"/>
      <c r="QV621"/>
      <c r="QW621"/>
      <c r="QX621"/>
      <c r="QY621"/>
      <c r="QZ621"/>
      <c r="RA621"/>
      <c r="RB621"/>
      <c r="RC621"/>
      <c r="RD621"/>
      <c r="RE621"/>
      <c r="RF621"/>
      <c r="RG621"/>
      <c r="RH621"/>
      <c r="RI621"/>
      <c r="RJ621"/>
      <c r="RK621"/>
      <c r="RL621"/>
      <c r="RM621"/>
      <c r="RN621"/>
      <c r="RO621"/>
      <c r="RP621"/>
      <c r="RQ621"/>
      <c r="RR621"/>
      <c r="RS621"/>
      <c r="RT621"/>
      <c r="RU621"/>
      <c r="RV621"/>
      <c r="RW621"/>
      <c r="RX621"/>
      <c r="RY621"/>
      <c r="RZ621"/>
      <c r="SA621"/>
      <c r="SB621"/>
      <c r="SC621"/>
      <c r="SD621"/>
      <c r="SE621"/>
      <c r="SF621"/>
      <c r="SG621"/>
      <c r="SH621"/>
      <c r="SI621"/>
      <c r="SJ621"/>
      <c r="SK621"/>
      <c r="SL621"/>
      <c r="SM621"/>
      <c r="SN621"/>
      <c r="SO621"/>
      <c r="SP621"/>
      <c r="SQ621"/>
      <c r="SR621"/>
      <c r="SS621"/>
      <c r="ST621"/>
      <c r="SU621"/>
      <c r="SV621"/>
      <c r="SW621"/>
      <c r="SX621"/>
      <c r="SY621"/>
      <c r="SZ621"/>
      <c r="TA621"/>
      <c r="TB621"/>
      <c r="TC621"/>
      <c r="TD621"/>
      <c r="TE621"/>
      <c r="TF621"/>
      <c r="TG621"/>
      <c r="TH621"/>
      <c r="TI621"/>
      <c r="TJ621"/>
      <c r="TK621"/>
      <c r="TL621"/>
      <c r="TM621"/>
      <c r="TN621"/>
      <c r="TO621"/>
      <c r="TP621"/>
      <c r="TQ621"/>
      <c r="TR621"/>
      <c r="TS621"/>
      <c r="TT621"/>
      <c r="TU621"/>
      <c r="TV621"/>
      <c r="TW621"/>
      <c r="TX621"/>
      <c r="TY621"/>
      <c r="TZ621"/>
      <c r="UA621"/>
      <c r="UB621"/>
      <c r="UC621"/>
      <c r="UD621"/>
      <c r="UE621"/>
      <c r="UF621"/>
      <c r="UG621"/>
      <c r="UH621"/>
      <c r="UI621"/>
      <c r="UJ621"/>
      <c r="UK621"/>
      <c r="UL621"/>
      <c r="UM621"/>
      <c r="UN621"/>
      <c r="UO621"/>
      <c r="UP621"/>
      <c r="UQ621"/>
      <c r="UR621"/>
      <c r="US621"/>
      <c r="UT621"/>
      <c r="UU621"/>
      <c r="UV621"/>
      <c r="UW621"/>
      <c r="UX621"/>
      <c r="UY621"/>
      <c r="UZ621"/>
      <c r="VA621"/>
      <c r="VB621"/>
      <c r="VC621"/>
      <c r="VD621"/>
      <c r="VE621"/>
      <c r="VF621"/>
      <c r="VG621"/>
      <c r="VH621"/>
      <c r="VI621"/>
      <c r="VJ621"/>
      <c r="VK621"/>
      <c r="VL621"/>
      <c r="VM621"/>
      <c r="VN621"/>
      <c r="VO621"/>
      <c r="VP621"/>
      <c r="VQ621"/>
      <c r="VR621"/>
      <c r="VS621"/>
      <c r="VT621"/>
      <c r="VU621"/>
      <c r="VV621"/>
      <c r="VW621"/>
      <c r="VX621"/>
      <c r="VY621"/>
      <c r="VZ621"/>
      <c r="WA621"/>
      <c r="WB621"/>
      <c r="WC621"/>
      <c r="WD621"/>
      <c r="WE621"/>
      <c r="WF621"/>
      <c r="WG621"/>
      <c r="WH621"/>
      <c r="WI621"/>
      <c r="WJ621"/>
      <c r="WK621"/>
      <c r="WL621"/>
      <c r="WM621"/>
      <c r="WN621"/>
      <c r="WO621"/>
      <c r="WP621"/>
      <c r="WQ621"/>
      <c r="WR621"/>
      <c r="WS621"/>
      <c r="WT621"/>
      <c r="WU621"/>
      <c r="WV621"/>
      <c r="WW621"/>
      <c r="WX621"/>
      <c r="WY621"/>
      <c r="WZ621"/>
      <c r="XA621"/>
      <c r="XB621"/>
      <c r="XC621"/>
      <c r="XD621"/>
      <c r="XE621"/>
      <c r="XF621"/>
      <c r="XG621"/>
      <c r="XH621"/>
      <c r="XI621"/>
      <c r="XJ621"/>
      <c r="XK621"/>
      <c r="XL621"/>
      <c r="XM621"/>
      <c r="XN621"/>
      <c r="XO621"/>
      <c r="XP621"/>
      <c r="XQ621"/>
      <c r="XR621"/>
      <c r="XS621"/>
      <c r="XT621"/>
      <c r="XU621"/>
      <c r="XV621"/>
      <c r="XW621"/>
      <c r="XX621"/>
      <c r="XY621"/>
      <c r="XZ621"/>
      <c r="YA621"/>
      <c r="YB621"/>
      <c r="YC621"/>
      <c r="YD621"/>
      <c r="YE621"/>
      <c r="YF621"/>
      <c r="YG621"/>
      <c r="YH621"/>
      <c r="YI621"/>
      <c r="YJ621"/>
      <c r="YK621"/>
      <c r="YL621"/>
      <c r="YM621"/>
      <c r="YN621"/>
      <c r="YO621"/>
      <c r="YP621"/>
      <c r="YQ621"/>
      <c r="YR621"/>
      <c r="YS621"/>
      <c r="YT621"/>
      <c r="YU621"/>
      <c r="YV621"/>
      <c r="YW621"/>
      <c r="YX621"/>
      <c r="YY621"/>
      <c r="YZ621"/>
      <c r="ZA621"/>
      <c r="ZB621"/>
      <c r="ZC621"/>
      <c r="ZD621"/>
      <c r="ZE621"/>
      <c r="ZF621"/>
      <c r="ZG621"/>
      <c r="ZH621"/>
      <c r="ZI621"/>
      <c r="ZJ621"/>
      <c r="ZK621"/>
      <c r="ZL621"/>
      <c r="ZM621"/>
      <c r="ZN621"/>
      <c r="ZO621"/>
      <c r="ZP621"/>
      <c r="ZQ621"/>
      <c r="ZR621"/>
      <c r="ZS621"/>
      <c r="ZT621"/>
      <c r="ZU621"/>
      <c r="ZV621"/>
      <c r="ZW621"/>
      <c r="ZX621"/>
      <c r="ZY621"/>
      <c r="ZZ621" s="52"/>
      <c r="AAA621" s="192"/>
      <c r="AAD621" s="90"/>
      <c r="AAE621" s="519">
        <f>IF(S.EQC.InfoItem="Y",1,0)</f>
        <v>0</v>
      </c>
      <c r="AAF621" s="90"/>
      <c r="AAG621" s="73">
        <f t="shared" si="499"/>
        <v>41572</v>
      </c>
      <c r="AAH621" s="73">
        <f t="shared" si="500"/>
        <v>41676</v>
      </c>
      <c r="AAI621" s="72"/>
      <c r="AAJ621" s="56"/>
      <c r="AAK621" s="80" t="str">
        <f>IF(S.EQC.InfoItem="N","* no EQC Information Item","* drafts EQC Information  Item")</f>
        <v>* no EQC Information Item</v>
      </c>
      <c r="AAL621" s="90"/>
    </row>
    <row r="622" spans="1:715" s="23" customFormat="1" ht="15" customHeight="1" outlineLevel="2">
      <c r="A622" s="171"/>
      <c r="B622" s="396" t="str">
        <f>AAK622</f>
        <v>* leads EQC material review</v>
      </c>
      <c r="C622" s="418" t="s">
        <v>0</v>
      </c>
      <c r="D622" s="417"/>
      <c r="E622" s="397">
        <f t="shared" ref="E622" si="504">NETWORKDAYS(G622,H622,S.DDL_DEQClosed)</f>
        <v>70</v>
      </c>
      <c r="F622" s="457">
        <f t="shared" ca="1" si="496"/>
        <v>69</v>
      </c>
      <c r="G622" s="400">
        <f t="shared" ref="G622" si="505">AAG622</f>
        <v>41572</v>
      </c>
      <c r="H622" s="400">
        <f t="shared" ref="H622" si="506">AAH622</f>
        <v>41676</v>
      </c>
      <c r="I622" s="244"/>
      <c r="J622" s="222"/>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3"/>
      <c r="AG622" s="223"/>
      <c r="AH622" s="223"/>
      <c r="AI622" s="223"/>
      <c r="AJ622" s="223"/>
      <c r="AK622" s="223"/>
      <c r="AL622" s="223"/>
      <c r="AM622" s="223"/>
      <c r="AN622" s="223"/>
      <c r="AO622" s="223"/>
      <c r="AP622" s="223"/>
      <c r="AQ622" s="223"/>
      <c r="AR622" s="223"/>
      <c r="AS622" s="223"/>
      <c r="AT622" s="223"/>
      <c r="AU622" s="223"/>
      <c r="AV622" s="223"/>
      <c r="AW622" s="223"/>
      <c r="AX622" s="223"/>
      <c r="AY622" s="223"/>
      <c r="AZ622" s="223"/>
      <c r="BA622" s="223"/>
      <c r="BB622" s="223"/>
      <c r="BC622" s="223"/>
      <c r="BD622" s="223"/>
      <c r="BE622" s="223"/>
      <c r="BF622" s="223"/>
      <c r="BG622" s="223"/>
      <c r="BH622" s="223"/>
      <c r="BI622" s="223"/>
      <c r="BJ622" s="223"/>
      <c r="BK622" s="223"/>
      <c r="BL622" s="223"/>
      <c r="BM622" s="223"/>
      <c r="BN622" s="223"/>
      <c r="BO622" s="223"/>
      <c r="BP622" s="223"/>
      <c r="BQ622" s="223"/>
      <c r="BR622" s="223"/>
      <c r="BS622" s="223"/>
      <c r="BT622" s="223"/>
      <c r="BU622" s="223"/>
      <c r="BV622" s="223"/>
      <c r="BW622" s="223"/>
      <c r="BX622" s="223"/>
      <c r="BY622" s="223"/>
      <c r="BZ622" s="223"/>
      <c r="CA622" s="223"/>
      <c r="CB622" s="223"/>
      <c r="CC622" s="223"/>
      <c r="CD622" s="223"/>
      <c r="CE622" s="223"/>
      <c r="CF622" s="223"/>
      <c r="CG622" s="223"/>
      <c r="CH622" s="223"/>
      <c r="CI622" s="223"/>
      <c r="CJ622" s="223"/>
      <c r="CK622" s="223"/>
      <c r="CL622" s="223"/>
      <c r="CM622" s="223"/>
      <c r="CN622" s="223"/>
      <c r="CO622" s="223"/>
      <c r="CP622" s="223"/>
      <c r="CQ622" s="223"/>
      <c r="CR622" s="223"/>
      <c r="CS622" s="223"/>
      <c r="CT622" s="223"/>
      <c r="CU622" s="223"/>
      <c r="CV622" s="223"/>
      <c r="CW622" s="223"/>
      <c r="CX622" s="223"/>
      <c r="CY622" s="223"/>
      <c r="CZ622" s="223"/>
      <c r="DA622" s="223"/>
      <c r="DB622" s="223"/>
      <c r="DC622" s="223"/>
      <c r="DD622" s="223"/>
      <c r="DE622" s="223"/>
      <c r="DF622" s="223"/>
      <c r="DG622" s="223"/>
      <c r="DH622" s="223"/>
      <c r="DI622" s="223"/>
      <c r="DJ622" s="223"/>
      <c r="DK622" s="223"/>
      <c r="DL622" s="223"/>
      <c r="DM622" s="223"/>
      <c r="DN622" s="223"/>
      <c r="DO622" s="223"/>
      <c r="DP622" s="223"/>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c r="IW622"/>
      <c r="IX622"/>
      <c r="IY622"/>
      <c r="IZ622"/>
      <c r="JA622"/>
      <c r="JB622"/>
      <c r="JC622"/>
      <c r="JD622"/>
      <c r="JE622"/>
      <c r="JF622"/>
      <c r="JG622"/>
      <c r="JH622"/>
      <c r="JI622"/>
      <c r="JJ622"/>
      <c r="JK622"/>
      <c r="JL622"/>
      <c r="JM622"/>
      <c r="JN622"/>
      <c r="JO622"/>
      <c r="JP622"/>
      <c r="JQ622"/>
      <c r="JR622"/>
      <c r="JS622"/>
      <c r="JT622"/>
      <c r="JU622"/>
      <c r="JV622"/>
      <c r="JW622"/>
      <c r="JX622"/>
      <c r="JY622"/>
      <c r="JZ622"/>
      <c r="KA622"/>
      <c r="KB622"/>
      <c r="KC622"/>
      <c r="KD622"/>
      <c r="KE622"/>
      <c r="KF622"/>
      <c r="KG622"/>
      <c r="KH622"/>
      <c r="KI622"/>
      <c r="KJ622"/>
      <c r="KK622"/>
      <c r="KL622"/>
      <c r="KM622"/>
      <c r="KN622"/>
      <c r="KO622"/>
      <c r="KP622"/>
      <c r="KQ622"/>
      <c r="KR622"/>
      <c r="KS622"/>
      <c r="KT622"/>
      <c r="KU622"/>
      <c r="KV622"/>
      <c r="KW622"/>
      <c r="KX622"/>
      <c r="KY622"/>
      <c r="KZ622"/>
      <c r="LA622"/>
      <c r="LB622"/>
      <c r="LC622"/>
      <c r="LD622"/>
      <c r="LE622"/>
      <c r="LF622"/>
      <c r="LG622"/>
      <c r="LH622"/>
      <c r="LI622"/>
      <c r="LJ622"/>
      <c r="LK622"/>
      <c r="LL622"/>
      <c r="LM622"/>
      <c r="LN622"/>
      <c r="LO622"/>
      <c r="LP622"/>
      <c r="LQ622"/>
      <c r="LR622"/>
      <c r="LS622"/>
      <c r="LT622"/>
      <c r="LU622"/>
      <c r="LV622"/>
      <c r="LW622"/>
      <c r="LX622"/>
      <c r="LY622"/>
      <c r="LZ622"/>
      <c r="MA622"/>
      <c r="MB622"/>
      <c r="MC622"/>
      <c r="MD622"/>
      <c r="ME622"/>
      <c r="MF622"/>
      <c r="MG622"/>
      <c r="MH622"/>
      <c r="MI622"/>
      <c r="MJ622"/>
      <c r="MK622"/>
      <c r="ML622"/>
      <c r="MM622"/>
      <c r="MN622"/>
      <c r="MO622"/>
      <c r="MP622"/>
      <c r="MQ622"/>
      <c r="MR622"/>
      <c r="MS622"/>
      <c r="MT622"/>
      <c r="MU622"/>
      <c r="MV622"/>
      <c r="MW622"/>
      <c r="MX622"/>
      <c r="MY622"/>
      <c r="MZ622"/>
      <c r="NA622"/>
      <c r="NB622"/>
      <c r="NC622"/>
      <c r="ND622"/>
      <c r="NE622"/>
      <c r="NF622"/>
      <c r="NG622"/>
      <c r="NH622"/>
      <c r="NI622"/>
      <c r="NJ622"/>
      <c r="NK622"/>
      <c r="NL622"/>
      <c r="NM622"/>
      <c r="NN622"/>
      <c r="NO622"/>
      <c r="NP622"/>
      <c r="NQ622"/>
      <c r="NR622"/>
      <c r="NS622"/>
      <c r="NT622"/>
      <c r="NU622"/>
      <c r="NV622"/>
      <c r="NW622"/>
      <c r="NX622"/>
      <c r="NY622"/>
      <c r="NZ622"/>
      <c r="OA622"/>
      <c r="OB622"/>
      <c r="OC622"/>
      <c r="OD622"/>
      <c r="OE622"/>
      <c r="OF622"/>
      <c r="OG622"/>
      <c r="OH622"/>
      <c r="OI622"/>
      <c r="OJ622"/>
      <c r="OK622"/>
      <c r="OL622"/>
      <c r="OM622"/>
      <c r="ON622"/>
      <c r="OO622"/>
      <c r="OP622"/>
      <c r="OQ622"/>
      <c r="OR622"/>
      <c r="OS622"/>
      <c r="OT622"/>
      <c r="OU622"/>
      <c r="OV622"/>
      <c r="OW622"/>
      <c r="OX622"/>
      <c r="OY622"/>
      <c r="OZ622"/>
      <c r="PA622"/>
      <c r="PB622"/>
      <c r="PC622"/>
      <c r="PD622"/>
      <c r="PE622"/>
      <c r="PF622"/>
      <c r="PG622"/>
      <c r="PH622"/>
      <c r="PI622"/>
      <c r="PJ622"/>
      <c r="PK622"/>
      <c r="PL622"/>
      <c r="PM622"/>
      <c r="PN622"/>
      <c r="PO622"/>
      <c r="PP622"/>
      <c r="PQ622"/>
      <c r="PR622"/>
      <c r="PS622"/>
      <c r="PT622"/>
      <c r="PU622"/>
      <c r="PV622"/>
      <c r="PW622"/>
      <c r="PX622"/>
      <c r="PY622"/>
      <c r="PZ622"/>
      <c r="QA622"/>
      <c r="QB622"/>
      <c r="QC622"/>
      <c r="QD622"/>
      <c r="QE622"/>
      <c r="QF622"/>
      <c r="QG622"/>
      <c r="QH622"/>
      <c r="QI622"/>
      <c r="QJ622"/>
      <c r="QK622"/>
      <c r="QL622"/>
      <c r="QM622"/>
      <c r="QN622"/>
      <c r="QO622"/>
      <c r="QP622"/>
      <c r="QQ622"/>
      <c r="QR622"/>
      <c r="QS622"/>
      <c r="QT622"/>
      <c r="QU622"/>
      <c r="QV622"/>
      <c r="QW622"/>
      <c r="QX622"/>
      <c r="QY622"/>
      <c r="QZ622"/>
      <c r="RA622"/>
      <c r="RB622"/>
      <c r="RC622"/>
      <c r="RD622"/>
      <c r="RE622"/>
      <c r="RF622"/>
      <c r="RG622"/>
      <c r="RH622"/>
      <c r="RI622"/>
      <c r="RJ622"/>
      <c r="RK622"/>
      <c r="RL622"/>
      <c r="RM622"/>
      <c r="RN622"/>
      <c r="RO622"/>
      <c r="RP622"/>
      <c r="RQ622"/>
      <c r="RR622"/>
      <c r="RS622"/>
      <c r="RT622"/>
      <c r="RU622"/>
      <c r="RV622"/>
      <c r="RW622"/>
      <c r="RX622"/>
      <c r="RY622"/>
      <c r="RZ622"/>
      <c r="SA622"/>
      <c r="SB622"/>
      <c r="SC622"/>
      <c r="SD622"/>
      <c r="SE622"/>
      <c r="SF622"/>
      <c r="SG622"/>
      <c r="SH622"/>
      <c r="SI622"/>
      <c r="SJ622"/>
      <c r="SK622"/>
      <c r="SL622"/>
      <c r="SM622"/>
      <c r="SN622"/>
      <c r="SO622"/>
      <c r="SP622"/>
      <c r="SQ622"/>
      <c r="SR622"/>
      <c r="SS622"/>
      <c r="ST622"/>
      <c r="SU622"/>
      <c r="SV622"/>
      <c r="SW622"/>
      <c r="SX622"/>
      <c r="SY622"/>
      <c r="SZ622"/>
      <c r="TA622"/>
      <c r="TB622"/>
      <c r="TC622"/>
      <c r="TD622"/>
      <c r="TE622"/>
      <c r="TF622"/>
      <c r="TG622"/>
      <c r="TH622"/>
      <c r="TI622"/>
      <c r="TJ622"/>
      <c r="TK622"/>
      <c r="TL622"/>
      <c r="TM622"/>
      <c r="TN622"/>
      <c r="TO622"/>
      <c r="TP622"/>
      <c r="TQ622"/>
      <c r="TR622"/>
      <c r="TS622"/>
      <c r="TT622"/>
      <c r="TU622"/>
      <c r="TV622"/>
      <c r="TW622"/>
      <c r="TX622"/>
      <c r="TY622"/>
      <c r="TZ622"/>
      <c r="UA622"/>
      <c r="UB622"/>
      <c r="UC622"/>
      <c r="UD622"/>
      <c r="UE622"/>
      <c r="UF622"/>
      <c r="UG622"/>
      <c r="UH622"/>
      <c r="UI622"/>
      <c r="UJ622"/>
      <c r="UK622"/>
      <c r="UL622"/>
      <c r="UM622"/>
      <c r="UN622"/>
      <c r="UO622"/>
      <c r="UP622"/>
      <c r="UQ622"/>
      <c r="UR622"/>
      <c r="US622"/>
      <c r="UT622"/>
      <c r="UU622"/>
      <c r="UV622"/>
      <c r="UW622"/>
      <c r="UX622"/>
      <c r="UY622"/>
      <c r="UZ622"/>
      <c r="VA622"/>
      <c r="VB622"/>
      <c r="VC622"/>
      <c r="VD622"/>
      <c r="VE622"/>
      <c r="VF622"/>
      <c r="VG622"/>
      <c r="VH622"/>
      <c r="VI622"/>
      <c r="VJ622"/>
      <c r="VK622"/>
      <c r="VL622"/>
      <c r="VM622"/>
      <c r="VN622"/>
      <c r="VO622"/>
      <c r="VP622"/>
      <c r="VQ622"/>
      <c r="VR622"/>
      <c r="VS622"/>
      <c r="VT622"/>
      <c r="VU622"/>
      <c r="VV622"/>
      <c r="VW622"/>
      <c r="VX622"/>
      <c r="VY622"/>
      <c r="VZ622"/>
      <c r="WA622"/>
      <c r="WB622"/>
      <c r="WC622"/>
      <c r="WD622"/>
      <c r="WE622"/>
      <c r="WF622"/>
      <c r="WG622"/>
      <c r="WH622"/>
      <c r="WI622"/>
      <c r="WJ622"/>
      <c r="WK622"/>
      <c r="WL622"/>
      <c r="WM622"/>
      <c r="WN622"/>
      <c r="WO622"/>
      <c r="WP622"/>
      <c r="WQ622"/>
      <c r="WR622"/>
      <c r="WS622"/>
      <c r="WT622"/>
      <c r="WU622"/>
      <c r="WV622"/>
      <c r="WW622"/>
      <c r="WX622"/>
      <c r="WY622"/>
      <c r="WZ622"/>
      <c r="XA622"/>
      <c r="XB622"/>
      <c r="XC622"/>
      <c r="XD622"/>
      <c r="XE622"/>
      <c r="XF622"/>
      <c r="XG622"/>
      <c r="XH622"/>
      <c r="XI622"/>
      <c r="XJ622"/>
      <c r="XK622"/>
      <c r="XL622"/>
      <c r="XM622"/>
      <c r="XN622"/>
      <c r="XO622"/>
      <c r="XP622"/>
      <c r="XQ622"/>
      <c r="XR622"/>
      <c r="XS622"/>
      <c r="XT622"/>
      <c r="XU622"/>
      <c r="XV622"/>
      <c r="XW622"/>
      <c r="XX622"/>
      <c r="XY622"/>
      <c r="XZ622"/>
      <c r="YA622"/>
      <c r="YB622"/>
      <c r="YC622"/>
      <c r="YD622"/>
      <c r="YE622"/>
      <c r="YF622"/>
      <c r="YG622"/>
      <c r="YH622"/>
      <c r="YI622"/>
      <c r="YJ622"/>
      <c r="YK622"/>
      <c r="YL622"/>
      <c r="YM622"/>
      <c r="YN622"/>
      <c r="YO622"/>
      <c r="YP622"/>
      <c r="YQ622"/>
      <c r="YR622"/>
      <c r="YS622"/>
      <c r="YT622"/>
      <c r="YU622"/>
      <c r="YV622"/>
      <c r="YW622"/>
      <c r="YX622"/>
      <c r="YY622"/>
      <c r="YZ622"/>
      <c r="ZA622"/>
      <c r="ZB622"/>
      <c r="ZC622"/>
      <c r="ZD622"/>
      <c r="ZE622"/>
      <c r="ZF622"/>
      <c r="ZG622"/>
      <c r="ZH622"/>
      <c r="ZI622"/>
      <c r="ZJ622"/>
      <c r="ZK622"/>
      <c r="ZL622"/>
      <c r="ZM622"/>
      <c r="ZN622"/>
      <c r="ZO622"/>
      <c r="ZP622"/>
      <c r="ZQ622"/>
      <c r="ZR622"/>
      <c r="ZS622"/>
      <c r="ZT622"/>
      <c r="ZU622"/>
      <c r="ZV622"/>
      <c r="ZW622"/>
      <c r="ZX622"/>
      <c r="ZY622"/>
      <c r="ZZ622" s="52"/>
      <c r="AAA622" s="192"/>
      <c r="AAD622" s="90"/>
      <c r="AAE622" s="519">
        <f>IF(OR(S.EQC.DirReport="Y",S.EQC.FacHearing="Y"),1,0)</f>
        <v>1</v>
      </c>
      <c r="AAF622" s="90"/>
      <c r="AAG622" s="73">
        <f t="shared" si="499"/>
        <v>41572</v>
      </c>
      <c r="AAH622" s="73">
        <f t="shared" si="500"/>
        <v>41676</v>
      </c>
      <c r="AAI622" s="72"/>
      <c r="AAJ622" s="56"/>
      <c r="AAK622" s="80" t="str">
        <f>IF(OR(S.EQC.DirReport="Y",S.EQC.InfoItem="Y"),"* leads EQC material review","* blank row")</f>
        <v>* leads EQC material review</v>
      </c>
      <c r="AAL622" s="90"/>
    </row>
    <row r="623" spans="1:715" ht="15" customHeight="1" outlineLevel="2">
      <c r="A623" s="171"/>
      <c r="B623" s="389" t="str">
        <f>AAK623</f>
        <v>AndreaRW develops STAFF.RPT.Permanent preloaded in folder 6 by:</v>
      </c>
      <c r="C623" s="418" t="s">
        <v>0</v>
      </c>
      <c r="D623" s="417"/>
      <c r="E623" s="397">
        <f t="shared" ref="E623" si="507">NETWORKDAYS(G623,H623,S.DDL_DEQClosed)</f>
        <v>70</v>
      </c>
      <c r="F623" s="457">
        <f t="shared" ca="1" si="496"/>
        <v>69</v>
      </c>
      <c r="G623" s="400">
        <f t="shared" ref="G623:H623" si="508">AAG623</f>
        <v>41572</v>
      </c>
      <c r="H623" s="400">
        <f t="shared" si="508"/>
        <v>41676</v>
      </c>
      <c r="I623" s="244"/>
      <c r="J623" s="222"/>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3"/>
      <c r="AG623" s="223"/>
      <c r="AH623" s="223"/>
      <c r="AI623" s="223"/>
      <c r="AJ623" s="223"/>
      <c r="AK623" s="223"/>
      <c r="AL623" s="223"/>
      <c r="AM623" s="223"/>
      <c r="AN623" s="223"/>
      <c r="AO623" s="223"/>
      <c r="AP623" s="223"/>
      <c r="AQ623" s="223"/>
      <c r="AR623" s="223"/>
      <c r="AS623" s="223"/>
      <c r="AT623" s="223"/>
      <c r="AU623" s="223"/>
      <c r="AV623" s="223"/>
      <c r="AW623" s="223"/>
      <c r="AX623" s="223"/>
      <c r="AY623" s="223"/>
      <c r="AZ623" s="223"/>
      <c r="BA623" s="223"/>
      <c r="BB623" s="223"/>
      <c r="BC623" s="223"/>
      <c r="BD623" s="223"/>
      <c r="BE623" s="223"/>
      <c r="BF623" s="223"/>
      <c r="BG623" s="223"/>
      <c r="BH623" s="223"/>
      <c r="BI623" s="223"/>
      <c r="BJ623" s="223"/>
      <c r="BK623" s="223"/>
      <c r="BL623" s="223"/>
      <c r="BM623" s="223"/>
      <c r="BN623" s="223"/>
      <c r="BO623" s="223"/>
      <c r="BP623" s="223"/>
      <c r="BQ623" s="223"/>
      <c r="BR623" s="223"/>
      <c r="BS623" s="223"/>
      <c r="BT623" s="223"/>
      <c r="BU623" s="223"/>
      <c r="BV623" s="223"/>
      <c r="BW623" s="223"/>
      <c r="BX623" s="223"/>
      <c r="BY623" s="223"/>
      <c r="BZ623" s="223"/>
      <c r="CA623" s="223"/>
      <c r="CB623" s="223"/>
      <c r="CC623" s="223"/>
      <c r="CD623" s="223"/>
      <c r="CE623" s="223"/>
      <c r="CF623" s="223"/>
      <c r="CG623" s="223"/>
      <c r="CH623" s="223"/>
      <c r="CI623" s="223"/>
      <c r="CJ623" s="223"/>
      <c r="CK623" s="223"/>
      <c r="CL623" s="223"/>
      <c r="CM623" s="223"/>
      <c r="CN623" s="223"/>
      <c r="CO623" s="223"/>
      <c r="CP623" s="223"/>
      <c r="CQ623" s="223"/>
      <c r="CR623" s="223"/>
      <c r="CS623" s="223"/>
      <c r="CT623" s="223"/>
      <c r="CU623" s="223"/>
      <c r="CV623" s="223"/>
      <c r="CW623" s="223"/>
      <c r="CX623" s="223"/>
      <c r="CY623" s="223"/>
      <c r="CZ623" s="223"/>
      <c r="DA623" s="223"/>
      <c r="DB623" s="223"/>
      <c r="DC623" s="223"/>
      <c r="DD623" s="223"/>
      <c r="DE623" s="223"/>
      <c r="DF623" s="223"/>
      <c r="DG623" s="223"/>
      <c r="DH623" s="223"/>
      <c r="DI623" s="223"/>
      <c r="DJ623" s="223"/>
      <c r="DK623" s="223"/>
      <c r="DL623" s="223"/>
      <c r="DM623" s="223"/>
      <c r="DN623" s="223"/>
      <c r="DO623" s="223"/>
      <c r="DP623" s="223"/>
      <c r="AAA623" s="192"/>
      <c r="AAD623" s="90"/>
      <c r="AAE623" s="519">
        <v>1</v>
      </c>
      <c r="AAF623" s="90"/>
      <c r="AAG623" s="73">
        <f t="shared" si="499"/>
        <v>41572</v>
      </c>
      <c r="AAH623" s="73">
        <f t="shared" si="500"/>
        <v>41676</v>
      </c>
      <c r="AAI623" s="72"/>
      <c r="AAJ623" s="56"/>
      <c r="AAK623" s="80" t="str">
        <f>IF(S.General.RuleType="P",S.Staff.Lead&amp;" develops STAFF.RPT.Permanent preloaded in folder 6 by:",S.Staff.Lead&amp;" develops STAFF.RPT.Temporary (preloaded in folder 6 by:")</f>
        <v>AndreaRW develops STAFF.RPT.Permanent preloaded in folder 6 by:</v>
      </c>
      <c r="AAL623" s="90"/>
      <c r="AAM623"/>
    </row>
    <row r="624" spans="1:715" s="23" customFormat="1" ht="15" customHeight="1" outlineLevel="2">
      <c r="A624" s="171"/>
      <c r="B624" s="413" t="s">
        <v>166</v>
      </c>
      <c r="C624" s="418" t="s">
        <v>0</v>
      </c>
      <c r="D624" s="417"/>
      <c r="E624" s="397">
        <f t="shared" ref="E624" si="509">NETWORKDAYS(G624,H624,S.DDL_DEQClosed)</f>
        <v>70</v>
      </c>
      <c r="F624" s="457">
        <f t="shared" ca="1" si="496"/>
        <v>69</v>
      </c>
      <c r="G624" s="400">
        <f t="shared" ref="G624" si="510">AAG624</f>
        <v>41572</v>
      </c>
      <c r="H624" s="400">
        <f t="shared" ref="H624" si="511">AAH624</f>
        <v>41676</v>
      </c>
      <c r="I624" s="244"/>
      <c r="J624" s="222"/>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3"/>
      <c r="AG624" s="223"/>
      <c r="AH624" s="223"/>
      <c r="AI624" s="223"/>
      <c r="AJ624" s="223"/>
      <c r="AK624" s="223"/>
      <c r="AL624" s="223"/>
      <c r="AM624" s="223"/>
      <c r="AN624" s="223"/>
      <c r="AO624" s="223"/>
      <c r="AP624" s="223"/>
      <c r="AQ624" s="223"/>
      <c r="AR624" s="223"/>
      <c r="AS624" s="223"/>
      <c r="AT624" s="223"/>
      <c r="AU624" s="223"/>
      <c r="AV624" s="223"/>
      <c r="AW624" s="223"/>
      <c r="AX624" s="223"/>
      <c r="AY624" s="223"/>
      <c r="AZ624" s="223"/>
      <c r="BA624" s="223"/>
      <c r="BB624" s="223"/>
      <c r="BC624" s="223"/>
      <c r="BD624" s="223"/>
      <c r="BE624" s="223"/>
      <c r="BF624" s="223"/>
      <c r="BG624" s="223"/>
      <c r="BH624" s="223"/>
      <c r="BI624" s="223"/>
      <c r="BJ624" s="223"/>
      <c r="BK624" s="223"/>
      <c r="BL624" s="223"/>
      <c r="BM624" s="223"/>
      <c r="BN624" s="223"/>
      <c r="BO624" s="223"/>
      <c r="BP624" s="223"/>
      <c r="BQ624" s="223"/>
      <c r="BR624" s="223"/>
      <c r="BS624" s="223"/>
      <c r="BT624" s="223"/>
      <c r="BU624" s="223"/>
      <c r="BV624" s="223"/>
      <c r="BW624" s="223"/>
      <c r="BX624" s="223"/>
      <c r="BY624" s="223"/>
      <c r="BZ624" s="223"/>
      <c r="CA624" s="223"/>
      <c r="CB624" s="223"/>
      <c r="CC624" s="223"/>
      <c r="CD624" s="223"/>
      <c r="CE624" s="223"/>
      <c r="CF624" s="223"/>
      <c r="CG624" s="223"/>
      <c r="CH624" s="223"/>
      <c r="CI624" s="223"/>
      <c r="CJ624" s="223"/>
      <c r="CK624" s="223"/>
      <c r="CL624" s="223"/>
      <c r="CM624" s="223"/>
      <c r="CN624" s="223"/>
      <c r="CO624" s="223"/>
      <c r="CP624" s="223"/>
      <c r="CQ624" s="223"/>
      <c r="CR624" s="223"/>
      <c r="CS624" s="223"/>
      <c r="CT624" s="223"/>
      <c r="CU624" s="223"/>
      <c r="CV624" s="223"/>
      <c r="CW624" s="223"/>
      <c r="CX624" s="223"/>
      <c r="CY624" s="223"/>
      <c r="CZ624" s="223"/>
      <c r="DA624" s="223"/>
      <c r="DB624" s="223"/>
      <c r="DC624" s="223"/>
      <c r="DD624" s="223"/>
      <c r="DE624" s="223"/>
      <c r="DF624" s="223"/>
      <c r="DG624" s="223"/>
      <c r="DH624" s="223"/>
      <c r="DI624" s="223"/>
      <c r="DJ624" s="223"/>
      <c r="DK624" s="223"/>
      <c r="DL624" s="223"/>
      <c r="DM624" s="223"/>
      <c r="DN624" s="223"/>
      <c r="DO624" s="223"/>
      <c r="DP624" s="223"/>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c r="IW624"/>
      <c r="IX624"/>
      <c r="IY624"/>
      <c r="IZ624"/>
      <c r="JA624"/>
      <c r="JB624"/>
      <c r="JC624"/>
      <c r="JD624"/>
      <c r="JE624"/>
      <c r="JF624"/>
      <c r="JG624"/>
      <c r="JH624"/>
      <c r="JI624"/>
      <c r="JJ624"/>
      <c r="JK624"/>
      <c r="JL624"/>
      <c r="JM624"/>
      <c r="JN624"/>
      <c r="JO624"/>
      <c r="JP624"/>
      <c r="JQ624"/>
      <c r="JR624"/>
      <c r="JS624"/>
      <c r="JT624"/>
      <c r="JU624"/>
      <c r="JV624"/>
      <c r="JW624"/>
      <c r="JX624"/>
      <c r="JY624"/>
      <c r="JZ624"/>
      <c r="KA624"/>
      <c r="KB624"/>
      <c r="KC624"/>
      <c r="KD624"/>
      <c r="KE624"/>
      <c r="KF624"/>
      <c r="KG624"/>
      <c r="KH624"/>
      <c r="KI624"/>
      <c r="KJ624"/>
      <c r="KK624"/>
      <c r="KL624"/>
      <c r="KM624"/>
      <c r="KN624"/>
      <c r="KO624"/>
      <c r="KP624"/>
      <c r="KQ624"/>
      <c r="KR624"/>
      <c r="KS624"/>
      <c r="KT624"/>
      <c r="KU624"/>
      <c r="KV624"/>
      <c r="KW624"/>
      <c r="KX624"/>
      <c r="KY624"/>
      <c r="KZ624"/>
      <c r="LA624"/>
      <c r="LB624"/>
      <c r="LC624"/>
      <c r="LD624"/>
      <c r="LE624"/>
      <c r="LF624"/>
      <c r="LG624"/>
      <c r="LH624"/>
      <c r="LI624"/>
      <c r="LJ624"/>
      <c r="LK624"/>
      <c r="LL624"/>
      <c r="LM624"/>
      <c r="LN624"/>
      <c r="LO624"/>
      <c r="LP624"/>
      <c r="LQ624"/>
      <c r="LR624"/>
      <c r="LS624"/>
      <c r="LT624"/>
      <c r="LU624"/>
      <c r="LV624"/>
      <c r="LW624"/>
      <c r="LX624"/>
      <c r="LY624"/>
      <c r="LZ624"/>
      <c r="MA624"/>
      <c r="MB624"/>
      <c r="MC624"/>
      <c r="MD624"/>
      <c r="ME624"/>
      <c r="MF624"/>
      <c r="MG624"/>
      <c r="MH624"/>
      <c r="MI624"/>
      <c r="MJ624"/>
      <c r="MK624"/>
      <c r="ML624"/>
      <c r="MM624"/>
      <c r="MN624"/>
      <c r="MO624"/>
      <c r="MP624"/>
      <c r="MQ624"/>
      <c r="MR624"/>
      <c r="MS624"/>
      <c r="MT624"/>
      <c r="MU624"/>
      <c r="MV624"/>
      <c r="MW624"/>
      <c r="MX624"/>
      <c r="MY624"/>
      <c r="MZ624"/>
      <c r="NA624"/>
      <c r="NB624"/>
      <c r="NC624"/>
      <c r="ND624"/>
      <c r="NE624"/>
      <c r="NF624"/>
      <c r="NG624"/>
      <c r="NH624"/>
      <c r="NI624"/>
      <c r="NJ624"/>
      <c r="NK624"/>
      <c r="NL624"/>
      <c r="NM624"/>
      <c r="NN624"/>
      <c r="NO624"/>
      <c r="NP624"/>
      <c r="NQ624"/>
      <c r="NR624"/>
      <c r="NS624"/>
      <c r="NT624"/>
      <c r="NU624"/>
      <c r="NV624"/>
      <c r="NW624"/>
      <c r="NX624"/>
      <c r="NY624"/>
      <c r="NZ624"/>
      <c r="OA624"/>
      <c r="OB624"/>
      <c r="OC624"/>
      <c r="OD624"/>
      <c r="OE624"/>
      <c r="OF624"/>
      <c r="OG624"/>
      <c r="OH624"/>
      <c r="OI624"/>
      <c r="OJ624"/>
      <c r="OK624"/>
      <c r="OL624"/>
      <c r="OM624"/>
      <c r="ON624"/>
      <c r="OO624"/>
      <c r="OP624"/>
      <c r="OQ624"/>
      <c r="OR624"/>
      <c r="OS624"/>
      <c r="OT624"/>
      <c r="OU624"/>
      <c r="OV624"/>
      <c r="OW624"/>
      <c r="OX624"/>
      <c r="OY624"/>
      <c r="OZ624"/>
      <c r="PA624"/>
      <c r="PB624"/>
      <c r="PC624"/>
      <c r="PD624"/>
      <c r="PE624"/>
      <c r="PF624"/>
      <c r="PG624"/>
      <c r="PH624"/>
      <c r="PI624"/>
      <c r="PJ624"/>
      <c r="PK624"/>
      <c r="PL624"/>
      <c r="PM624"/>
      <c r="PN624"/>
      <c r="PO624"/>
      <c r="PP624"/>
      <c r="PQ624"/>
      <c r="PR624"/>
      <c r="PS624"/>
      <c r="PT624"/>
      <c r="PU624"/>
      <c r="PV624"/>
      <c r="PW624"/>
      <c r="PX624"/>
      <c r="PY624"/>
      <c r="PZ624"/>
      <c r="QA624"/>
      <c r="QB624"/>
      <c r="QC624"/>
      <c r="QD624"/>
      <c r="QE624"/>
      <c r="QF624"/>
      <c r="QG624"/>
      <c r="QH624"/>
      <c r="QI624"/>
      <c r="QJ624"/>
      <c r="QK624"/>
      <c r="QL624"/>
      <c r="QM624"/>
      <c r="QN624"/>
      <c r="QO624"/>
      <c r="QP624"/>
      <c r="QQ624"/>
      <c r="QR624"/>
      <c r="QS624"/>
      <c r="QT624"/>
      <c r="QU624"/>
      <c r="QV624"/>
      <c r="QW624"/>
      <c r="QX624"/>
      <c r="QY624"/>
      <c r="QZ624"/>
      <c r="RA624"/>
      <c r="RB624"/>
      <c r="RC624"/>
      <c r="RD624"/>
      <c r="RE624"/>
      <c r="RF624"/>
      <c r="RG624"/>
      <c r="RH624"/>
      <c r="RI624"/>
      <c r="RJ624"/>
      <c r="RK624"/>
      <c r="RL624"/>
      <c r="RM624"/>
      <c r="RN624"/>
      <c r="RO624"/>
      <c r="RP624"/>
      <c r="RQ624"/>
      <c r="RR624"/>
      <c r="RS624"/>
      <c r="RT624"/>
      <c r="RU624"/>
      <c r="RV624"/>
      <c r="RW624"/>
      <c r="RX624"/>
      <c r="RY624"/>
      <c r="RZ624"/>
      <c r="SA624"/>
      <c r="SB624"/>
      <c r="SC624"/>
      <c r="SD624"/>
      <c r="SE624"/>
      <c r="SF624"/>
      <c r="SG624"/>
      <c r="SH624"/>
      <c r="SI624"/>
      <c r="SJ624"/>
      <c r="SK624"/>
      <c r="SL624"/>
      <c r="SM624"/>
      <c r="SN624"/>
      <c r="SO624"/>
      <c r="SP624"/>
      <c r="SQ624"/>
      <c r="SR624"/>
      <c r="SS624"/>
      <c r="ST624"/>
      <c r="SU624"/>
      <c r="SV624"/>
      <c r="SW624"/>
      <c r="SX624"/>
      <c r="SY624"/>
      <c r="SZ624"/>
      <c r="TA624"/>
      <c r="TB624"/>
      <c r="TC624"/>
      <c r="TD624"/>
      <c r="TE624"/>
      <c r="TF624"/>
      <c r="TG624"/>
      <c r="TH624"/>
      <c r="TI624"/>
      <c r="TJ624"/>
      <c r="TK624"/>
      <c r="TL624"/>
      <c r="TM624"/>
      <c r="TN624"/>
      <c r="TO624"/>
      <c r="TP624"/>
      <c r="TQ624"/>
      <c r="TR624"/>
      <c r="TS624"/>
      <c r="TT624"/>
      <c r="TU624"/>
      <c r="TV624"/>
      <c r="TW624"/>
      <c r="TX624"/>
      <c r="TY624"/>
      <c r="TZ624"/>
      <c r="UA624"/>
      <c r="UB624"/>
      <c r="UC624"/>
      <c r="UD624"/>
      <c r="UE624"/>
      <c r="UF624"/>
      <c r="UG624"/>
      <c r="UH624"/>
      <c r="UI624"/>
      <c r="UJ624"/>
      <c r="UK624"/>
      <c r="UL624"/>
      <c r="UM624"/>
      <c r="UN624"/>
      <c r="UO624"/>
      <c r="UP624"/>
      <c r="UQ624"/>
      <c r="UR624"/>
      <c r="US624"/>
      <c r="UT624"/>
      <c r="UU624"/>
      <c r="UV624"/>
      <c r="UW624"/>
      <c r="UX624"/>
      <c r="UY624"/>
      <c r="UZ624"/>
      <c r="VA624"/>
      <c r="VB624"/>
      <c r="VC624"/>
      <c r="VD624"/>
      <c r="VE624"/>
      <c r="VF624"/>
      <c r="VG624"/>
      <c r="VH624"/>
      <c r="VI624"/>
      <c r="VJ624"/>
      <c r="VK624"/>
      <c r="VL624"/>
      <c r="VM624"/>
      <c r="VN624"/>
      <c r="VO624"/>
      <c r="VP624"/>
      <c r="VQ624"/>
      <c r="VR624"/>
      <c r="VS624"/>
      <c r="VT624"/>
      <c r="VU624"/>
      <c r="VV624"/>
      <c r="VW624"/>
      <c r="VX624"/>
      <c r="VY624"/>
      <c r="VZ624"/>
      <c r="WA624"/>
      <c r="WB624"/>
      <c r="WC624"/>
      <c r="WD624"/>
      <c r="WE624"/>
      <c r="WF624"/>
      <c r="WG624"/>
      <c r="WH624"/>
      <c r="WI624"/>
      <c r="WJ624"/>
      <c r="WK624"/>
      <c r="WL624"/>
      <c r="WM624"/>
      <c r="WN624"/>
      <c r="WO624"/>
      <c r="WP624"/>
      <c r="WQ624"/>
      <c r="WR624"/>
      <c r="WS624"/>
      <c r="WT624"/>
      <c r="WU624"/>
      <c r="WV624"/>
      <c r="WW624"/>
      <c r="WX624"/>
      <c r="WY624"/>
      <c r="WZ624"/>
      <c r="XA624"/>
      <c r="XB624"/>
      <c r="XC624"/>
      <c r="XD624"/>
      <c r="XE624"/>
      <c r="XF624"/>
      <c r="XG624"/>
      <c r="XH624"/>
      <c r="XI624"/>
      <c r="XJ624"/>
      <c r="XK624"/>
      <c r="XL624"/>
      <c r="XM624"/>
      <c r="XN624"/>
      <c r="XO624"/>
      <c r="XP624"/>
      <c r="XQ624"/>
      <c r="XR624"/>
      <c r="XS624"/>
      <c r="XT624"/>
      <c r="XU624"/>
      <c r="XV624"/>
      <c r="XW624"/>
      <c r="XX624"/>
      <c r="XY624"/>
      <c r="XZ624"/>
      <c r="YA624"/>
      <c r="YB624"/>
      <c r="YC624"/>
      <c r="YD624"/>
      <c r="YE624"/>
      <c r="YF624"/>
      <c r="YG624"/>
      <c r="YH624"/>
      <c r="YI624"/>
      <c r="YJ624"/>
      <c r="YK624"/>
      <c r="YL624"/>
      <c r="YM624"/>
      <c r="YN624"/>
      <c r="YO624"/>
      <c r="YP624"/>
      <c r="YQ624"/>
      <c r="YR624"/>
      <c r="YS624"/>
      <c r="YT624"/>
      <c r="YU624"/>
      <c r="YV624"/>
      <c r="YW624"/>
      <c r="YX624"/>
      <c r="YY624"/>
      <c r="YZ624"/>
      <c r="ZA624"/>
      <c r="ZB624"/>
      <c r="ZC624"/>
      <c r="ZD624"/>
      <c r="ZE624"/>
      <c r="ZF624"/>
      <c r="ZG624"/>
      <c r="ZH624"/>
      <c r="ZI624"/>
      <c r="ZJ624"/>
      <c r="ZK624"/>
      <c r="ZL624"/>
      <c r="ZM624"/>
      <c r="ZN624"/>
      <c r="ZO624"/>
      <c r="ZP624"/>
      <c r="ZQ624"/>
      <c r="ZR624"/>
      <c r="ZS624"/>
      <c r="ZT624"/>
      <c r="ZU624"/>
      <c r="ZV624"/>
      <c r="ZW624"/>
      <c r="ZX624"/>
      <c r="ZY624"/>
      <c r="ZZ624" s="52"/>
      <c r="AAA624" s="192"/>
      <c r="AAD624" s="90"/>
      <c r="AAE624" s="519">
        <v>1</v>
      </c>
      <c r="AAF624" s="90"/>
      <c r="AAG624" s="73">
        <f t="shared" si="499"/>
        <v>41572</v>
      </c>
      <c r="AAH624" s="73">
        <f t="shared" si="500"/>
        <v>41676</v>
      </c>
      <c r="AAI624" s="72"/>
      <c r="AAJ624" s="56"/>
      <c r="AAK624" s="56" t="s">
        <v>0</v>
      </c>
      <c r="AAL624" s="90"/>
    </row>
    <row r="625" spans="1:715" s="23" customFormat="1" ht="15" customHeight="1" outlineLevel="2">
      <c r="A625" s="171"/>
      <c r="B625" s="413" t="str">
        <f>AAK625</f>
        <v>* integrating NOTICE into STAFF REPORT.Permanent by</v>
      </c>
      <c r="C625" s="418" t="s">
        <v>0</v>
      </c>
      <c r="D625" s="417"/>
      <c r="E625" s="397">
        <f t="shared" ref="E625" si="512">NETWORKDAYS(G625,H625,S.DDL_DEQClosed)</f>
        <v>70</v>
      </c>
      <c r="F625" s="457">
        <f t="shared" ca="1" si="496"/>
        <v>69</v>
      </c>
      <c r="G625" s="400">
        <f t="shared" ref="G625" si="513">AAG625</f>
        <v>41572</v>
      </c>
      <c r="H625" s="400">
        <f t="shared" ref="H625" si="514">AAH625</f>
        <v>41676</v>
      </c>
      <c r="I625" s="244"/>
      <c r="J625" s="222"/>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c r="AP625" s="223"/>
      <c r="AQ625" s="223"/>
      <c r="AR625" s="223"/>
      <c r="AS625" s="223"/>
      <c r="AT625" s="223"/>
      <c r="AU625" s="223"/>
      <c r="AV625" s="223"/>
      <c r="AW625" s="223"/>
      <c r="AX625" s="223"/>
      <c r="AY625" s="223"/>
      <c r="AZ625" s="223"/>
      <c r="BA625" s="223"/>
      <c r="BB625" s="223"/>
      <c r="BC625" s="223"/>
      <c r="BD625" s="223"/>
      <c r="BE625" s="223"/>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3"/>
      <c r="DJ625" s="223"/>
      <c r="DK625" s="223"/>
      <c r="DL625" s="223"/>
      <c r="DM625" s="223"/>
      <c r="DN625" s="223"/>
      <c r="DO625" s="223"/>
      <c r="DP625" s="223"/>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c r="IW625"/>
      <c r="IX625"/>
      <c r="IY625"/>
      <c r="IZ625"/>
      <c r="JA625"/>
      <c r="JB625"/>
      <c r="JC625"/>
      <c r="JD625"/>
      <c r="JE625"/>
      <c r="JF625"/>
      <c r="JG625"/>
      <c r="JH625"/>
      <c r="JI625"/>
      <c r="JJ625"/>
      <c r="JK625"/>
      <c r="JL625"/>
      <c r="JM625"/>
      <c r="JN625"/>
      <c r="JO625"/>
      <c r="JP625"/>
      <c r="JQ625"/>
      <c r="JR625"/>
      <c r="JS625"/>
      <c r="JT625"/>
      <c r="JU625"/>
      <c r="JV625"/>
      <c r="JW625"/>
      <c r="JX625"/>
      <c r="JY625"/>
      <c r="JZ625"/>
      <c r="KA625"/>
      <c r="KB625"/>
      <c r="KC625"/>
      <c r="KD625"/>
      <c r="KE625"/>
      <c r="KF625"/>
      <c r="KG625"/>
      <c r="KH625"/>
      <c r="KI625"/>
      <c r="KJ625"/>
      <c r="KK625"/>
      <c r="KL625"/>
      <c r="KM625"/>
      <c r="KN625"/>
      <c r="KO625"/>
      <c r="KP625"/>
      <c r="KQ625"/>
      <c r="KR625"/>
      <c r="KS625"/>
      <c r="KT625"/>
      <c r="KU625"/>
      <c r="KV625"/>
      <c r="KW625"/>
      <c r="KX625"/>
      <c r="KY625"/>
      <c r="KZ625"/>
      <c r="LA625"/>
      <c r="LB625"/>
      <c r="LC625"/>
      <c r="LD625"/>
      <c r="LE625"/>
      <c r="LF625"/>
      <c r="LG625"/>
      <c r="LH625"/>
      <c r="LI625"/>
      <c r="LJ625"/>
      <c r="LK625"/>
      <c r="LL625"/>
      <c r="LM625"/>
      <c r="LN625"/>
      <c r="LO625"/>
      <c r="LP625"/>
      <c r="LQ625"/>
      <c r="LR625"/>
      <c r="LS625"/>
      <c r="LT625"/>
      <c r="LU625"/>
      <c r="LV625"/>
      <c r="LW625"/>
      <c r="LX625"/>
      <c r="LY625"/>
      <c r="LZ625"/>
      <c r="MA625"/>
      <c r="MB625"/>
      <c r="MC625"/>
      <c r="MD625"/>
      <c r="ME625"/>
      <c r="MF625"/>
      <c r="MG625"/>
      <c r="MH625"/>
      <c r="MI625"/>
      <c r="MJ625"/>
      <c r="MK625"/>
      <c r="ML625"/>
      <c r="MM625"/>
      <c r="MN625"/>
      <c r="MO625"/>
      <c r="MP625"/>
      <c r="MQ625"/>
      <c r="MR625"/>
      <c r="MS625"/>
      <c r="MT625"/>
      <c r="MU625"/>
      <c r="MV625"/>
      <c r="MW625"/>
      <c r="MX625"/>
      <c r="MY625"/>
      <c r="MZ625"/>
      <c r="NA625"/>
      <c r="NB625"/>
      <c r="NC625"/>
      <c r="ND625"/>
      <c r="NE625"/>
      <c r="NF625"/>
      <c r="NG625"/>
      <c r="NH625"/>
      <c r="NI625"/>
      <c r="NJ625"/>
      <c r="NK625"/>
      <c r="NL625"/>
      <c r="NM625"/>
      <c r="NN625"/>
      <c r="NO625"/>
      <c r="NP625"/>
      <c r="NQ625"/>
      <c r="NR625"/>
      <c r="NS625"/>
      <c r="NT625"/>
      <c r="NU625"/>
      <c r="NV625"/>
      <c r="NW625"/>
      <c r="NX625"/>
      <c r="NY625"/>
      <c r="NZ625"/>
      <c r="OA625"/>
      <c r="OB625"/>
      <c r="OC625"/>
      <c r="OD625"/>
      <c r="OE625"/>
      <c r="OF625"/>
      <c r="OG625"/>
      <c r="OH625"/>
      <c r="OI625"/>
      <c r="OJ625"/>
      <c r="OK625"/>
      <c r="OL625"/>
      <c r="OM625"/>
      <c r="ON625"/>
      <c r="OO625"/>
      <c r="OP625"/>
      <c r="OQ625"/>
      <c r="OR625"/>
      <c r="OS625"/>
      <c r="OT625"/>
      <c r="OU625"/>
      <c r="OV625"/>
      <c r="OW625"/>
      <c r="OX625"/>
      <c r="OY625"/>
      <c r="OZ625"/>
      <c r="PA625"/>
      <c r="PB625"/>
      <c r="PC625"/>
      <c r="PD625"/>
      <c r="PE625"/>
      <c r="PF625"/>
      <c r="PG625"/>
      <c r="PH625"/>
      <c r="PI625"/>
      <c r="PJ625"/>
      <c r="PK625"/>
      <c r="PL625"/>
      <c r="PM625"/>
      <c r="PN625"/>
      <c r="PO625"/>
      <c r="PP625"/>
      <c r="PQ625"/>
      <c r="PR625"/>
      <c r="PS625"/>
      <c r="PT625"/>
      <c r="PU625"/>
      <c r="PV625"/>
      <c r="PW625"/>
      <c r="PX625"/>
      <c r="PY625"/>
      <c r="PZ625"/>
      <c r="QA625"/>
      <c r="QB625"/>
      <c r="QC625"/>
      <c r="QD625"/>
      <c r="QE625"/>
      <c r="QF625"/>
      <c r="QG625"/>
      <c r="QH625"/>
      <c r="QI625"/>
      <c r="QJ625"/>
      <c r="QK625"/>
      <c r="QL625"/>
      <c r="QM625"/>
      <c r="QN625"/>
      <c r="QO625"/>
      <c r="QP625"/>
      <c r="QQ625"/>
      <c r="QR625"/>
      <c r="QS625"/>
      <c r="QT625"/>
      <c r="QU625"/>
      <c r="QV625"/>
      <c r="QW625"/>
      <c r="QX625"/>
      <c r="QY625"/>
      <c r="QZ625"/>
      <c r="RA625"/>
      <c r="RB625"/>
      <c r="RC625"/>
      <c r="RD625"/>
      <c r="RE625"/>
      <c r="RF625"/>
      <c r="RG625"/>
      <c r="RH625"/>
      <c r="RI625"/>
      <c r="RJ625"/>
      <c r="RK625"/>
      <c r="RL625"/>
      <c r="RM625"/>
      <c r="RN625"/>
      <c r="RO625"/>
      <c r="RP625"/>
      <c r="RQ625"/>
      <c r="RR625"/>
      <c r="RS625"/>
      <c r="RT625"/>
      <c r="RU625"/>
      <c r="RV625"/>
      <c r="RW625"/>
      <c r="RX625"/>
      <c r="RY625"/>
      <c r="RZ625"/>
      <c r="SA625"/>
      <c r="SB625"/>
      <c r="SC625"/>
      <c r="SD625"/>
      <c r="SE625"/>
      <c r="SF625"/>
      <c r="SG625"/>
      <c r="SH625"/>
      <c r="SI625"/>
      <c r="SJ625"/>
      <c r="SK625"/>
      <c r="SL625"/>
      <c r="SM625"/>
      <c r="SN625"/>
      <c r="SO625"/>
      <c r="SP625"/>
      <c r="SQ625"/>
      <c r="SR625"/>
      <c r="SS625"/>
      <c r="ST625"/>
      <c r="SU625"/>
      <c r="SV625"/>
      <c r="SW625"/>
      <c r="SX625"/>
      <c r="SY625"/>
      <c r="SZ625"/>
      <c r="TA625"/>
      <c r="TB625"/>
      <c r="TC625"/>
      <c r="TD625"/>
      <c r="TE625"/>
      <c r="TF625"/>
      <c r="TG625"/>
      <c r="TH625"/>
      <c r="TI625"/>
      <c r="TJ625"/>
      <c r="TK625"/>
      <c r="TL625"/>
      <c r="TM625"/>
      <c r="TN625"/>
      <c r="TO625"/>
      <c r="TP625"/>
      <c r="TQ625"/>
      <c r="TR625"/>
      <c r="TS625"/>
      <c r="TT625"/>
      <c r="TU625"/>
      <c r="TV625"/>
      <c r="TW625"/>
      <c r="TX625"/>
      <c r="TY625"/>
      <c r="TZ625"/>
      <c r="UA625"/>
      <c r="UB625"/>
      <c r="UC625"/>
      <c r="UD625"/>
      <c r="UE625"/>
      <c r="UF625"/>
      <c r="UG625"/>
      <c r="UH625"/>
      <c r="UI625"/>
      <c r="UJ625"/>
      <c r="UK625"/>
      <c r="UL625"/>
      <c r="UM625"/>
      <c r="UN625"/>
      <c r="UO625"/>
      <c r="UP625"/>
      <c r="UQ625"/>
      <c r="UR625"/>
      <c r="US625"/>
      <c r="UT625"/>
      <c r="UU625"/>
      <c r="UV625"/>
      <c r="UW625"/>
      <c r="UX625"/>
      <c r="UY625"/>
      <c r="UZ625"/>
      <c r="VA625"/>
      <c r="VB625"/>
      <c r="VC625"/>
      <c r="VD625"/>
      <c r="VE625"/>
      <c r="VF625"/>
      <c r="VG625"/>
      <c r="VH625"/>
      <c r="VI625"/>
      <c r="VJ625"/>
      <c r="VK625"/>
      <c r="VL625"/>
      <c r="VM625"/>
      <c r="VN625"/>
      <c r="VO625"/>
      <c r="VP625"/>
      <c r="VQ625"/>
      <c r="VR625"/>
      <c r="VS625"/>
      <c r="VT625"/>
      <c r="VU625"/>
      <c r="VV625"/>
      <c r="VW625"/>
      <c r="VX625"/>
      <c r="VY625"/>
      <c r="VZ625"/>
      <c r="WA625"/>
      <c r="WB625"/>
      <c r="WC625"/>
      <c r="WD625"/>
      <c r="WE625"/>
      <c r="WF625"/>
      <c r="WG625"/>
      <c r="WH625"/>
      <c r="WI625"/>
      <c r="WJ625"/>
      <c r="WK625"/>
      <c r="WL625"/>
      <c r="WM625"/>
      <c r="WN625"/>
      <c r="WO625"/>
      <c r="WP625"/>
      <c r="WQ625"/>
      <c r="WR625"/>
      <c r="WS625"/>
      <c r="WT625"/>
      <c r="WU625"/>
      <c r="WV625"/>
      <c r="WW625"/>
      <c r="WX625"/>
      <c r="WY625"/>
      <c r="WZ625"/>
      <c r="XA625"/>
      <c r="XB625"/>
      <c r="XC625"/>
      <c r="XD625"/>
      <c r="XE625"/>
      <c r="XF625"/>
      <c r="XG625"/>
      <c r="XH625"/>
      <c r="XI625"/>
      <c r="XJ625"/>
      <c r="XK625"/>
      <c r="XL625"/>
      <c r="XM625"/>
      <c r="XN625"/>
      <c r="XO625"/>
      <c r="XP625"/>
      <c r="XQ625"/>
      <c r="XR625"/>
      <c r="XS625"/>
      <c r="XT625"/>
      <c r="XU625"/>
      <c r="XV625"/>
      <c r="XW625"/>
      <c r="XX625"/>
      <c r="XY625"/>
      <c r="XZ625"/>
      <c r="YA625"/>
      <c r="YB625"/>
      <c r="YC625"/>
      <c r="YD625"/>
      <c r="YE625"/>
      <c r="YF625"/>
      <c r="YG625"/>
      <c r="YH625"/>
      <c r="YI625"/>
      <c r="YJ625"/>
      <c r="YK625"/>
      <c r="YL625"/>
      <c r="YM625"/>
      <c r="YN625"/>
      <c r="YO625"/>
      <c r="YP625"/>
      <c r="YQ625"/>
      <c r="YR625"/>
      <c r="YS625"/>
      <c r="YT625"/>
      <c r="YU625"/>
      <c r="YV625"/>
      <c r="YW625"/>
      <c r="YX625"/>
      <c r="YY625"/>
      <c r="YZ625"/>
      <c r="ZA625"/>
      <c r="ZB625"/>
      <c r="ZC625"/>
      <c r="ZD625"/>
      <c r="ZE625"/>
      <c r="ZF625"/>
      <c r="ZG625"/>
      <c r="ZH625"/>
      <c r="ZI625"/>
      <c r="ZJ625"/>
      <c r="ZK625"/>
      <c r="ZL625"/>
      <c r="ZM625"/>
      <c r="ZN625"/>
      <c r="ZO625"/>
      <c r="ZP625"/>
      <c r="ZQ625"/>
      <c r="ZR625"/>
      <c r="ZS625"/>
      <c r="ZT625"/>
      <c r="ZU625"/>
      <c r="ZV625"/>
      <c r="ZW625"/>
      <c r="ZX625"/>
      <c r="ZY625"/>
      <c r="ZZ625" s="52"/>
      <c r="AAA625" s="192"/>
      <c r="AAD625" s="90"/>
      <c r="AAE625" s="519">
        <f t="shared" ref="AAE625:AAE633" si="515">IF(S.Notice.Involved="Y",1,0)</f>
        <v>1</v>
      </c>
      <c r="AAF625" s="90"/>
      <c r="AAG625" s="73">
        <f>IF(AAE625=0,,S.EQC.BANNER.Begin)</f>
        <v>41572</v>
      </c>
      <c r="AAH625" s="73">
        <f t="shared" si="500"/>
        <v>41676</v>
      </c>
      <c r="AAI625" s="72"/>
      <c r="AAJ625" s="56"/>
      <c r="AAK625" s="80" t="str">
        <f>IF(AND(S.Notice.Involved="Y",S.General.RuleType="P"),"* integrating NOTICE into STAFF REPORT.Permanent by",IF(AND(S.Notice.Involved="Y",S.General.RuleType="T"),"* integrating NOTICE into STAFF.RPT.Temporary by ","No NOTICE for this rulemaking"))</f>
        <v>* integrating NOTICE into STAFF REPORT.Permanent by</v>
      </c>
      <c r="AAL625" s="90"/>
    </row>
    <row r="626" spans="1:715" ht="15" customHeight="1" outlineLevel="2">
      <c r="A626" s="171"/>
      <c r="B626" s="781" t="s">
        <v>496</v>
      </c>
      <c r="C626" s="901"/>
      <c r="D626" s="901"/>
      <c r="E626" s="901"/>
      <c r="F626" s="901"/>
      <c r="G626" s="901"/>
      <c r="H626" s="901"/>
      <c r="I626" s="244"/>
      <c r="J626" s="194"/>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9"/>
      <c r="CD626" s="49"/>
      <c r="CE626" s="49"/>
      <c r="CF626" s="49"/>
      <c r="CG626" s="49"/>
      <c r="CH626" s="49"/>
      <c r="CI626" s="49"/>
      <c r="CJ626" s="49"/>
      <c r="CK626" s="49"/>
      <c r="CL626" s="49"/>
      <c r="CM626" s="49"/>
      <c r="CN626" s="49"/>
      <c r="CO626" s="49"/>
      <c r="CP626" s="49"/>
      <c r="CQ626" s="49"/>
      <c r="CR626" s="49"/>
      <c r="CS626" s="49"/>
      <c r="CT626" s="49"/>
      <c r="CU626" s="49"/>
      <c r="CV626" s="49"/>
      <c r="CW626" s="49"/>
      <c r="CX626" s="49"/>
      <c r="CY626" s="49"/>
      <c r="CZ626" s="49"/>
      <c r="DA626" s="49"/>
      <c r="DB626" s="49"/>
      <c r="DC626" s="49"/>
      <c r="DD626" s="49"/>
      <c r="DE626" s="49"/>
      <c r="DF626" s="49"/>
      <c r="DG626" s="49"/>
      <c r="DH626" s="49"/>
      <c r="DI626" s="49"/>
      <c r="DJ626" s="49"/>
      <c r="DK626" s="49"/>
      <c r="DL626" s="49"/>
      <c r="DM626" s="49"/>
      <c r="DN626" s="49"/>
      <c r="DO626" s="49"/>
      <c r="DP626" s="49"/>
      <c r="AAA626" s="192"/>
      <c r="AAD626" s="90"/>
      <c r="AAE626" s="519">
        <f t="shared" si="515"/>
        <v>1</v>
      </c>
      <c r="AAF626" s="190" t="s">
        <v>52</v>
      </c>
      <c r="AAG626" s="94"/>
      <c r="AAH626" s="94"/>
      <c r="AAI626" s="72"/>
      <c r="AAJ626" s="56"/>
      <c r="AAK626" s="56"/>
      <c r="AAL626" s="90"/>
      <c r="AAM626"/>
    </row>
    <row r="627" spans="1:715" ht="15" customHeight="1" outlineLevel="2">
      <c r="A627" s="171"/>
      <c r="B627" s="782" t="s">
        <v>453</v>
      </c>
      <c r="C627" s="901"/>
      <c r="D627" s="901"/>
      <c r="E627" s="901"/>
      <c r="F627" s="901"/>
      <c r="G627" s="901"/>
      <c r="H627" s="901"/>
      <c r="I627" s="244"/>
      <c r="J627" s="194"/>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9"/>
      <c r="CD627" s="49"/>
      <c r="CE627" s="49"/>
      <c r="CF627" s="49"/>
      <c r="CG627" s="49"/>
      <c r="CH627" s="49"/>
      <c r="CI627" s="49"/>
      <c r="CJ627" s="49"/>
      <c r="CK627" s="49"/>
      <c r="CL627" s="49"/>
      <c r="CM627" s="49"/>
      <c r="CN627" s="49"/>
      <c r="CO627" s="49"/>
      <c r="CP627" s="49"/>
      <c r="CQ627" s="49"/>
      <c r="CR627" s="49"/>
      <c r="CS627" s="49"/>
      <c r="CT627" s="49"/>
      <c r="CU627" s="49"/>
      <c r="CV627" s="49"/>
      <c r="CW627" s="49"/>
      <c r="CX627" s="49"/>
      <c r="CY627" s="49"/>
      <c r="CZ627" s="49"/>
      <c r="DA627" s="49"/>
      <c r="DB627" s="49"/>
      <c r="DC627" s="49"/>
      <c r="DD627" s="49"/>
      <c r="DE627" s="49"/>
      <c r="DF627" s="49"/>
      <c r="DG627" s="49"/>
      <c r="DH627" s="49"/>
      <c r="DI627" s="49"/>
      <c r="DJ627" s="49"/>
      <c r="DK627" s="49"/>
      <c r="DL627" s="49"/>
      <c r="DM627" s="49"/>
      <c r="DN627" s="49"/>
      <c r="DO627" s="49"/>
      <c r="DP627" s="49"/>
      <c r="AAA627" s="192"/>
      <c r="AAD627" s="90"/>
      <c r="AAE627" s="519">
        <f t="shared" si="515"/>
        <v>1</v>
      </c>
      <c r="AAF627" s="190" t="s">
        <v>52</v>
      </c>
      <c r="AAG627" s="94"/>
      <c r="AAH627" s="94"/>
      <c r="AAI627" s="72"/>
      <c r="AAJ627" s="56"/>
      <c r="AAK627" s="56"/>
      <c r="AAL627" s="90"/>
      <c r="AAM627"/>
    </row>
    <row r="628" spans="1:715" ht="15" customHeight="1" outlineLevel="2">
      <c r="A628" s="171"/>
      <c r="B628" s="782" t="s">
        <v>454</v>
      </c>
      <c r="C628" s="901"/>
      <c r="D628" s="901"/>
      <c r="E628" s="901"/>
      <c r="F628" s="901"/>
      <c r="G628" s="901"/>
      <c r="H628" s="901"/>
      <c r="I628" s="244"/>
      <c r="J628" s="194"/>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9"/>
      <c r="CD628" s="49"/>
      <c r="CE628" s="49"/>
      <c r="CF628" s="49"/>
      <c r="CG628" s="49"/>
      <c r="CH628" s="49"/>
      <c r="CI628" s="49"/>
      <c r="CJ628" s="49"/>
      <c r="CK628" s="49"/>
      <c r="CL628" s="49"/>
      <c r="CM628" s="49"/>
      <c r="CN628" s="49"/>
      <c r="CO628" s="49"/>
      <c r="CP628" s="49"/>
      <c r="CQ628" s="49"/>
      <c r="CR628" s="49"/>
      <c r="CS628" s="49"/>
      <c r="CT628" s="49"/>
      <c r="CU628" s="49"/>
      <c r="CV628" s="49"/>
      <c r="CW628" s="49"/>
      <c r="CX628" s="49"/>
      <c r="CY628" s="49"/>
      <c r="CZ628" s="49"/>
      <c r="DA628" s="49"/>
      <c r="DB628" s="49"/>
      <c r="DC628" s="49"/>
      <c r="DD628" s="49"/>
      <c r="DE628" s="49"/>
      <c r="DF628" s="49"/>
      <c r="DG628" s="49"/>
      <c r="DH628" s="49"/>
      <c r="DI628" s="49"/>
      <c r="DJ628" s="49"/>
      <c r="DK628" s="49"/>
      <c r="DL628" s="49"/>
      <c r="DM628" s="49"/>
      <c r="DN628" s="49"/>
      <c r="DO628" s="49"/>
      <c r="DP628" s="49"/>
      <c r="AAA628" s="192"/>
      <c r="AAD628" s="90"/>
      <c r="AAE628" s="519">
        <f t="shared" si="515"/>
        <v>1</v>
      </c>
      <c r="AAF628" s="190" t="s">
        <v>52</v>
      </c>
      <c r="AAG628" s="94"/>
      <c r="AAH628" s="94"/>
      <c r="AAI628" s="72"/>
      <c r="AAJ628" s="56"/>
      <c r="AAK628" s="56"/>
      <c r="AAL628" s="90"/>
      <c r="AAM628"/>
    </row>
    <row r="629" spans="1:715" ht="15" customHeight="1" outlineLevel="2">
      <c r="A629" s="171"/>
      <c r="B629" s="782" t="s">
        <v>455</v>
      </c>
      <c r="C629" s="901"/>
      <c r="D629" s="901"/>
      <c r="E629" s="901"/>
      <c r="F629" s="901"/>
      <c r="G629" s="901"/>
      <c r="H629" s="901"/>
      <c r="I629" s="244"/>
      <c r="J629" s="194"/>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9"/>
      <c r="CD629" s="49"/>
      <c r="CE629" s="49"/>
      <c r="CF629" s="49"/>
      <c r="CG629" s="49"/>
      <c r="CH629" s="49"/>
      <c r="CI629" s="49"/>
      <c r="CJ629" s="49"/>
      <c r="CK629" s="49"/>
      <c r="CL629" s="49"/>
      <c r="CM629" s="49"/>
      <c r="CN629" s="49"/>
      <c r="CO629" s="49"/>
      <c r="CP629" s="49"/>
      <c r="CQ629" s="49"/>
      <c r="CR629" s="49"/>
      <c r="CS629" s="49"/>
      <c r="CT629" s="49"/>
      <c r="CU629" s="49"/>
      <c r="CV629" s="49"/>
      <c r="CW629" s="49"/>
      <c r="CX629" s="49"/>
      <c r="CY629" s="49"/>
      <c r="CZ629" s="49"/>
      <c r="DA629" s="49"/>
      <c r="DB629" s="49"/>
      <c r="DC629" s="49"/>
      <c r="DD629" s="49"/>
      <c r="DE629" s="49"/>
      <c r="DF629" s="49"/>
      <c r="DG629" s="49"/>
      <c r="DH629" s="49"/>
      <c r="DI629" s="49"/>
      <c r="DJ629" s="49"/>
      <c r="DK629" s="49"/>
      <c r="DL629" s="49"/>
      <c r="DM629" s="49"/>
      <c r="DN629" s="49"/>
      <c r="DO629" s="49"/>
      <c r="DP629" s="49"/>
      <c r="AAA629" s="192"/>
      <c r="AAD629" s="90"/>
      <c r="AAE629" s="519">
        <f t="shared" si="515"/>
        <v>1</v>
      </c>
      <c r="AAF629" s="190" t="s">
        <v>52</v>
      </c>
      <c r="AAG629" s="94"/>
      <c r="AAH629" s="94"/>
      <c r="AAI629" s="72"/>
      <c r="AAJ629" s="56"/>
      <c r="AAK629" s="56"/>
      <c r="AAL629" s="90"/>
      <c r="AAM629"/>
    </row>
    <row r="630" spans="1:715" ht="15" customHeight="1" outlineLevel="2">
      <c r="A630" s="171"/>
      <c r="B630" s="782" t="s">
        <v>295</v>
      </c>
      <c r="C630" s="901"/>
      <c r="D630" s="901"/>
      <c r="E630" s="901"/>
      <c r="F630" s="901"/>
      <c r="G630" s="901"/>
      <c r="H630" s="901"/>
      <c r="I630" s="244"/>
      <c r="J630" s="194"/>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9"/>
      <c r="CD630" s="49"/>
      <c r="CE630" s="49"/>
      <c r="CF630" s="49"/>
      <c r="CG630" s="49"/>
      <c r="CH630" s="49"/>
      <c r="CI630" s="49"/>
      <c r="CJ630" s="49"/>
      <c r="CK630" s="49"/>
      <c r="CL630" s="49"/>
      <c r="CM630" s="49"/>
      <c r="CN630" s="49"/>
      <c r="CO630" s="49"/>
      <c r="CP630" s="49"/>
      <c r="CQ630" s="49"/>
      <c r="CR630" s="49"/>
      <c r="CS630" s="49"/>
      <c r="CT630" s="49"/>
      <c r="CU630" s="49"/>
      <c r="CV630" s="49"/>
      <c r="CW630" s="49"/>
      <c r="CX630" s="49"/>
      <c r="CY630" s="49"/>
      <c r="CZ630" s="49"/>
      <c r="DA630" s="49"/>
      <c r="DB630" s="49"/>
      <c r="DC630" s="49"/>
      <c r="DD630" s="49"/>
      <c r="DE630" s="49"/>
      <c r="DF630" s="49"/>
      <c r="DG630" s="49"/>
      <c r="DH630" s="49"/>
      <c r="DI630" s="49"/>
      <c r="DJ630" s="49"/>
      <c r="DK630" s="49"/>
      <c r="DL630" s="49"/>
      <c r="DM630" s="49"/>
      <c r="DN630" s="49"/>
      <c r="DO630" s="49"/>
      <c r="DP630" s="49"/>
      <c r="AAA630" s="192"/>
      <c r="AAD630" s="90"/>
      <c r="AAE630" s="519">
        <f t="shared" si="515"/>
        <v>1</v>
      </c>
      <c r="AAF630" s="190" t="s">
        <v>52</v>
      </c>
      <c r="AAG630" s="94"/>
      <c r="AAH630" s="94"/>
      <c r="AAI630" s="72"/>
      <c r="AAJ630" s="56"/>
      <c r="AAK630" s="56"/>
      <c r="AAL630" s="90"/>
      <c r="AAM630"/>
    </row>
    <row r="631" spans="1:715" ht="15" customHeight="1" outlineLevel="2">
      <c r="A631" s="171"/>
      <c r="B631" s="715" t="s">
        <v>296</v>
      </c>
      <c r="C631" s="901"/>
      <c r="D631" s="901"/>
      <c r="E631" s="901"/>
      <c r="F631" s="901"/>
      <c r="G631" s="901"/>
      <c r="H631" s="901"/>
      <c r="I631" s="244"/>
      <c r="J631" s="194"/>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9"/>
      <c r="CD631" s="49"/>
      <c r="CE631" s="49"/>
      <c r="CF631" s="49"/>
      <c r="CG631" s="49"/>
      <c r="CH631" s="49"/>
      <c r="CI631" s="49"/>
      <c r="CJ631" s="49"/>
      <c r="CK631" s="49"/>
      <c r="CL631" s="49"/>
      <c r="CM631" s="49"/>
      <c r="CN631" s="49"/>
      <c r="CO631" s="49"/>
      <c r="CP631" s="49"/>
      <c r="CQ631" s="49"/>
      <c r="CR631" s="49"/>
      <c r="CS631" s="49"/>
      <c r="CT631" s="49"/>
      <c r="CU631" s="49"/>
      <c r="CV631" s="49"/>
      <c r="CW631" s="49"/>
      <c r="CX631" s="49"/>
      <c r="CY631" s="49"/>
      <c r="CZ631" s="49"/>
      <c r="DA631" s="49"/>
      <c r="DB631" s="49"/>
      <c r="DC631" s="49"/>
      <c r="DD631" s="49"/>
      <c r="DE631" s="49"/>
      <c r="DF631" s="49"/>
      <c r="DG631" s="49"/>
      <c r="DH631" s="49"/>
      <c r="DI631" s="49"/>
      <c r="DJ631" s="49"/>
      <c r="DK631" s="49"/>
      <c r="DL631" s="49"/>
      <c r="DM631" s="49"/>
      <c r="DN631" s="49"/>
      <c r="DO631" s="49"/>
      <c r="DP631" s="49"/>
      <c r="AAA631" s="192"/>
      <c r="AAD631" s="90"/>
      <c r="AAE631" s="519">
        <f t="shared" si="515"/>
        <v>1</v>
      </c>
      <c r="AAF631" s="190" t="s">
        <v>52</v>
      </c>
      <c r="AAG631" s="94"/>
      <c r="AAH631" s="94"/>
      <c r="AAI631" s="72"/>
      <c r="AAJ631" s="56"/>
      <c r="AAK631" s="56"/>
      <c r="AAL631" s="90"/>
      <c r="AAM631"/>
    </row>
    <row r="632" spans="1:715" s="23" customFormat="1" ht="15" customHeight="1" outlineLevel="2">
      <c r="A632" s="171"/>
      <c r="B632" s="783" t="s">
        <v>456</v>
      </c>
      <c r="C632" s="901"/>
      <c r="D632" s="901"/>
      <c r="E632" s="901"/>
      <c r="F632" s="901"/>
      <c r="G632" s="901"/>
      <c r="H632" s="901"/>
      <c r="I632" s="244"/>
      <c r="J632" s="194"/>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c r="BG632" s="49"/>
      <c r="BH632" s="49"/>
      <c r="BI632" s="49"/>
      <c r="BJ632" s="49"/>
      <c r="BK632" s="49"/>
      <c r="BL632" s="49"/>
      <c r="BM632" s="49"/>
      <c r="BN632" s="49"/>
      <c r="BO632" s="49"/>
      <c r="BP632" s="49"/>
      <c r="BQ632" s="49"/>
      <c r="BR632" s="49"/>
      <c r="BS632" s="49"/>
      <c r="BT632" s="49"/>
      <c r="BU632" s="49"/>
      <c r="BV632" s="49"/>
      <c r="BW632" s="49"/>
      <c r="BX632" s="49"/>
      <c r="BY632" s="49"/>
      <c r="BZ632" s="49"/>
      <c r="CA632" s="49"/>
      <c r="CB632" s="49"/>
      <c r="CC632" s="49"/>
      <c r="CD632" s="49"/>
      <c r="CE632" s="49"/>
      <c r="CF632" s="49"/>
      <c r="CG632" s="49"/>
      <c r="CH632" s="49"/>
      <c r="CI632" s="49"/>
      <c r="CJ632" s="49"/>
      <c r="CK632" s="49"/>
      <c r="CL632" s="49"/>
      <c r="CM632" s="49"/>
      <c r="CN632" s="49"/>
      <c r="CO632" s="49"/>
      <c r="CP632" s="49"/>
      <c r="CQ632" s="49"/>
      <c r="CR632" s="49"/>
      <c r="CS632" s="49"/>
      <c r="CT632" s="49"/>
      <c r="CU632" s="49"/>
      <c r="CV632" s="49"/>
      <c r="CW632" s="49"/>
      <c r="CX632" s="49"/>
      <c r="CY632" s="49"/>
      <c r="CZ632" s="49"/>
      <c r="DA632" s="49"/>
      <c r="DB632" s="49"/>
      <c r="DC632" s="49"/>
      <c r="DD632" s="49"/>
      <c r="DE632" s="49"/>
      <c r="DF632" s="49"/>
      <c r="DG632" s="49"/>
      <c r="DH632" s="49"/>
      <c r="DI632" s="49"/>
      <c r="DJ632" s="49"/>
      <c r="DK632" s="49"/>
      <c r="DL632" s="49"/>
      <c r="DM632" s="49"/>
      <c r="DN632" s="49"/>
      <c r="DO632" s="49"/>
      <c r="DP632" s="49"/>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c r="IW632"/>
      <c r="IX632"/>
      <c r="IY632"/>
      <c r="IZ632"/>
      <c r="JA632"/>
      <c r="JB632"/>
      <c r="JC632"/>
      <c r="JD632"/>
      <c r="JE632"/>
      <c r="JF632"/>
      <c r="JG632"/>
      <c r="JH632"/>
      <c r="JI632"/>
      <c r="JJ632"/>
      <c r="JK632"/>
      <c r="JL632"/>
      <c r="JM632"/>
      <c r="JN632"/>
      <c r="JO632"/>
      <c r="JP632"/>
      <c r="JQ632"/>
      <c r="JR632"/>
      <c r="JS632"/>
      <c r="JT632"/>
      <c r="JU632"/>
      <c r="JV632"/>
      <c r="JW632"/>
      <c r="JX632"/>
      <c r="JY632"/>
      <c r="JZ632"/>
      <c r="KA632"/>
      <c r="KB632"/>
      <c r="KC632"/>
      <c r="KD632"/>
      <c r="KE632"/>
      <c r="KF632"/>
      <c r="KG632"/>
      <c r="KH632"/>
      <c r="KI632"/>
      <c r="KJ632"/>
      <c r="KK632"/>
      <c r="KL632"/>
      <c r="KM632"/>
      <c r="KN632"/>
      <c r="KO632"/>
      <c r="KP632"/>
      <c r="KQ632"/>
      <c r="KR632"/>
      <c r="KS632"/>
      <c r="KT632"/>
      <c r="KU632"/>
      <c r="KV632"/>
      <c r="KW632"/>
      <c r="KX632"/>
      <c r="KY632"/>
      <c r="KZ632"/>
      <c r="LA632"/>
      <c r="LB632"/>
      <c r="LC632"/>
      <c r="LD632"/>
      <c r="LE632"/>
      <c r="LF632"/>
      <c r="LG632"/>
      <c r="LH632"/>
      <c r="LI632"/>
      <c r="LJ632"/>
      <c r="LK632"/>
      <c r="LL632"/>
      <c r="LM632"/>
      <c r="LN632"/>
      <c r="LO632"/>
      <c r="LP632"/>
      <c r="LQ632"/>
      <c r="LR632"/>
      <c r="LS632"/>
      <c r="LT632"/>
      <c r="LU632"/>
      <c r="LV632"/>
      <c r="LW632"/>
      <c r="LX632"/>
      <c r="LY632"/>
      <c r="LZ632"/>
      <c r="MA632"/>
      <c r="MB632"/>
      <c r="MC632"/>
      <c r="MD632"/>
      <c r="ME632"/>
      <c r="MF632"/>
      <c r="MG632"/>
      <c r="MH632"/>
      <c r="MI632"/>
      <c r="MJ632"/>
      <c r="MK632"/>
      <c r="ML632"/>
      <c r="MM632"/>
      <c r="MN632"/>
      <c r="MO632"/>
      <c r="MP632"/>
      <c r="MQ632"/>
      <c r="MR632"/>
      <c r="MS632"/>
      <c r="MT632"/>
      <c r="MU632"/>
      <c r="MV632"/>
      <c r="MW632"/>
      <c r="MX632"/>
      <c r="MY632"/>
      <c r="MZ632"/>
      <c r="NA632"/>
      <c r="NB632"/>
      <c r="NC632"/>
      <c r="ND632"/>
      <c r="NE632"/>
      <c r="NF632"/>
      <c r="NG632"/>
      <c r="NH632"/>
      <c r="NI632"/>
      <c r="NJ632"/>
      <c r="NK632"/>
      <c r="NL632"/>
      <c r="NM632"/>
      <c r="NN632"/>
      <c r="NO632"/>
      <c r="NP632"/>
      <c r="NQ632"/>
      <c r="NR632"/>
      <c r="NS632"/>
      <c r="NT632"/>
      <c r="NU632"/>
      <c r="NV632"/>
      <c r="NW632"/>
      <c r="NX632"/>
      <c r="NY632"/>
      <c r="NZ632"/>
      <c r="OA632"/>
      <c r="OB632"/>
      <c r="OC632"/>
      <c r="OD632"/>
      <c r="OE632"/>
      <c r="OF632"/>
      <c r="OG632"/>
      <c r="OH632"/>
      <c r="OI632"/>
      <c r="OJ632"/>
      <c r="OK632"/>
      <c r="OL632"/>
      <c r="OM632"/>
      <c r="ON632"/>
      <c r="OO632"/>
      <c r="OP632"/>
      <c r="OQ632"/>
      <c r="OR632"/>
      <c r="OS632"/>
      <c r="OT632"/>
      <c r="OU632"/>
      <c r="OV632"/>
      <c r="OW632"/>
      <c r="OX632"/>
      <c r="OY632"/>
      <c r="OZ632"/>
      <c r="PA632"/>
      <c r="PB632"/>
      <c r="PC632"/>
      <c r="PD632"/>
      <c r="PE632"/>
      <c r="PF632"/>
      <c r="PG632"/>
      <c r="PH632"/>
      <c r="PI632"/>
      <c r="PJ632"/>
      <c r="PK632"/>
      <c r="PL632"/>
      <c r="PM632"/>
      <c r="PN632"/>
      <c r="PO632"/>
      <c r="PP632"/>
      <c r="PQ632"/>
      <c r="PR632"/>
      <c r="PS632"/>
      <c r="PT632"/>
      <c r="PU632"/>
      <c r="PV632"/>
      <c r="PW632"/>
      <c r="PX632"/>
      <c r="PY632"/>
      <c r="PZ632"/>
      <c r="QA632"/>
      <c r="QB632"/>
      <c r="QC632"/>
      <c r="QD632"/>
      <c r="QE632"/>
      <c r="QF632"/>
      <c r="QG632"/>
      <c r="QH632"/>
      <c r="QI632"/>
      <c r="QJ632"/>
      <c r="QK632"/>
      <c r="QL632"/>
      <c r="QM632"/>
      <c r="QN632"/>
      <c r="QO632"/>
      <c r="QP632"/>
      <c r="QQ632"/>
      <c r="QR632"/>
      <c r="QS632"/>
      <c r="QT632"/>
      <c r="QU632"/>
      <c r="QV632"/>
      <c r="QW632"/>
      <c r="QX632"/>
      <c r="QY632"/>
      <c r="QZ632"/>
      <c r="RA632"/>
      <c r="RB632"/>
      <c r="RC632"/>
      <c r="RD632"/>
      <c r="RE632"/>
      <c r="RF632"/>
      <c r="RG632"/>
      <c r="RH632"/>
      <c r="RI632"/>
      <c r="RJ632"/>
      <c r="RK632"/>
      <c r="RL632"/>
      <c r="RM632"/>
      <c r="RN632"/>
      <c r="RO632"/>
      <c r="RP632"/>
      <c r="RQ632"/>
      <c r="RR632"/>
      <c r="RS632"/>
      <c r="RT632"/>
      <c r="RU632"/>
      <c r="RV632"/>
      <c r="RW632"/>
      <c r="RX632"/>
      <c r="RY632"/>
      <c r="RZ632"/>
      <c r="SA632"/>
      <c r="SB632"/>
      <c r="SC632"/>
      <c r="SD632"/>
      <c r="SE632"/>
      <c r="SF632"/>
      <c r="SG632"/>
      <c r="SH632"/>
      <c r="SI632"/>
      <c r="SJ632"/>
      <c r="SK632"/>
      <c r="SL632"/>
      <c r="SM632"/>
      <c r="SN632"/>
      <c r="SO632"/>
      <c r="SP632"/>
      <c r="SQ632"/>
      <c r="SR632"/>
      <c r="SS632"/>
      <c r="ST632"/>
      <c r="SU632"/>
      <c r="SV632"/>
      <c r="SW632"/>
      <c r="SX632"/>
      <c r="SY632"/>
      <c r="SZ632"/>
      <c r="TA632"/>
      <c r="TB632"/>
      <c r="TC632"/>
      <c r="TD632"/>
      <c r="TE632"/>
      <c r="TF632"/>
      <c r="TG632"/>
      <c r="TH632"/>
      <c r="TI632"/>
      <c r="TJ632"/>
      <c r="TK632"/>
      <c r="TL632"/>
      <c r="TM632"/>
      <c r="TN632"/>
      <c r="TO632"/>
      <c r="TP632"/>
      <c r="TQ632"/>
      <c r="TR632"/>
      <c r="TS632"/>
      <c r="TT632"/>
      <c r="TU632"/>
      <c r="TV632"/>
      <c r="TW632"/>
      <c r="TX632"/>
      <c r="TY632"/>
      <c r="TZ632"/>
      <c r="UA632"/>
      <c r="UB632"/>
      <c r="UC632"/>
      <c r="UD632"/>
      <c r="UE632"/>
      <c r="UF632"/>
      <c r="UG632"/>
      <c r="UH632"/>
      <c r="UI632"/>
      <c r="UJ632"/>
      <c r="UK632"/>
      <c r="UL632"/>
      <c r="UM632"/>
      <c r="UN632"/>
      <c r="UO632"/>
      <c r="UP632"/>
      <c r="UQ632"/>
      <c r="UR632"/>
      <c r="US632"/>
      <c r="UT632"/>
      <c r="UU632"/>
      <c r="UV632"/>
      <c r="UW632"/>
      <c r="UX632"/>
      <c r="UY632"/>
      <c r="UZ632"/>
      <c r="VA632"/>
      <c r="VB632"/>
      <c r="VC632"/>
      <c r="VD632"/>
      <c r="VE632"/>
      <c r="VF632"/>
      <c r="VG632"/>
      <c r="VH632"/>
      <c r="VI632"/>
      <c r="VJ632"/>
      <c r="VK632"/>
      <c r="VL632"/>
      <c r="VM632"/>
      <c r="VN632"/>
      <c r="VO632"/>
      <c r="VP632"/>
      <c r="VQ632"/>
      <c r="VR632"/>
      <c r="VS632"/>
      <c r="VT632"/>
      <c r="VU632"/>
      <c r="VV632"/>
      <c r="VW632"/>
      <c r="VX632"/>
      <c r="VY632"/>
      <c r="VZ632"/>
      <c r="WA632"/>
      <c r="WB632"/>
      <c r="WC632"/>
      <c r="WD632"/>
      <c r="WE632"/>
      <c r="WF632"/>
      <c r="WG632"/>
      <c r="WH632"/>
      <c r="WI632"/>
      <c r="WJ632"/>
      <c r="WK632"/>
      <c r="WL632"/>
      <c r="WM632"/>
      <c r="WN632"/>
      <c r="WO632"/>
      <c r="WP632"/>
      <c r="WQ632"/>
      <c r="WR632"/>
      <c r="WS632"/>
      <c r="WT632"/>
      <c r="WU632"/>
      <c r="WV632"/>
      <c r="WW632"/>
      <c r="WX632"/>
      <c r="WY632"/>
      <c r="WZ632"/>
      <c r="XA632"/>
      <c r="XB632"/>
      <c r="XC632"/>
      <c r="XD632"/>
      <c r="XE632"/>
      <c r="XF632"/>
      <c r="XG632"/>
      <c r="XH632"/>
      <c r="XI632"/>
      <c r="XJ632"/>
      <c r="XK632"/>
      <c r="XL632"/>
      <c r="XM632"/>
      <c r="XN632"/>
      <c r="XO632"/>
      <c r="XP632"/>
      <c r="XQ632"/>
      <c r="XR632"/>
      <c r="XS632"/>
      <c r="XT632"/>
      <c r="XU632"/>
      <c r="XV632"/>
      <c r="XW632"/>
      <c r="XX632"/>
      <c r="XY632"/>
      <c r="XZ632"/>
      <c r="YA632"/>
      <c r="YB632"/>
      <c r="YC632"/>
      <c r="YD632"/>
      <c r="YE632"/>
      <c r="YF632"/>
      <c r="YG632"/>
      <c r="YH632"/>
      <c r="YI632"/>
      <c r="YJ632"/>
      <c r="YK632"/>
      <c r="YL632"/>
      <c r="YM632"/>
      <c r="YN632"/>
      <c r="YO632"/>
      <c r="YP632"/>
      <c r="YQ632"/>
      <c r="YR632"/>
      <c r="YS632"/>
      <c r="YT632"/>
      <c r="YU632"/>
      <c r="YV632"/>
      <c r="YW632"/>
      <c r="YX632"/>
      <c r="YY632"/>
      <c r="YZ632"/>
      <c r="ZA632"/>
      <c r="ZB632"/>
      <c r="ZC632"/>
      <c r="ZD632"/>
      <c r="ZE632"/>
      <c r="ZF632"/>
      <c r="ZG632"/>
      <c r="ZH632"/>
      <c r="ZI632"/>
      <c r="ZJ632"/>
      <c r="ZK632"/>
      <c r="ZL632"/>
      <c r="ZM632"/>
      <c r="ZN632"/>
      <c r="ZO632"/>
      <c r="ZP632"/>
      <c r="ZQ632"/>
      <c r="ZR632"/>
      <c r="ZS632"/>
      <c r="ZT632"/>
      <c r="ZU632"/>
      <c r="ZV632"/>
      <c r="ZW632"/>
      <c r="ZX632"/>
      <c r="ZY632"/>
      <c r="ZZ632" s="52"/>
      <c r="AAA632" s="192"/>
      <c r="AAD632" s="90"/>
      <c r="AAE632" s="519">
        <f t="shared" si="515"/>
        <v>1</v>
      </c>
      <c r="AAF632" s="190" t="s">
        <v>52</v>
      </c>
      <c r="AAG632" s="94"/>
      <c r="AAH632" s="94"/>
      <c r="AAI632" s="72"/>
      <c r="AAJ632" s="56"/>
      <c r="AAK632" s="56"/>
      <c r="AAL632" s="90"/>
    </row>
    <row r="633" spans="1:715" s="23" customFormat="1" ht="15" customHeight="1" outlineLevel="2">
      <c r="A633" s="171"/>
      <c r="B633" s="783" t="s">
        <v>456</v>
      </c>
      <c r="C633" s="738"/>
      <c r="D633" s="738"/>
      <c r="E633" s="738"/>
      <c r="F633" s="738"/>
      <c r="G633" s="738"/>
      <c r="H633" s="738"/>
      <c r="I633" s="244"/>
      <c r="J633" s="194"/>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c r="BG633" s="49"/>
      <c r="BH633" s="49"/>
      <c r="BI633" s="49"/>
      <c r="BJ633" s="49"/>
      <c r="BK633" s="49"/>
      <c r="BL633" s="49"/>
      <c r="BM633" s="49"/>
      <c r="BN633" s="49"/>
      <c r="BO633" s="49"/>
      <c r="BP633" s="49"/>
      <c r="BQ633" s="49"/>
      <c r="BR633" s="49"/>
      <c r="BS633" s="49"/>
      <c r="BT633" s="49"/>
      <c r="BU633" s="49"/>
      <c r="BV633" s="49"/>
      <c r="BW633" s="49"/>
      <c r="BX633" s="49"/>
      <c r="BY633" s="49"/>
      <c r="BZ633" s="49"/>
      <c r="CA633" s="49"/>
      <c r="CB633" s="49"/>
      <c r="CC633" s="49"/>
      <c r="CD633" s="49"/>
      <c r="CE633" s="49"/>
      <c r="CF633" s="49"/>
      <c r="CG633" s="49"/>
      <c r="CH633" s="49"/>
      <c r="CI633" s="49"/>
      <c r="CJ633" s="49"/>
      <c r="CK633" s="49"/>
      <c r="CL633" s="49"/>
      <c r="CM633" s="49"/>
      <c r="CN633" s="49"/>
      <c r="CO633" s="49"/>
      <c r="CP633" s="49"/>
      <c r="CQ633" s="49"/>
      <c r="CR633" s="49"/>
      <c r="CS633" s="49"/>
      <c r="CT633" s="49"/>
      <c r="CU633" s="49"/>
      <c r="CV633" s="49"/>
      <c r="CW633" s="49"/>
      <c r="CX633" s="49"/>
      <c r="CY633" s="49"/>
      <c r="CZ633" s="49"/>
      <c r="DA633" s="49"/>
      <c r="DB633" s="49"/>
      <c r="DC633" s="49"/>
      <c r="DD633" s="49"/>
      <c r="DE633" s="49"/>
      <c r="DF633" s="49"/>
      <c r="DG633" s="49"/>
      <c r="DH633" s="49"/>
      <c r="DI633" s="49"/>
      <c r="DJ633" s="49"/>
      <c r="DK633" s="49"/>
      <c r="DL633" s="49"/>
      <c r="DM633" s="49"/>
      <c r="DN633" s="49"/>
      <c r="DO633" s="49"/>
      <c r="DP633" s="49"/>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c r="IW633"/>
      <c r="IX633"/>
      <c r="IY633"/>
      <c r="IZ633"/>
      <c r="JA633"/>
      <c r="JB633"/>
      <c r="JC633"/>
      <c r="JD633"/>
      <c r="JE633"/>
      <c r="JF633"/>
      <c r="JG633"/>
      <c r="JH633"/>
      <c r="JI633"/>
      <c r="JJ633"/>
      <c r="JK633"/>
      <c r="JL633"/>
      <c r="JM633"/>
      <c r="JN633"/>
      <c r="JO633"/>
      <c r="JP633"/>
      <c r="JQ633"/>
      <c r="JR633"/>
      <c r="JS633"/>
      <c r="JT633"/>
      <c r="JU633"/>
      <c r="JV633"/>
      <c r="JW633"/>
      <c r="JX633"/>
      <c r="JY633"/>
      <c r="JZ633"/>
      <c r="KA633"/>
      <c r="KB633"/>
      <c r="KC633"/>
      <c r="KD633"/>
      <c r="KE633"/>
      <c r="KF633"/>
      <c r="KG633"/>
      <c r="KH633"/>
      <c r="KI633"/>
      <c r="KJ633"/>
      <c r="KK633"/>
      <c r="KL633"/>
      <c r="KM633"/>
      <c r="KN633"/>
      <c r="KO633"/>
      <c r="KP633"/>
      <c r="KQ633"/>
      <c r="KR633"/>
      <c r="KS633"/>
      <c r="KT633"/>
      <c r="KU633"/>
      <c r="KV633"/>
      <c r="KW633"/>
      <c r="KX633"/>
      <c r="KY633"/>
      <c r="KZ633"/>
      <c r="LA633"/>
      <c r="LB633"/>
      <c r="LC633"/>
      <c r="LD633"/>
      <c r="LE633"/>
      <c r="LF633"/>
      <c r="LG633"/>
      <c r="LH633"/>
      <c r="LI633"/>
      <c r="LJ633"/>
      <c r="LK633"/>
      <c r="LL633"/>
      <c r="LM633"/>
      <c r="LN633"/>
      <c r="LO633"/>
      <c r="LP633"/>
      <c r="LQ633"/>
      <c r="LR633"/>
      <c r="LS633"/>
      <c r="LT633"/>
      <c r="LU633"/>
      <c r="LV633"/>
      <c r="LW633"/>
      <c r="LX633"/>
      <c r="LY633"/>
      <c r="LZ633"/>
      <c r="MA633"/>
      <c r="MB633"/>
      <c r="MC633"/>
      <c r="MD633"/>
      <c r="ME633"/>
      <c r="MF633"/>
      <c r="MG633"/>
      <c r="MH633"/>
      <c r="MI633"/>
      <c r="MJ633"/>
      <c r="MK633"/>
      <c r="ML633"/>
      <c r="MM633"/>
      <c r="MN633"/>
      <c r="MO633"/>
      <c r="MP633"/>
      <c r="MQ633"/>
      <c r="MR633"/>
      <c r="MS633"/>
      <c r="MT633"/>
      <c r="MU633"/>
      <c r="MV633"/>
      <c r="MW633"/>
      <c r="MX633"/>
      <c r="MY633"/>
      <c r="MZ633"/>
      <c r="NA633"/>
      <c r="NB633"/>
      <c r="NC633"/>
      <c r="ND633"/>
      <c r="NE633"/>
      <c r="NF633"/>
      <c r="NG633"/>
      <c r="NH633"/>
      <c r="NI633"/>
      <c r="NJ633"/>
      <c r="NK633"/>
      <c r="NL633"/>
      <c r="NM633"/>
      <c r="NN633"/>
      <c r="NO633"/>
      <c r="NP633"/>
      <c r="NQ633"/>
      <c r="NR633"/>
      <c r="NS633"/>
      <c r="NT633"/>
      <c r="NU633"/>
      <c r="NV633"/>
      <c r="NW633"/>
      <c r="NX633"/>
      <c r="NY633"/>
      <c r="NZ633"/>
      <c r="OA633"/>
      <c r="OB633"/>
      <c r="OC633"/>
      <c r="OD633"/>
      <c r="OE633"/>
      <c r="OF633"/>
      <c r="OG633"/>
      <c r="OH633"/>
      <c r="OI633"/>
      <c r="OJ633"/>
      <c r="OK633"/>
      <c r="OL633"/>
      <c r="OM633"/>
      <c r="ON633"/>
      <c r="OO633"/>
      <c r="OP633"/>
      <c r="OQ633"/>
      <c r="OR633"/>
      <c r="OS633"/>
      <c r="OT633"/>
      <c r="OU633"/>
      <c r="OV633"/>
      <c r="OW633"/>
      <c r="OX633"/>
      <c r="OY633"/>
      <c r="OZ633"/>
      <c r="PA633"/>
      <c r="PB633"/>
      <c r="PC633"/>
      <c r="PD633"/>
      <c r="PE633"/>
      <c r="PF633"/>
      <c r="PG633"/>
      <c r="PH633"/>
      <c r="PI633"/>
      <c r="PJ633"/>
      <c r="PK633"/>
      <c r="PL633"/>
      <c r="PM633"/>
      <c r="PN633"/>
      <c r="PO633"/>
      <c r="PP633"/>
      <c r="PQ633"/>
      <c r="PR633"/>
      <c r="PS633"/>
      <c r="PT633"/>
      <c r="PU633"/>
      <c r="PV633"/>
      <c r="PW633"/>
      <c r="PX633"/>
      <c r="PY633"/>
      <c r="PZ633"/>
      <c r="QA633"/>
      <c r="QB633"/>
      <c r="QC633"/>
      <c r="QD633"/>
      <c r="QE633"/>
      <c r="QF633"/>
      <c r="QG633"/>
      <c r="QH633"/>
      <c r="QI633"/>
      <c r="QJ633"/>
      <c r="QK633"/>
      <c r="QL633"/>
      <c r="QM633"/>
      <c r="QN633"/>
      <c r="QO633"/>
      <c r="QP633"/>
      <c r="QQ633"/>
      <c r="QR633"/>
      <c r="QS633"/>
      <c r="QT633"/>
      <c r="QU633"/>
      <c r="QV633"/>
      <c r="QW633"/>
      <c r="QX633"/>
      <c r="QY633"/>
      <c r="QZ633"/>
      <c r="RA633"/>
      <c r="RB633"/>
      <c r="RC633"/>
      <c r="RD633"/>
      <c r="RE633"/>
      <c r="RF633"/>
      <c r="RG633"/>
      <c r="RH633"/>
      <c r="RI633"/>
      <c r="RJ633"/>
      <c r="RK633"/>
      <c r="RL633"/>
      <c r="RM633"/>
      <c r="RN633"/>
      <c r="RO633"/>
      <c r="RP633"/>
      <c r="RQ633"/>
      <c r="RR633"/>
      <c r="RS633"/>
      <c r="RT633"/>
      <c r="RU633"/>
      <c r="RV633"/>
      <c r="RW633"/>
      <c r="RX633"/>
      <c r="RY633"/>
      <c r="RZ633"/>
      <c r="SA633"/>
      <c r="SB633"/>
      <c r="SC633"/>
      <c r="SD633"/>
      <c r="SE633"/>
      <c r="SF633"/>
      <c r="SG633"/>
      <c r="SH633"/>
      <c r="SI633"/>
      <c r="SJ633"/>
      <c r="SK633"/>
      <c r="SL633"/>
      <c r="SM633"/>
      <c r="SN633"/>
      <c r="SO633"/>
      <c r="SP633"/>
      <c r="SQ633"/>
      <c r="SR633"/>
      <c r="SS633"/>
      <c r="ST633"/>
      <c r="SU633"/>
      <c r="SV633"/>
      <c r="SW633"/>
      <c r="SX633"/>
      <c r="SY633"/>
      <c r="SZ633"/>
      <c r="TA633"/>
      <c r="TB633"/>
      <c r="TC633"/>
      <c r="TD633"/>
      <c r="TE633"/>
      <c r="TF633"/>
      <c r="TG633"/>
      <c r="TH633"/>
      <c r="TI633"/>
      <c r="TJ633"/>
      <c r="TK633"/>
      <c r="TL633"/>
      <c r="TM633"/>
      <c r="TN633"/>
      <c r="TO633"/>
      <c r="TP633"/>
      <c r="TQ633"/>
      <c r="TR633"/>
      <c r="TS633"/>
      <c r="TT633"/>
      <c r="TU633"/>
      <c r="TV633"/>
      <c r="TW633"/>
      <c r="TX633"/>
      <c r="TY633"/>
      <c r="TZ633"/>
      <c r="UA633"/>
      <c r="UB633"/>
      <c r="UC633"/>
      <c r="UD633"/>
      <c r="UE633"/>
      <c r="UF633"/>
      <c r="UG633"/>
      <c r="UH633"/>
      <c r="UI633"/>
      <c r="UJ633"/>
      <c r="UK633"/>
      <c r="UL633"/>
      <c r="UM633"/>
      <c r="UN633"/>
      <c r="UO633"/>
      <c r="UP633"/>
      <c r="UQ633"/>
      <c r="UR633"/>
      <c r="US633"/>
      <c r="UT633"/>
      <c r="UU633"/>
      <c r="UV633"/>
      <c r="UW633"/>
      <c r="UX633"/>
      <c r="UY633"/>
      <c r="UZ633"/>
      <c r="VA633"/>
      <c r="VB633"/>
      <c r="VC633"/>
      <c r="VD633"/>
      <c r="VE633"/>
      <c r="VF633"/>
      <c r="VG633"/>
      <c r="VH633"/>
      <c r="VI633"/>
      <c r="VJ633"/>
      <c r="VK633"/>
      <c r="VL633"/>
      <c r="VM633"/>
      <c r="VN633"/>
      <c r="VO633"/>
      <c r="VP633"/>
      <c r="VQ633"/>
      <c r="VR633"/>
      <c r="VS633"/>
      <c r="VT633"/>
      <c r="VU633"/>
      <c r="VV633"/>
      <c r="VW633"/>
      <c r="VX633"/>
      <c r="VY633"/>
      <c r="VZ633"/>
      <c r="WA633"/>
      <c r="WB633"/>
      <c r="WC633"/>
      <c r="WD633"/>
      <c r="WE633"/>
      <c r="WF633"/>
      <c r="WG633"/>
      <c r="WH633"/>
      <c r="WI633"/>
      <c r="WJ633"/>
      <c r="WK633"/>
      <c r="WL633"/>
      <c r="WM633"/>
      <c r="WN633"/>
      <c r="WO633"/>
      <c r="WP633"/>
      <c r="WQ633"/>
      <c r="WR633"/>
      <c r="WS633"/>
      <c r="WT633"/>
      <c r="WU633"/>
      <c r="WV633"/>
      <c r="WW633"/>
      <c r="WX633"/>
      <c r="WY633"/>
      <c r="WZ633"/>
      <c r="XA633"/>
      <c r="XB633"/>
      <c r="XC633"/>
      <c r="XD633"/>
      <c r="XE633"/>
      <c r="XF633"/>
      <c r="XG633"/>
      <c r="XH633"/>
      <c r="XI633"/>
      <c r="XJ633"/>
      <c r="XK633"/>
      <c r="XL633"/>
      <c r="XM633"/>
      <c r="XN633"/>
      <c r="XO633"/>
      <c r="XP633"/>
      <c r="XQ633"/>
      <c r="XR633"/>
      <c r="XS633"/>
      <c r="XT633"/>
      <c r="XU633"/>
      <c r="XV633"/>
      <c r="XW633"/>
      <c r="XX633"/>
      <c r="XY633"/>
      <c r="XZ633"/>
      <c r="YA633"/>
      <c r="YB633"/>
      <c r="YC633"/>
      <c r="YD633"/>
      <c r="YE633"/>
      <c r="YF633"/>
      <c r="YG633"/>
      <c r="YH633"/>
      <c r="YI633"/>
      <c r="YJ633"/>
      <c r="YK633"/>
      <c r="YL633"/>
      <c r="YM633"/>
      <c r="YN633"/>
      <c r="YO633"/>
      <c r="YP633"/>
      <c r="YQ633"/>
      <c r="YR633"/>
      <c r="YS633"/>
      <c r="YT633"/>
      <c r="YU633"/>
      <c r="YV633"/>
      <c r="YW633"/>
      <c r="YX633"/>
      <c r="YY633"/>
      <c r="YZ633"/>
      <c r="ZA633"/>
      <c r="ZB633"/>
      <c r="ZC633"/>
      <c r="ZD633"/>
      <c r="ZE633"/>
      <c r="ZF633"/>
      <c r="ZG633"/>
      <c r="ZH633"/>
      <c r="ZI633"/>
      <c r="ZJ633"/>
      <c r="ZK633"/>
      <c r="ZL633"/>
      <c r="ZM633"/>
      <c r="ZN633"/>
      <c r="ZO633"/>
      <c r="ZP633"/>
      <c r="ZQ633"/>
      <c r="ZR633"/>
      <c r="ZS633"/>
      <c r="ZT633"/>
      <c r="ZU633"/>
      <c r="ZV633"/>
      <c r="ZW633"/>
      <c r="ZX633"/>
      <c r="ZY633"/>
      <c r="ZZ633" s="52"/>
      <c r="AAA633" s="192"/>
      <c r="AAD633" s="90"/>
      <c r="AAE633" s="519">
        <f t="shared" si="515"/>
        <v>1</v>
      </c>
      <c r="AAF633" s="190" t="s">
        <v>52</v>
      </c>
      <c r="AAG633" s="94"/>
      <c r="AAH633" s="94"/>
      <c r="AAI633" s="72"/>
      <c r="AAJ633" s="56"/>
      <c r="AAK633" s="56"/>
      <c r="AAL633" s="90"/>
    </row>
    <row r="634" spans="1:715" s="23" customFormat="1" ht="15" customHeight="1" outlineLevel="2">
      <c r="A634" s="171"/>
      <c r="B634" s="396" t="s">
        <v>500</v>
      </c>
      <c r="C634" s="790" t="str">
        <f>HYPERLINK("http://arcweb.sos.state.or.us/pages/rules/oars_300/oar_340/340_tofc.html","i")</f>
        <v>i</v>
      </c>
      <c r="D634" s="609"/>
      <c r="E634" s="397">
        <f t="shared" ref="E634" si="516">NETWORKDAYS(G634,H634,S.DDL_DEQClosed)</f>
        <v>70</v>
      </c>
      <c r="F634" s="457">
        <f ca="1">IF(YEAR(H634)&gt;2000,NETWORKDAYS(TODAY(),H634,S.DDL_DEQClosed),0)</f>
        <v>69</v>
      </c>
      <c r="G634" s="400">
        <f t="shared" ref="G634" si="517">AAG634</f>
        <v>41572</v>
      </c>
      <c r="H634" s="400">
        <f t="shared" ref="H634" si="518">AAH634</f>
        <v>41676</v>
      </c>
      <c r="I634" s="244"/>
      <c r="J634" s="222"/>
      <c r="K634" s="223"/>
      <c r="L634" s="223"/>
      <c r="M634" s="223"/>
      <c r="N634" s="223"/>
      <c r="O634" s="223"/>
      <c r="P634" s="223"/>
      <c r="Q634" s="223"/>
      <c r="R634" s="223"/>
      <c r="S634" s="223"/>
      <c r="T634" s="223"/>
      <c r="U634" s="223"/>
      <c r="V634" s="223"/>
      <c r="W634" s="223"/>
      <c r="X634" s="223"/>
      <c r="Y634" s="223"/>
      <c r="Z634" s="223"/>
      <c r="AA634" s="223"/>
      <c r="AB634" s="223"/>
      <c r="AC634" s="223"/>
      <c r="AD634" s="223"/>
      <c r="AE634" s="223"/>
      <c r="AF634" s="223"/>
      <c r="AG634" s="223"/>
      <c r="AH634" s="223"/>
      <c r="AI634" s="223"/>
      <c r="AJ634" s="223"/>
      <c r="AK634" s="223"/>
      <c r="AL634" s="223"/>
      <c r="AM634" s="223"/>
      <c r="AN634" s="223"/>
      <c r="AO634" s="223"/>
      <c r="AP634" s="223"/>
      <c r="AQ634" s="223"/>
      <c r="AR634" s="223"/>
      <c r="AS634" s="223"/>
      <c r="AT634" s="223"/>
      <c r="AU634" s="223"/>
      <c r="AV634" s="223"/>
      <c r="AW634" s="223"/>
      <c r="AX634" s="223"/>
      <c r="AY634" s="223"/>
      <c r="AZ634" s="223"/>
      <c r="BA634" s="223"/>
      <c r="BB634" s="223"/>
      <c r="BC634" s="223"/>
      <c r="BD634" s="223"/>
      <c r="BE634" s="223"/>
      <c r="BF634" s="223"/>
      <c r="BG634" s="223"/>
      <c r="BH634" s="223"/>
      <c r="BI634" s="223"/>
      <c r="BJ634" s="223"/>
      <c r="BK634" s="223"/>
      <c r="BL634" s="223"/>
      <c r="BM634" s="223"/>
      <c r="BN634" s="223"/>
      <c r="BO634" s="223"/>
      <c r="BP634" s="223"/>
      <c r="BQ634" s="223"/>
      <c r="BR634" s="223"/>
      <c r="BS634" s="223"/>
      <c r="BT634" s="223"/>
      <c r="BU634" s="223"/>
      <c r="BV634" s="223"/>
      <c r="BW634" s="223"/>
      <c r="BX634" s="223"/>
      <c r="BY634" s="223"/>
      <c r="BZ634" s="223"/>
      <c r="CA634" s="223"/>
      <c r="CB634" s="223"/>
      <c r="CC634" s="223"/>
      <c r="CD634" s="223"/>
      <c r="CE634" s="223"/>
      <c r="CF634" s="223"/>
      <c r="CG634" s="223"/>
      <c r="CH634" s="223"/>
      <c r="CI634" s="223"/>
      <c r="CJ634" s="223"/>
      <c r="CK634" s="223"/>
      <c r="CL634" s="223"/>
      <c r="CM634" s="223"/>
      <c r="CN634" s="223"/>
      <c r="CO634" s="223"/>
      <c r="CP634" s="223"/>
      <c r="CQ634" s="223"/>
      <c r="CR634" s="223"/>
      <c r="CS634" s="223"/>
      <c r="CT634" s="223"/>
      <c r="CU634" s="223"/>
      <c r="CV634" s="223"/>
      <c r="CW634" s="223"/>
      <c r="CX634" s="223"/>
      <c r="CY634" s="223"/>
      <c r="CZ634" s="223"/>
      <c r="DA634" s="223"/>
      <c r="DB634" s="223"/>
      <c r="DC634" s="223"/>
      <c r="DD634" s="223"/>
      <c r="DE634" s="223"/>
      <c r="DF634" s="223"/>
      <c r="DG634" s="223"/>
      <c r="DH634" s="223"/>
      <c r="DI634" s="223"/>
      <c r="DJ634" s="223"/>
      <c r="DK634" s="223"/>
      <c r="DL634" s="223"/>
      <c r="DM634" s="223"/>
      <c r="DN634" s="223"/>
      <c r="DO634" s="223"/>
      <c r="DP634" s="223"/>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c r="IW634"/>
      <c r="IX634"/>
      <c r="IY634"/>
      <c r="IZ634"/>
      <c r="JA634"/>
      <c r="JB634"/>
      <c r="JC634"/>
      <c r="JD634"/>
      <c r="JE634"/>
      <c r="JF634"/>
      <c r="JG634"/>
      <c r="JH634"/>
      <c r="JI634"/>
      <c r="JJ634"/>
      <c r="JK634"/>
      <c r="JL634"/>
      <c r="JM634"/>
      <c r="JN634"/>
      <c r="JO634"/>
      <c r="JP634"/>
      <c r="JQ634"/>
      <c r="JR634"/>
      <c r="JS634"/>
      <c r="JT634"/>
      <c r="JU634"/>
      <c r="JV634"/>
      <c r="JW634"/>
      <c r="JX634"/>
      <c r="JY634"/>
      <c r="JZ634"/>
      <c r="KA634"/>
      <c r="KB634"/>
      <c r="KC634"/>
      <c r="KD634"/>
      <c r="KE634"/>
      <c r="KF634"/>
      <c r="KG634"/>
      <c r="KH634"/>
      <c r="KI634"/>
      <c r="KJ634"/>
      <c r="KK634"/>
      <c r="KL634"/>
      <c r="KM634"/>
      <c r="KN634"/>
      <c r="KO634"/>
      <c r="KP634"/>
      <c r="KQ634"/>
      <c r="KR634"/>
      <c r="KS634"/>
      <c r="KT634"/>
      <c r="KU634"/>
      <c r="KV634"/>
      <c r="KW634"/>
      <c r="KX634"/>
      <c r="KY634"/>
      <c r="KZ634"/>
      <c r="LA634"/>
      <c r="LB634"/>
      <c r="LC634"/>
      <c r="LD634"/>
      <c r="LE634"/>
      <c r="LF634"/>
      <c r="LG634"/>
      <c r="LH634"/>
      <c r="LI634"/>
      <c r="LJ634"/>
      <c r="LK634"/>
      <c r="LL634"/>
      <c r="LM634"/>
      <c r="LN634"/>
      <c r="LO634"/>
      <c r="LP634"/>
      <c r="LQ634"/>
      <c r="LR634"/>
      <c r="LS634"/>
      <c r="LT634"/>
      <c r="LU634"/>
      <c r="LV634"/>
      <c r="LW634"/>
      <c r="LX634"/>
      <c r="LY634"/>
      <c r="LZ634"/>
      <c r="MA634"/>
      <c r="MB634"/>
      <c r="MC634"/>
      <c r="MD634"/>
      <c r="ME634"/>
      <c r="MF634"/>
      <c r="MG634"/>
      <c r="MH634"/>
      <c r="MI634"/>
      <c r="MJ634"/>
      <c r="MK634"/>
      <c r="ML634"/>
      <c r="MM634"/>
      <c r="MN634"/>
      <c r="MO634"/>
      <c r="MP634"/>
      <c r="MQ634"/>
      <c r="MR634"/>
      <c r="MS634"/>
      <c r="MT634"/>
      <c r="MU634"/>
      <c r="MV634"/>
      <c r="MW634"/>
      <c r="MX634"/>
      <c r="MY634"/>
      <c r="MZ634"/>
      <c r="NA634"/>
      <c r="NB634"/>
      <c r="NC634"/>
      <c r="ND634"/>
      <c r="NE634"/>
      <c r="NF634"/>
      <c r="NG634"/>
      <c r="NH634"/>
      <c r="NI634"/>
      <c r="NJ634"/>
      <c r="NK634"/>
      <c r="NL634"/>
      <c r="NM634"/>
      <c r="NN634"/>
      <c r="NO634"/>
      <c r="NP634"/>
      <c r="NQ634"/>
      <c r="NR634"/>
      <c r="NS634"/>
      <c r="NT634"/>
      <c r="NU634"/>
      <c r="NV634"/>
      <c r="NW634"/>
      <c r="NX634"/>
      <c r="NY634"/>
      <c r="NZ634"/>
      <c r="OA634"/>
      <c r="OB634"/>
      <c r="OC634"/>
      <c r="OD634"/>
      <c r="OE634"/>
      <c r="OF634"/>
      <c r="OG634"/>
      <c r="OH634"/>
      <c r="OI634"/>
      <c r="OJ634"/>
      <c r="OK634"/>
      <c r="OL634"/>
      <c r="OM634"/>
      <c r="ON634"/>
      <c r="OO634"/>
      <c r="OP634"/>
      <c r="OQ634"/>
      <c r="OR634"/>
      <c r="OS634"/>
      <c r="OT634"/>
      <c r="OU634"/>
      <c r="OV634"/>
      <c r="OW634"/>
      <c r="OX634"/>
      <c r="OY634"/>
      <c r="OZ634"/>
      <c r="PA634"/>
      <c r="PB634"/>
      <c r="PC634"/>
      <c r="PD634"/>
      <c r="PE634"/>
      <c r="PF634"/>
      <c r="PG634"/>
      <c r="PH634"/>
      <c r="PI634"/>
      <c r="PJ634"/>
      <c r="PK634"/>
      <c r="PL634"/>
      <c r="PM634"/>
      <c r="PN634"/>
      <c r="PO634"/>
      <c r="PP634"/>
      <c r="PQ634"/>
      <c r="PR634"/>
      <c r="PS634"/>
      <c r="PT634"/>
      <c r="PU634"/>
      <c r="PV634"/>
      <c r="PW634"/>
      <c r="PX634"/>
      <c r="PY634"/>
      <c r="PZ634"/>
      <c r="QA634"/>
      <c r="QB634"/>
      <c r="QC634"/>
      <c r="QD634"/>
      <c r="QE634"/>
      <c r="QF634"/>
      <c r="QG634"/>
      <c r="QH634"/>
      <c r="QI634"/>
      <c r="QJ634"/>
      <c r="QK634"/>
      <c r="QL634"/>
      <c r="QM634"/>
      <c r="QN634"/>
      <c r="QO634"/>
      <c r="QP634"/>
      <c r="QQ634"/>
      <c r="QR634"/>
      <c r="QS634"/>
      <c r="QT634"/>
      <c r="QU634"/>
      <c r="QV634"/>
      <c r="QW634"/>
      <c r="QX634"/>
      <c r="QY634"/>
      <c r="QZ634"/>
      <c r="RA634"/>
      <c r="RB634"/>
      <c r="RC634"/>
      <c r="RD634"/>
      <c r="RE634"/>
      <c r="RF634"/>
      <c r="RG634"/>
      <c r="RH634"/>
      <c r="RI634"/>
      <c r="RJ634"/>
      <c r="RK634"/>
      <c r="RL634"/>
      <c r="RM634"/>
      <c r="RN634"/>
      <c r="RO634"/>
      <c r="RP634"/>
      <c r="RQ634"/>
      <c r="RR634"/>
      <c r="RS634"/>
      <c r="RT634"/>
      <c r="RU634"/>
      <c r="RV634"/>
      <c r="RW634"/>
      <c r="RX634"/>
      <c r="RY634"/>
      <c r="RZ634"/>
      <c r="SA634"/>
      <c r="SB634"/>
      <c r="SC634"/>
      <c r="SD634"/>
      <c r="SE634"/>
      <c r="SF634"/>
      <c r="SG634"/>
      <c r="SH634"/>
      <c r="SI634"/>
      <c r="SJ634"/>
      <c r="SK634"/>
      <c r="SL634"/>
      <c r="SM634"/>
      <c r="SN634"/>
      <c r="SO634"/>
      <c r="SP634"/>
      <c r="SQ634"/>
      <c r="SR634"/>
      <c r="SS634"/>
      <c r="ST634"/>
      <c r="SU634"/>
      <c r="SV634"/>
      <c r="SW634"/>
      <c r="SX634"/>
      <c r="SY634"/>
      <c r="SZ634"/>
      <c r="TA634"/>
      <c r="TB634"/>
      <c r="TC634"/>
      <c r="TD634"/>
      <c r="TE634"/>
      <c r="TF634"/>
      <c r="TG634"/>
      <c r="TH634"/>
      <c r="TI634"/>
      <c r="TJ634"/>
      <c r="TK634"/>
      <c r="TL634"/>
      <c r="TM634"/>
      <c r="TN634"/>
      <c r="TO634"/>
      <c r="TP634"/>
      <c r="TQ634"/>
      <c r="TR634"/>
      <c r="TS634"/>
      <c r="TT634"/>
      <c r="TU634"/>
      <c r="TV634"/>
      <c r="TW634"/>
      <c r="TX634"/>
      <c r="TY634"/>
      <c r="TZ634"/>
      <c r="UA634"/>
      <c r="UB634"/>
      <c r="UC634"/>
      <c r="UD634"/>
      <c r="UE634"/>
      <c r="UF634"/>
      <c r="UG634"/>
      <c r="UH634"/>
      <c r="UI634"/>
      <c r="UJ634"/>
      <c r="UK634"/>
      <c r="UL634"/>
      <c r="UM634"/>
      <c r="UN634"/>
      <c r="UO634"/>
      <c r="UP634"/>
      <c r="UQ634"/>
      <c r="UR634"/>
      <c r="US634"/>
      <c r="UT634"/>
      <c r="UU634"/>
      <c r="UV634"/>
      <c r="UW634"/>
      <c r="UX634"/>
      <c r="UY634"/>
      <c r="UZ634"/>
      <c r="VA634"/>
      <c r="VB634"/>
      <c r="VC634"/>
      <c r="VD634"/>
      <c r="VE634"/>
      <c r="VF634"/>
      <c r="VG634"/>
      <c r="VH634"/>
      <c r="VI634"/>
      <c r="VJ634"/>
      <c r="VK634"/>
      <c r="VL634"/>
      <c r="VM634"/>
      <c r="VN634"/>
      <c r="VO634"/>
      <c r="VP634"/>
      <c r="VQ634"/>
      <c r="VR634"/>
      <c r="VS634"/>
      <c r="VT634"/>
      <c r="VU634"/>
      <c r="VV634"/>
      <c r="VW634"/>
      <c r="VX634"/>
      <c r="VY634"/>
      <c r="VZ634"/>
      <c r="WA634"/>
      <c r="WB634"/>
      <c r="WC634"/>
      <c r="WD634"/>
      <c r="WE634"/>
      <c r="WF634"/>
      <c r="WG634"/>
      <c r="WH634"/>
      <c r="WI634"/>
      <c r="WJ634"/>
      <c r="WK634"/>
      <c r="WL634"/>
      <c r="WM634"/>
      <c r="WN634"/>
      <c r="WO634"/>
      <c r="WP634"/>
      <c r="WQ634"/>
      <c r="WR634"/>
      <c r="WS634"/>
      <c r="WT634"/>
      <c r="WU634"/>
      <c r="WV634"/>
      <c r="WW634"/>
      <c r="WX634"/>
      <c r="WY634"/>
      <c r="WZ634"/>
      <c r="XA634"/>
      <c r="XB634"/>
      <c r="XC634"/>
      <c r="XD634"/>
      <c r="XE634"/>
      <c r="XF634"/>
      <c r="XG634"/>
      <c r="XH634"/>
      <c r="XI634"/>
      <c r="XJ634"/>
      <c r="XK634"/>
      <c r="XL634"/>
      <c r="XM634"/>
      <c r="XN634"/>
      <c r="XO634"/>
      <c r="XP634"/>
      <c r="XQ634"/>
      <c r="XR634"/>
      <c r="XS634"/>
      <c r="XT634"/>
      <c r="XU634"/>
      <c r="XV634"/>
      <c r="XW634"/>
      <c r="XX634"/>
      <c r="XY634"/>
      <c r="XZ634"/>
      <c r="YA634"/>
      <c r="YB634"/>
      <c r="YC634"/>
      <c r="YD634"/>
      <c r="YE634"/>
      <c r="YF634"/>
      <c r="YG634"/>
      <c r="YH634"/>
      <c r="YI634"/>
      <c r="YJ634"/>
      <c r="YK634"/>
      <c r="YL634"/>
      <c r="YM634"/>
      <c r="YN634"/>
      <c r="YO634"/>
      <c r="YP634"/>
      <c r="YQ634"/>
      <c r="YR634"/>
      <c r="YS634"/>
      <c r="YT634"/>
      <c r="YU634"/>
      <c r="YV634"/>
      <c r="YW634"/>
      <c r="YX634"/>
      <c r="YY634"/>
      <c r="YZ634"/>
      <c r="ZA634"/>
      <c r="ZB634"/>
      <c r="ZC634"/>
      <c r="ZD634"/>
      <c r="ZE634"/>
      <c r="ZF634"/>
      <c r="ZG634"/>
      <c r="ZH634"/>
      <c r="ZI634"/>
      <c r="ZJ634"/>
      <c r="ZK634"/>
      <c r="ZL634"/>
      <c r="ZM634"/>
      <c r="ZN634"/>
      <c r="ZO634"/>
      <c r="ZP634"/>
      <c r="ZQ634"/>
      <c r="ZR634"/>
      <c r="ZS634"/>
      <c r="ZT634"/>
      <c r="ZU634"/>
      <c r="ZV634"/>
      <c r="ZW634"/>
      <c r="ZX634"/>
      <c r="ZY634"/>
      <c r="ZZ634" s="52"/>
      <c r="AAA634" s="192"/>
      <c r="AAD634" s="90"/>
      <c r="AAE634" s="519">
        <v>1</v>
      </c>
      <c r="AAF634" s="90"/>
      <c r="AAG634" s="73">
        <f>S.EQC.BANNER.Begin</f>
        <v>41572</v>
      </c>
      <c r="AAH634" s="73">
        <f>S.EQC.SubmitStaffRpt</f>
        <v>41676</v>
      </c>
      <c r="AAI634" s="72"/>
      <c r="AAJ634" s="56"/>
      <c r="AAK634" s="56"/>
      <c r="AAL634" s="90"/>
    </row>
    <row r="635" spans="1:715" s="23" customFormat="1" ht="15" customHeight="1" outlineLevel="2">
      <c r="A635" s="171"/>
      <c r="B635" s="779" t="s">
        <v>499</v>
      </c>
      <c r="C635" s="420"/>
      <c r="D635" s="421"/>
      <c r="E635" s="350"/>
      <c r="F635" s="350"/>
      <c r="G635" s="420"/>
      <c r="H635" s="420"/>
      <c r="I635" s="244"/>
      <c r="J635" s="194"/>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49"/>
      <c r="BL635" s="49"/>
      <c r="BM635" s="49"/>
      <c r="BN635" s="49"/>
      <c r="BO635" s="49"/>
      <c r="BP635" s="49"/>
      <c r="BQ635" s="49"/>
      <c r="BR635" s="49"/>
      <c r="BS635" s="49"/>
      <c r="BT635" s="49"/>
      <c r="BU635" s="49"/>
      <c r="BV635" s="49"/>
      <c r="BW635" s="49"/>
      <c r="BX635" s="49"/>
      <c r="BY635" s="49"/>
      <c r="BZ635" s="49"/>
      <c r="CA635" s="49"/>
      <c r="CB635" s="49"/>
      <c r="CC635" s="49"/>
      <c r="CD635" s="49"/>
      <c r="CE635" s="49"/>
      <c r="CF635" s="49"/>
      <c r="CG635" s="49"/>
      <c r="CH635" s="49"/>
      <c r="CI635" s="49"/>
      <c r="CJ635" s="49"/>
      <c r="CK635" s="49"/>
      <c r="CL635" s="49"/>
      <c r="CM635" s="49"/>
      <c r="CN635" s="49"/>
      <c r="CO635" s="49"/>
      <c r="CP635" s="49"/>
      <c r="CQ635" s="49"/>
      <c r="CR635" s="49"/>
      <c r="CS635" s="49"/>
      <c r="CT635" s="49"/>
      <c r="CU635" s="49"/>
      <c r="CV635" s="49"/>
      <c r="CW635" s="49"/>
      <c r="CX635" s="49"/>
      <c r="CY635" s="49"/>
      <c r="CZ635" s="49"/>
      <c r="DA635" s="49"/>
      <c r="DB635" s="49"/>
      <c r="DC635" s="49"/>
      <c r="DD635" s="49"/>
      <c r="DE635" s="49"/>
      <c r="DF635" s="49"/>
      <c r="DG635" s="49"/>
      <c r="DH635" s="49"/>
      <c r="DI635" s="49"/>
      <c r="DJ635" s="49"/>
      <c r="DK635" s="49"/>
      <c r="DL635" s="49"/>
      <c r="DM635" s="49"/>
      <c r="DN635" s="49"/>
      <c r="DO635" s="49"/>
      <c r="DP635" s="49"/>
      <c r="ZZ635" s="52"/>
      <c r="AAA635" s="192"/>
      <c r="AAD635" s="90"/>
      <c r="AAE635" s="519">
        <v>1</v>
      </c>
      <c r="AAF635" s="190" t="s">
        <v>52</v>
      </c>
      <c r="AAG635" s="94"/>
      <c r="AAH635" s="94"/>
      <c r="AAI635" s="72"/>
      <c r="AAJ635" s="185"/>
      <c r="AAK635" s="56"/>
      <c r="AAL635" s="90"/>
    </row>
    <row r="636" spans="1:715" s="23" customFormat="1" ht="15" customHeight="1" outlineLevel="2">
      <c r="A636" s="171"/>
      <c r="B636" s="413" t="str">
        <f>AAK636</f>
        <v>* coordinates work on STAFF.RPT.Permanent sections:</v>
      </c>
      <c r="C636" s="420"/>
      <c r="D636" s="421"/>
      <c r="E636" s="350"/>
      <c r="F636" s="350"/>
      <c r="G636" s="420"/>
      <c r="H636" s="420"/>
      <c r="I636" s="244"/>
      <c r="J636" s="194"/>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c r="BG636" s="49"/>
      <c r="BH636" s="49"/>
      <c r="BI636" s="49"/>
      <c r="BJ636" s="49"/>
      <c r="BK636" s="49"/>
      <c r="BL636" s="49"/>
      <c r="BM636" s="49"/>
      <c r="BN636" s="49"/>
      <c r="BO636" s="49"/>
      <c r="BP636" s="49"/>
      <c r="BQ636" s="49"/>
      <c r="BR636" s="49"/>
      <c r="BS636" s="49"/>
      <c r="BT636" s="49"/>
      <c r="BU636" s="49"/>
      <c r="BV636" s="49"/>
      <c r="BW636" s="49"/>
      <c r="BX636" s="49"/>
      <c r="BY636" s="49"/>
      <c r="BZ636" s="49"/>
      <c r="CA636" s="49"/>
      <c r="CB636" s="49"/>
      <c r="CC636" s="49"/>
      <c r="CD636" s="49"/>
      <c r="CE636" s="49"/>
      <c r="CF636" s="49"/>
      <c r="CG636" s="49"/>
      <c r="CH636" s="49"/>
      <c r="CI636" s="49"/>
      <c r="CJ636" s="49"/>
      <c r="CK636" s="49"/>
      <c r="CL636" s="49"/>
      <c r="CM636" s="49"/>
      <c r="CN636" s="49"/>
      <c r="CO636" s="49"/>
      <c r="CP636" s="49"/>
      <c r="CQ636" s="49"/>
      <c r="CR636" s="49"/>
      <c r="CS636" s="49"/>
      <c r="CT636" s="49"/>
      <c r="CU636" s="49"/>
      <c r="CV636" s="49"/>
      <c r="CW636" s="49"/>
      <c r="CX636" s="49"/>
      <c r="CY636" s="49"/>
      <c r="CZ636" s="49"/>
      <c r="DA636" s="49"/>
      <c r="DB636" s="49"/>
      <c r="DC636" s="49"/>
      <c r="DD636" s="49"/>
      <c r="DE636" s="49"/>
      <c r="DF636" s="49"/>
      <c r="DG636" s="49"/>
      <c r="DH636" s="49"/>
      <c r="DI636" s="49"/>
      <c r="DJ636" s="49"/>
      <c r="DK636" s="49"/>
      <c r="DL636" s="49"/>
      <c r="DM636" s="49"/>
      <c r="DN636" s="49"/>
      <c r="DO636" s="49"/>
      <c r="DP636" s="49"/>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c r="IW636"/>
      <c r="IX636"/>
      <c r="IY636"/>
      <c r="IZ636"/>
      <c r="JA636"/>
      <c r="JB636"/>
      <c r="JC636"/>
      <c r="JD636"/>
      <c r="JE636"/>
      <c r="JF636"/>
      <c r="JG636"/>
      <c r="JH636"/>
      <c r="JI636"/>
      <c r="JJ636"/>
      <c r="JK636"/>
      <c r="JL636"/>
      <c r="JM636"/>
      <c r="JN636"/>
      <c r="JO636"/>
      <c r="JP636"/>
      <c r="JQ636"/>
      <c r="JR636"/>
      <c r="JS636"/>
      <c r="JT636"/>
      <c r="JU636"/>
      <c r="JV636"/>
      <c r="JW636"/>
      <c r="JX636"/>
      <c r="JY636"/>
      <c r="JZ636"/>
      <c r="KA636"/>
      <c r="KB636"/>
      <c r="KC636"/>
      <c r="KD636"/>
      <c r="KE636"/>
      <c r="KF636"/>
      <c r="KG636"/>
      <c r="KH636"/>
      <c r="KI636"/>
      <c r="KJ636"/>
      <c r="KK636"/>
      <c r="KL636"/>
      <c r="KM636"/>
      <c r="KN636"/>
      <c r="KO636"/>
      <c r="KP636"/>
      <c r="KQ636"/>
      <c r="KR636"/>
      <c r="KS636"/>
      <c r="KT636"/>
      <c r="KU636"/>
      <c r="KV636"/>
      <c r="KW636"/>
      <c r="KX636"/>
      <c r="KY636"/>
      <c r="KZ636"/>
      <c r="LA636"/>
      <c r="LB636"/>
      <c r="LC636"/>
      <c r="LD636"/>
      <c r="LE636"/>
      <c r="LF636"/>
      <c r="LG636"/>
      <c r="LH636"/>
      <c r="LI636"/>
      <c r="LJ636"/>
      <c r="LK636"/>
      <c r="LL636"/>
      <c r="LM636"/>
      <c r="LN636"/>
      <c r="LO636"/>
      <c r="LP636"/>
      <c r="LQ636"/>
      <c r="LR636"/>
      <c r="LS636"/>
      <c r="LT636"/>
      <c r="LU636"/>
      <c r="LV636"/>
      <c r="LW636"/>
      <c r="LX636"/>
      <c r="LY636"/>
      <c r="LZ636"/>
      <c r="MA636"/>
      <c r="MB636"/>
      <c r="MC636"/>
      <c r="MD636"/>
      <c r="ME636"/>
      <c r="MF636"/>
      <c r="MG636"/>
      <c r="MH636"/>
      <c r="MI636"/>
      <c r="MJ636"/>
      <c r="MK636"/>
      <c r="ML636"/>
      <c r="MM636"/>
      <c r="MN636"/>
      <c r="MO636"/>
      <c r="MP636"/>
      <c r="MQ636"/>
      <c r="MR636"/>
      <c r="MS636"/>
      <c r="MT636"/>
      <c r="MU636"/>
      <c r="MV636"/>
      <c r="MW636"/>
      <c r="MX636"/>
      <c r="MY636"/>
      <c r="MZ636"/>
      <c r="NA636"/>
      <c r="NB636"/>
      <c r="NC636"/>
      <c r="ND636"/>
      <c r="NE636"/>
      <c r="NF636"/>
      <c r="NG636"/>
      <c r="NH636"/>
      <c r="NI636"/>
      <c r="NJ636"/>
      <c r="NK636"/>
      <c r="NL636"/>
      <c r="NM636"/>
      <c r="NN636"/>
      <c r="NO636"/>
      <c r="NP636"/>
      <c r="NQ636"/>
      <c r="NR636"/>
      <c r="NS636"/>
      <c r="NT636"/>
      <c r="NU636"/>
      <c r="NV636"/>
      <c r="NW636"/>
      <c r="NX636"/>
      <c r="NY636"/>
      <c r="NZ636"/>
      <c r="OA636"/>
      <c r="OB636"/>
      <c r="OC636"/>
      <c r="OD636"/>
      <c r="OE636"/>
      <c r="OF636"/>
      <c r="OG636"/>
      <c r="OH636"/>
      <c r="OI636"/>
      <c r="OJ636"/>
      <c r="OK636"/>
      <c r="OL636"/>
      <c r="OM636"/>
      <c r="ON636"/>
      <c r="OO636"/>
      <c r="OP636"/>
      <c r="OQ636"/>
      <c r="OR636"/>
      <c r="OS636"/>
      <c r="OT636"/>
      <c r="OU636"/>
      <c r="OV636"/>
      <c r="OW636"/>
      <c r="OX636"/>
      <c r="OY636"/>
      <c r="OZ636"/>
      <c r="PA636"/>
      <c r="PB636"/>
      <c r="PC636"/>
      <c r="PD636"/>
      <c r="PE636"/>
      <c r="PF636"/>
      <c r="PG636"/>
      <c r="PH636"/>
      <c r="PI636"/>
      <c r="PJ636"/>
      <c r="PK636"/>
      <c r="PL636"/>
      <c r="PM636"/>
      <c r="PN636"/>
      <c r="PO636"/>
      <c r="PP636"/>
      <c r="PQ636"/>
      <c r="PR636"/>
      <c r="PS636"/>
      <c r="PT636"/>
      <c r="PU636"/>
      <c r="PV636"/>
      <c r="PW636"/>
      <c r="PX636"/>
      <c r="PY636"/>
      <c r="PZ636"/>
      <c r="QA636"/>
      <c r="QB636"/>
      <c r="QC636"/>
      <c r="QD636"/>
      <c r="QE636"/>
      <c r="QF636"/>
      <c r="QG636"/>
      <c r="QH636"/>
      <c r="QI636"/>
      <c r="QJ636"/>
      <c r="QK636"/>
      <c r="QL636"/>
      <c r="QM636"/>
      <c r="QN636"/>
      <c r="QO636"/>
      <c r="QP636"/>
      <c r="QQ636"/>
      <c r="QR636"/>
      <c r="QS636"/>
      <c r="QT636"/>
      <c r="QU636"/>
      <c r="QV636"/>
      <c r="QW636"/>
      <c r="QX636"/>
      <c r="QY636"/>
      <c r="QZ636"/>
      <c r="RA636"/>
      <c r="RB636"/>
      <c r="RC636"/>
      <c r="RD636"/>
      <c r="RE636"/>
      <c r="RF636"/>
      <c r="RG636"/>
      <c r="RH636"/>
      <c r="RI636"/>
      <c r="RJ636"/>
      <c r="RK636"/>
      <c r="RL636"/>
      <c r="RM636"/>
      <c r="RN636"/>
      <c r="RO636"/>
      <c r="RP636"/>
      <c r="RQ636"/>
      <c r="RR636"/>
      <c r="RS636"/>
      <c r="RT636"/>
      <c r="RU636"/>
      <c r="RV636"/>
      <c r="RW636"/>
      <c r="RX636"/>
      <c r="RY636"/>
      <c r="RZ636"/>
      <c r="SA636"/>
      <c r="SB636"/>
      <c r="SC636"/>
      <c r="SD636"/>
      <c r="SE636"/>
      <c r="SF636"/>
      <c r="SG636"/>
      <c r="SH636"/>
      <c r="SI636"/>
      <c r="SJ636"/>
      <c r="SK636"/>
      <c r="SL636"/>
      <c r="SM636"/>
      <c r="SN636"/>
      <c r="SO636"/>
      <c r="SP636"/>
      <c r="SQ636"/>
      <c r="SR636"/>
      <c r="SS636"/>
      <c r="ST636"/>
      <c r="SU636"/>
      <c r="SV636"/>
      <c r="SW636"/>
      <c r="SX636"/>
      <c r="SY636"/>
      <c r="SZ636"/>
      <c r="TA636"/>
      <c r="TB636"/>
      <c r="TC636"/>
      <c r="TD636"/>
      <c r="TE636"/>
      <c r="TF636"/>
      <c r="TG636"/>
      <c r="TH636"/>
      <c r="TI636"/>
      <c r="TJ636"/>
      <c r="TK636"/>
      <c r="TL636"/>
      <c r="TM636"/>
      <c r="TN636"/>
      <c r="TO636"/>
      <c r="TP636"/>
      <c r="TQ636"/>
      <c r="TR636"/>
      <c r="TS636"/>
      <c r="TT636"/>
      <c r="TU636"/>
      <c r="TV636"/>
      <c r="TW636"/>
      <c r="TX636"/>
      <c r="TY636"/>
      <c r="TZ636"/>
      <c r="UA636"/>
      <c r="UB636"/>
      <c r="UC636"/>
      <c r="UD636"/>
      <c r="UE636"/>
      <c r="UF636"/>
      <c r="UG636"/>
      <c r="UH636"/>
      <c r="UI636"/>
      <c r="UJ636"/>
      <c r="UK636"/>
      <c r="UL636"/>
      <c r="UM636"/>
      <c r="UN636"/>
      <c r="UO636"/>
      <c r="UP636"/>
      <c r="UQ636"/>
      <c r="UR636"/>
      <c r="US636"/>
      <c r="UT636"/>
      <c r="UU636"/>
      <c r="UV636"/>
      <c r="UW636"/>
      <c r="UX636"/>
      <c r="UY636"/>
      <c r="UZ636"/>
      <c r="VA636"/>
      <c r="VB636"/>
      <c r="VC636"/>
      <c r="VD636"/>
      <c r="VE636"/>
      <c r="VF636"/>
      <c r="VG636"/>
      <c r="VH636"/>
      <c r="VI636"/>
      <c r="VJ636"/>
      <c r="VK636"/>
      <c r="VL636"/>
      <c r="VM636"/>
      <c r="VN636"/>
      <c r="VO636"/>
      <c r="VP636"/>
      <c r="VQ636"/>
      <c r="VR636"/>
      <c r="VS636"/>
      <c r="VT636"/>
      <c r="VU636"/>
      <c r="VV636"/>
      <c r="VW636"/>
      <c r="VX636"/>
      <c r="VY636"/>
      <c r="VZ636"/>
      <c r="WA636"/>
      <c r="WB636"/>
      <c r="WC636"/>
      <c r="WD636"/>
      <c r="WE636"/>
      <c r="WF636"/>
      <c r="WG636"/>
      <c r="WH636"/>
      <c r="WI636"/>
      <c r="WJ636"/>
      <c r="WK636"/>
      <c r="WL636"/>
      <c r="WM636"/>
      <c r="WN636"/>
      <c r="WO636"/>
      <c r="WP636"/>
      <c r="WQ636"/>
      <c r="WR636"/>
      <c r="WS636"/>
      <c r="WT636"/>
      <c r="WU636"/>
      <c r="WV636"/>
      <c r="WW636"/>
      <c r="WX636"/>
      <c r="WY636"/>
      <c r="WZ636"/>
      <c r="XA636"/>
      <c r="XB636"/>
      <c r="XC636"/>
      <c r="XD636"/>
      <c r="XE636"/>
      <c r="XF636"/>
      <c r="XG636"/>
      <c r="XH636"/>
      <c r="XI636"/>
      <c r="XJ636"/>
      <c r="XK636"/>
      <c r="XL636"/>
      <c r="XM636"/>
      <c r="XN636"/>
      <c r="XO636"/>
      <c r="XP636"/>
      <c r="XQ636"/>
      <c r="XR636"/>
      <c r="XS636"/>
      <c r="XT636"/>
      <c r="XU636"/>
      <c r="XV636"/>
      <c r="XW636"/>
      <c r="XX636"/>
      <c r="XY636"/>
      <c r="XZ636"/>
      <c r="YA636"/>
      <c r="YB636"/>
      <c r="YC636"/>
      <c r="YD636"/>
      <c r="YE636"/>
      <c r="YF636"/>
      <c r="YG636"/>
      <c r="YH636"/>
      <c r="YI636"/>
      <c r="YJ636"/>
      <c r="YK636"/>
      <c r="YL636"/>
      <c r="YM636"/>
      <c r="YN636"/>
      <c r="YO636"/>
      <c r="YP636"/>
      <c r="YQ636"/>
      <c r="YR636"/>
      <c r="YS636"/>
      <c r="YT636"/>
      <c r="YU636"/>
      <c r="YV636"/>
      <c r="YW636"/>
      <c r="YX636"/>
      <c r="YY636"/>
      <c r="YZ636"/>
      <c r="ZA636"/>
      <c r="ZB636"/>
      <c r="ZC636"/>
      <c r="ZD636"/>
      <c r="ZE636"/>
      <c r="ZF636"/>
      <c r="ZG636"/>
      <c r="ZH636"/>
      <c r="ZI636"/>
      <c r="ZJ636"/>
      <c r="ZK636"/>
      <c r="ZL636"/>
      <c r="ZM636"/>
      <c r="ZN636"/>
      <c r="ZO636"/>
      <c r="ZP636"/>
      <c r="ZQ636"/>
      <c r="ZR636"/>
      <c r="ZS636"/>
      <c r="ZT636"/>
      <c r="ZU636"/>
      <c r="ZV636"/>
      <c r="ZW636"/>
      <c r="ZX636"/>
      <c r="ZY636"/>
      <c r="ZZ636" s="52"/>
      <c r="AAA636" s="192"/>
      <c r="AAD636" s="90"/>
      <c r="AAE636" s="519">
        <v>1</v>
      </c>
      <c r="AAF636" s="190" t="s">
        <v>52</v>
      </c>
      <c r="AAG636" s="94"/>
      <c r="AAH636" s="94"/>
      <c r="AAI636" s="72"/>
      <c r="AAJ636" s="185"/>
      <c r="AAK636" s="80" t="str">
        <f>IF(S.General.RuleType="P","* coordinates work on STAFF.RPT.Permanent sections:","* coordinates work on STAFF.RPT.Temporary sections:")</f>
        <v>* coordinates work on STAFF.RPT.Permanent sections:</v>
      </c>
      <c r="AAL636" s="90"/>
    </row>
    <row r="637" spans="1:715" s="23" customFormat="1" ht="15" customHeight="1" outlineLevel="2">
      <c r="A637" s="171"/>
      <c r="B637" s="701" t="s">
        <v>460</v>
      </c>
      <c r="C637" s="376" t="s">
        <v>0</v>
      </c>
      <c r="I637" s="244"/>
      <c r="J637" s="194"/>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9"/>
      <c r="BN637" s="49"/>
      <c r="BO637" s="49"/>
      <c r="BP637" s="49"/>
      <c r="BQ637" s="49"/>
      <c r="BR637" s="49"/>
      <c r="BS637" s="49"/>
      <c r="BT637" s="49"/>
      <c r="BU637" s="49"/>
      <c r="BV637" s="49"/>
      <c r="BW637" s="49"/>
      <c r="BX637" s="49"/>
      <c r="BY637" s="49"/>
      <c r="BZ637" s="49"/>
      <c r="CA637" s="49"/>
      <c r="CB637" s="49"/>
      <c r="CC637" s="49"/>
      <c r="CD637" s="49"/>
      <c r="CE637" s="49"/>
      <c r="CF637" s="49"/>
      <c r="CG637" s="49"/>
      <c r="CH637" s="49"/>
      <c r="CI637" s="49"/>
      <c r="CJ637" s="49"/>
      <c r="CK637" s="49"/>
      <c r="CL637" s="49"/>
      <c r="CM637" s="49"/>
      <c r="CN637" s="49"/>
      <c r="CO637" s="49"/>
      <c r="CP637" s="49"/>
      <c r="CQ637" s="49"/>
      <c r="CR637" s="49"/>
      <c r="CS637" s="49"/>
      <c r="CT637" s="49"/>
      <c r="CU637" s="49"/>
      <c r="CV637" s="49"/>
      <c r="CW637" s="49"/>
      <c r="CX637" s="49"/>
      <c r="CY637" s="49"/>
      <c r="CZ637" s="49"/>
      <c r="DA637" s="49"/>
      <c r="DB637" s="49"/>
      <c r="DC637" s="49"/>
      <c r="DD637" s="49"/>
      <c r="DE637" s="49"/>
      <c r="DF637" s="49"/>
      <c r="DG637" s="49"/>
      <c r="DH637" s="49"/>
      <c r="DI637" s="49"/>
      <c r="DJ637" s="49"/>
      <c r="DK637" s="49"/>
      <c r="DL637" s="49"/>
      <c r="DM637" s="49"/>
      <c r="DN637" s="49"/>
      <c r="DO637" s="49"/>
      <c r="DP637" s="49"/>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c r="IW637"/>
      <c r="IX637"/>
      <c r="IY637"/>
      <c r="IZ637"/>
      <c r="JA637"/>
      <c r="JB637"/>
      <c r="JC637"/>
      <c r="JD637"/>
      <c r="JE637"/>
      <c r="JF637"/>
      <c r="JG637"/>
      <c r="JH637"/>
      <c r="JI637"/>
      <c r="JJ637"/>
      <c r="JK637"/>
      <c r="JL637"/>
      <c r="JM637"/>
      <c r="JN637"/>
      <c r="JO637"/>
      <c r="JP637"/>
      <c r="JQ637"/>
      <c r="JR637"/>
      <c r="JS637"/>
      <c r="JT637"/>
      <c r="JU637"/>
      <c r="JV637"/>
      <c r="JW637"/>
      <c r="JX637"/>
      <c r="JY637"/>
      <c r="JZ637"/>
      <c r="KA637"/>
      <c r="KB637"/>
      <c r="KC637"/>
      <c r="KD637"/>
      <c r="KE637"/>
      <c r="KF637"/>
      <c r="KG637"/>
      <c r="KH637"/>
      <c r="KI637"/>
      <c r="KJ637"/>
      <c r="KK637"/>
      <c r="KL637"/>
      <c r="KM637"/>
      <c r="KN637"/>
      <c r="KO637"/>
      <c r="KP637"/>
      <c r="KQ637"/>
      <c r="KR637"/>
      <c r="KS637"/>
      <c r="KT637"/>
      <c r="KU637"/>
      <c r="KV637"/>
      <c r="KW637"/>
      <c r="KX637"/>
      <c r="KY637"/>
      <c r="KZ637"/>
      <c r="LA637"/>
      <c r="LB637"/>
      <c r="LC637"/>
      <c r="LD637"/>
      <c r="LE637"/>
      <c r="LF637"/>
      <c r="LG637"/>
      <c r="LH637"/>
      <c r="LI637"/>
      <c r="LJ637"/>
      <c r="LK637"/>
      <c r="LL637"/>
      <c r="LM637"/>
      <c r="LN637"/>
      <c r="LO637"/>
      <c r="LP637"/>
      <c r="LQ637"/>
      <c r="LR637"/>
      <c r="LS637"/>
      <c r="LT637"/>
      <c r="LU637"/>
      <c r="LV637"/>
      <c r="LW637"/>
      <c r="LX637"/>
      <c r="LY637"/>
      <c r="LZ637"/>
      <c r="MA637"/>
      <c r="MB637"/>
      <c r="MC637"/>
      <c r="MD637"/>
      <c r="ME637"/>
      <c r="MF637"/>
      <c r="MG637"/>
      <c r="MH637"/>
      <c r="MI637"/>
      <c r="MJ637"/>
      <c r="MK637"/>
      <c r="ML637"/>
      <c r="MM637"/>
      <c r="MN637"/>
      <c r="MO637"/>
      <c r="MP637"/>
      <c r="MQ637"/>
      <c r="MR637"/>
      <c r="MS637"/>
      <c r="MT637"/>
      <c r="MU637"/>
      <c r="MV637"/>
      <c r="MW637"/>
      <c r="MX637"/>
      <c r="MY637"/>
      <c r="MZ637"/>
      <c r="NA637"/>
      <c r="NB637"/>
      <c r="NC637"/>
      <c r="ND637"/>
      <c r="NE637"/>
      <c r="NF637"/>
      <c r="NG637"/>
      <c r="NH637"/>
      <c r="NI637"/>
      <c r="NJ637"/>
      <c r="NK637"/>
      <c r="NL637"/>
      <c r="NM637"/>
      <c r="NN637"/>
      <c r="NO637"/>
      <c r="NP637"/>
      <c r="NQ637"/>
      <c r="NR637"/>
      <c r="NS637"/>
      <c r="NT637"/>
      <c r="NU637"/>
      <c r="NV637"/>
      <c r="NW637"/>
      <c r="NX637"/>
      <c r="NY637"/>
      <c r="NZ637"/>
      <c r="OA637"/>
      <c r="OB637"/>
      <c r="OC637"/>
      <c r="OD637"/>
      <c r="OE637"/>
      <c r="OF637"/>
      <c r="OG637"/>
      <c r="OH637"/>
      <c r="OI637"/>
      <c r="OJ637"/>
      <c r="OK637"/>
      <c r="OL637"/>
      <c r="OM637"/>
      <c r="ON637"/>
      <c r="OO637"/>
      <c r="OP637"/>
      <c r="OQ637"/>
      <c r="OR637"/>
      <c r="OS637"/>
      <c r="OT637"/>
      <c r="OU637"/>
      <c r="OV637"/>
      <c r="OW637"/>
      <c r="OX637"/>
      <c r="OY637"/>
      <c r="OZ637"/>
      <c r="PA637"/>
      <c r="PB637"/>
      <c r="PC637"/>
      <c r="PD637"/>
      <c r="PE637"/>
      <c r="PF637"/>
      <c r="PG637"/>
      <c r="PH637"/>
      <c r="PI637"/>
      <c r="PJ637"/>
      <c r="PK637"/>
      <c r="PL637"/>
      <c r="PM637"/>
      <c r="PN637"/>
      <c r="PO637"/>
      <c r="PP637"/>
      <c r="PQ637"/>
      <c r="PR637"/>
      <c r="PS637"/>
      <c r="PT637"/>
      <c r="PU637"/>
      <c r="PV637"/>
      <c r="PW637"/>
      <c r="PX637"/>
      <c r="PY637"/>
      <c r="PZ637"/>
      <c r="QA637"/>
      <c r="QB637"/>
      <c r="QC637"/>
      <c r="QD637"/>
      <c r="QE637"/>
      <c r="QF637"/>
      <c r="QG637"/>
      <c r="QH637"/>
      <c r="QI637"/>
      <c r="QJ637"/>
      <c r="QK637"/>
      <c r="QL637"/>
      <c r="QM637"/>
      <c r="QN637"/>
      <c r="QO637"/>
      <c r="QP637"/>
      <c r="QQ637"/>
      <c r="QR637"/>
      <c r="QS637"/>
      <c r="QT637"/>
      <c r="QU637"/>
      <c r="QV637"/>
      <c r="QW637"/>
      <c r="QX637"/>
      <c r="QY637"/>
      <c r="QZ637"/>
      <c r="RA637"/>
      <c r="RB637"/>
      <c r="RC637"/>
      <c r="RD637"/>
      <c r="RE637"/>
      <c r="RF637"/>
      <c r="RG637"/>
      <c r="RH637"/>
      <c r="RI637"/>
      <c r="RJ637"/>
      <c r="RK637"/>
      <c r="RL637"/>
      <c r="RM637"/>
      <c r="RN637"/>
      <c r="RO637"/>
      <c r="RP637"/>
      <c r="RQ637"/>
      <c r="RR637"/>
      <c r="RS637"/>
      <c r="RT637"/>
      <c r="RU637"/>
      <c r="RV637"/>
      <c r="RW637"/>
      <c r="RX637"/>
      <c r="RY637"/>
      <c r="RZ637"/>
      <c r="SA637"/>
      <c r="SB637"/>
      <c r="SC637"/>
      <c r="SD637"/>
      <c r="SE637"/>
      <c r="SF637"/>
      <c r="SG637"/>
      <c r="SH637"/>
      <c r="SI637"/>
      <c r="SJ637"/>
      <c r="SK637"/>
      <c r="SL637"/>
      <c r="SM637"/>
      <c r="SN637"/>
      <c r="SO637"/>
      <c r="SP637"/>
      <c r="SQ637"/>
      <c r="SR637"/>
      <c r="SS637"/>
      <c r="ST637"/>
      <c r="SU637"/>
      <c r="SV637"/>
      <c r="SW637"/>
      <c r="SX637"/>
      <c r="SY637"/>
      <c r="SZ637"/>
      <c r="TA637"/>
      <c r="TB637"/>
      <c r="TC637"/>
      <c r="TD637"/>
      <c r="TE637"/>
      <c r="TF637"/>
      <c r="TG637"/>
      <c r="TH637"/>
      <c r="TI637"/>
      <c r="TJ637"/>
      <c r="TK637"/>
      <c r="TL637"/>
      <c r="TM637"/>
      <c r="TN637"/>
      <c r="TO637"/>
      <c r="TP637"/>
      <c r="TQ637"/>
      <c r="TR637"/>
      <c r="TS637"/>
      <c r="TT637"/>
      <c r="TU637"/>
      <c r="TV637"/>
      <c r="TW637"/>
      <c r="TX637"/>
      <c r="TY637"/>
      <c r="TZ637"/>
      <c r="UA637"/>
      <c r="UB637"/>
      <c r="UC637"/>
      <c r="UD637"/>
      <c r="UE637"/>
      <c r="UF637"/>
      <c r="UG637"/>
      <c r="UH637"/>
      <c r="UI637"/>
      <c r="UJ637"/>
      <c r="UK637"/>
      <c r="UL637"/>
      <c r="UM637"/>
      <c r="UN637"/>
      <c r="UO637"/>
      <c r="UP637"/>
      <c r="UQ637"/>
      <c r="UR637"/>
      <c r="US637"/>
      <c r="UT637"/>
      <c r="UU637"/>
      <c r="UV637"/>
      <c r="UW637"/>
      <c r="UX637"/>
      <c r="UY637"/>
      <c r="UZ637"/>
      <c r="VA637"/>
      <c r="VB637"/>
      <c r="VC637"/>
      <c r="VD637"/>
      <c r="VE637"/>
      <c r="VF637"/>
      <c r="VG637"/>
      <c r="VH637"/>
      <c r="VI637"/>
      <c r="VJ637"/>
      <c r="VK637"/>
      <c r="VL637"/>
      <c r="VM637"/>
      <c r="VN637"/>
      <c r="VO637"/>
      <c r="VP637"/>
      <c r="VQ637"/>
      <c r="VR637"/>
      <c r="VS637"/>
      <c r="VT637"/>
      <c r="VU637"/>
      <c r="VV637"/>
      <c r="VW637"/>
      <c r="VX637"/>
      <c r="VY637"/>
      <c r="VZ637"/>
      <c r="WA637"/>
      <c r="WB637"/>
      <c r="WC637"/>
      <c r="WD637"/>
      <c r="WE637"/>
      <c r="WF637"/>
      <c r="WG637"/>
      <c r="WH637"/>
      <c r="WI637"/>
      <c r="WJ637"/>
      <c r="WK637"/>
      <c r="WL637"/>
      <c r="WM637"/>
      <c r="WN637"/>
      <c r="WO637"/>
      <c r="WP637"/>
      <c r="WQ637"/>
      <c r="WR637"/>
      <c r="WS637"/>
      <c r="WT637"/>
      <c r="WU637"/>
      <c r="WV637"/>
      <c r="WW637"/>
      <c r="WX637"/>
      <c r="WY637"/>
      <c r="WZ637"/>
      <c r="XA637"/>
      <c r="XB637"/>
      <c r="XC637"/>
      <c r="XD637"/>
      <c r="XE637"/>
      <c r="XF637"/>
      <c r="XG637"/>
      <c r="XH637"/>
      <c r="XI637"/>
      <c r="XJ637"/>
      <c r="XK637"/>
      <c r="XL637"/>
      <c r="XM637"/>
      <c r="XN637"/>
      <c r="XO637"/>
      <c r="XP637"/>
      <c r="XQ637"/>
      <c r="XR637"/>
      <c r="XS637"/>
      <c r="XT637"/>
      <c r="XU637"/>
      <c r="XV637"/>
      <c r="XW637"/>
      <c r="XX637"/>
      <c r="XY637"/>
      <c r="XZ637"/>
      <c r="YA637"/>
      <c r="YB637"/>
      <c r="YC637"/>
      <c r="YD637"/>
      <c r="YE637"/>
      <c r="YF637"/>
      <c r="YG637"/>
      <c r="YH637"/>
      <c r="YI637"/>
      <c r="YJ637"/>
      <c r="YK637"/>
      <c r="YL637"/>
      <c r="YM637"/>
      <c r="YN637"/>
      <c r="YO637"/>
      <c r="YP637"/>
      <c r="YQ637"/>
      <c r="YR637"/>
      <c r="YS637"/>
      <c r="YT637"/>
      <c r="YU637"/>
      <c r="YV637"/>
      <c r="YW637"/>
      <c r="YX637"/>
      <c r="YY637"/>
      <c r="YZ637"/>
      <c r="ZA637"/>
      <c r="ZB637"/>
      <c r="ZC637"/>
      <c r="ZD637"/>
      <c r="ZE637"/>
      <c r="ZF637"/>
      <c r="ZG637"/>
      <c r="ZH637"/>
      <c r="ZI637"/>
      <c r="ZJ637"/>
      <c r="ZK637"/>
      <c r="ZL637"/>
      <c r="ZM637"/>
      <c r="ZN637"/>
      <c r="ZO637"/>
      <c r="ZP637"/>
      <c r="ZQ637"/>
      <c r="ZR637"/>
      <c r="ZS637"/>
      <c r="ZT637"/>
      <c r="ZU637"/>
      <c r="ZV637"/>
      <c r="ZW637"/>
      <c r="ZX637"/>
      <c r="ZY637"/>
      <c r="ZZ637" s="52"/>
      <c r="AAA637" s="192"/>
      <c r="AAD637" s="90"/>
      <c r="AAE637" s="519">
        <v>1</v>
      </c>
      <c r="AAF637" s="190" t="s">
        <v>52</v>
      </c>
      <c r="AAG637" s="72"/>
      <c r="AAH637" s="72"/>
      <c r="AAI637" s="72"/>
      <c r="AAJ637" s="185"/>
      <c r="AAK637" s="56"/>
      <c r="AAL637" s="90"/>
    </row>
    <row r="638" spans="1:715" ht="15" customHeight="1" outlineLevel="2">
      <c r="A638" s="171"/>
      <c r="B638" s="739" t="s">
        <v>457</v>
      </c>
      <c r="C638" s="376" t="s">
        <v>0</v>
      </c>
      <c r="D638" s="422" t="s">
        <v>0</v>
      </c>
      <c r="E638" s="397">
        <f t="shared" ref="E638" si="519">NETWORKDAYS(G638,H638,S.DDL_DEQClosed)</f>
        <v>70</v>
      </c>
      <c r="F638" s="457">
        <f t="shared" ref="F638:F645" ca="1" si="520">IF(YEAR(H638)&gt;2000,NETWORKDAYS(TODAY(),H638,S.DDL_DEQClosed),0)</f>
        <v>69</v>
      </c>
      <c r="G638" s="400">
        <f t="shared" ref="G638:H638" si="521">AAG638</f>
        <v>41572</v>
      </c>
      <c r="H638" s="400">
        <f t="shared" si="521"/>
        <v>41676</v>
      </c>
      <c r="I638" s="244"/>
      <c r="J638" s="194"/>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9"/>
      <c r="CD638" s="49"/>
      <c r="CE638" s="49"/>
      <c r="CF638" s="49"/>
      <c r="CG638" s="49"/>
      <c r="CH638" s="49"/>
      <c r="CI638" s="49"/>
      <c r="CJ638" s="49"/>
      <c r="CK638" s="49"/>
      <c r="CL638" s="49"/>
      <c r="CM638" s="49"/>
      <c r="CN638" s="49"/>
      <c r="CO638" s="49"/>
      <c r="CP638" s="49"/>
      <c r="CQ638" s="49"/>
      <c r="CR638" s="49"/>
      <c r="CS638" s="49"/>
      <c r="CT638" s="49"/>
      <c r="CU638" s="49"/>
      <c r="CV638" s="49"/>
      <c r="CW638" s="49"/>
      <c r="CX638" s="49"/>
      <c r="CY638" s="49"/>
      <c r="CZ638" s="49"/>
      <c r="DA638" s="49"/>
      <c r="DB638" s="49"/>
      <c r="DC638" s="49"/>
      <c r="DD638" s="49"/>
      <c r="DE638" s="49"/>
      <c r="DF638" s="49"/>
      <c r="DG638" s="49"/>
      <c r="DH638" s="49"/>
      <c r="DI638" s="49"/>
      <c r="DJ638" s="49"/>
      <c r="DK638" s="49"/>
      <c r="DL638" s="49"/>
      <c r="DM638" s="49"/>
      <c r="DN638" s="49"/>
      <c r="DO638" s="49"/>
      <c r="DP638" s="49"/>
      <c r="AAA638" s="192"/>
      <c r="AAD638" s="90"/>
      <c r="AAE638" s="519">
        <v>1</v>
      </c>
      <c r="AAF638" s="90"/>
      <c r="AAG638" s="73">
        <f t="shared" ref="AAG638:AAG643" si="522">S.EQC.BANNER.Begin</f>
        <v>41572</v>
      </c>
      <c r="AAH638" s="73">
        <f t="shared" ref="AAH638:AAH645" si="523">S.EQC.SubmitStaffRpt</f>
        <v>41676</v>
      </c>
      <c r="AAI638" s="72"/>
      <c r="AAJ638" s="56"/>
      <c r="AAK638" s="491"/>
      <c r="AAL638" s="90"/>
      <c r="AAM638"/>
    </row>
    <row r="639" spans="1:715" s="23" customFormat="1" ht="15" customHeight="1" outlineLevel="2">
      <c r="A639" s="171" t="s">
        <v>0</v>
      </c>
      <c r="B639" s="739" t="s">
        <v>458</v>
      </c>
      <c r="C639" s="376" t="s">
        <v>0</v>
      </c>
      <c r="D639" s="422" t="s">
        <v>0</v>
      </c>
      <c r="E639" s="397">
        <f t="shared" ref="E639" si="524">NETWORKDAYS(G639,H639,S.DDL_DEQClosed)</f>
        <v>70</v>
      </c>
      <c r="F639" s="457">
        <f t="shared" ca="1" si="520"/>
        <v>69</v>
      </c>
      <c r="G639" s="400">
        <f t="shared" ref="G639" si="525">AAG639</f>
        <v>41572</v>
      </c>
      <c r="H639" s="400">
        <f t="shared" ref="H639" si="526">AAH639</f>
        <v>41676</v>
      </c>
      <c r="I639" s="244"/>
      <c r="J639" s="194"/>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c r="BE639" s="49"/>
      <c r="BF639" s="49"/>
      <c r="BG639" s="49"/>
      <c r="BH639" s="49"/>
      <c r="BI639" s="49"/>
      <c r="BJ639" s="49"/>
      <c r="BK639" s="49"/>
      <c r="BL639" s="49"/>
      <c r="BM639" s="49"/>
      <c r="BN639" s="49"/>
      <c r="BO639" s="49"/>
      <c r="BP639" s="49"/>
      <c r="BQ639" s="49"/>
      <c r="BR639" s="49"/>
      <c r="BS639" s="49"/>
      <c r="BT639" s="49"/>
      <c r="BU639" s="49"/>
      <c r="BV639" s="49"/>
      <c r="BW639" s="49"/>
      <c r="BX639" s="49"/>
      <c r="BY639" s="49"/>
      <c r="BZ639" s="49"/>
      <c r="CA639" s="49"/>
      <c r="CB639" s="49"/>
      <c r="CC639" s="49"/>
      <c r="CD639" s="49"/>
      <c r="CE639" s="49"/>
      <c r="CF639" s="49"/>
      <c r="CG639" s="49"/>
      <c r="CH639" s="49"/>
      <c r="CI639" s="49"/>
      <c r="CJ639" s="49"/>
      <c r="CK639" s="49"/>
      <c r="CL639" s="49"/>
      <c r="CM639" s="49"/>
      <c r="CN639" s="49"/>
      <c r="CO639" s="49"/>
      <c r="CP639" s="49"/>
      <c r="CQ639" s="49"/>
      <c r="CR639" s="49"/>
      <c r="CS639" s="49"/>
      <c r="CT639" s="49"/>
      <c r="CU639" s="49"/>
      <c r="CV639" s="49"/>
      <c r="CW639" s="49"/>
      <c r="CX639" s="49"/>
      <c r="CY639" s="49"/>
      <c r="CZ639" s="49"/>
      <c r="DA639" s="49"/>
      <c r="DB639" s="49"/>
      <c r="DC639" s="49"/>
      <c r="DD639" s="49"/>
      <c r="DE639" s="49"/>
      <c r="DF639" s="49"/>
      <c r="DG639" s="49"/>
      <c r="DH639" s="49"/>
      <c r="DI639" s="49"/>
      <c r="DJ639" s="49"/>
      <c r="DK639" s="49"/>
      <c r="DL639" s="49"/>
      <c r="DM639" s="49"/>
      <c r="DN639" s="49"/>
      <c r="DO639" s="49"/>
      <c r="DP639" s="4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c r="IW639"/>
      <c r="IX639"/>
      <c r="IY639"/>
      <c r="IZ639"/>
      <c r="JA639"/>
      <c r="JB639"/>
      <c r="JC639"/>
      <c r="JD639"/>
      <c r="JE639"/>
      <c r="JF639"/>
      <c r="JG639"/>
      <c r="JH639"/>
      <c r="JI639"/>
      <c r="JJ639"/>
      <c r="JK639"/>
      <c r="JL639"/>
      <c r="JM639"/>
      <c r="JN639"/>
      <c r="JO639"/>
      <c r="JP639"/>
      <c r="JQ639"/>
      <c r="JR639"/>
      <c r="JS639"/>
      <c r="JT639"/>
      <c r="JU639"/>
      <c r="JV639"/>
      <c r="JW639"/>
      <c r="JX639"/>
      <c r="JY639"/>
      <c r="JZ639"/>
      <c r="KA639"/>
      <c r="KB639"/>
      <c r="KC639"/>
      <c r="KD639"/>
      <c r="KE639"/>
      <c r="KF639"/>
      <c r="KG639"/>
      <c r="KH639"/>
      <c r="KI639"/>
      <c r="KJ639"/>
      <c r="KK639"/>
      <c r="KL639"/>
      <c r="KM639"/>
      <c r="KN639"/>
      <c r="KO639"/>
      <c r="KP639"/>
      <c r="KQ639"/>
      <c r="KR639"/>
      <c r="KS639"/>
      <c r="KT639"/>
      <c r="KU639"/>
      <c r="KV639"/>
      <c r="KW639"/>
      <c r="KX639"/>
      <c r="KY639"/>
      <c r="KZ639"/>
      <c r="LA639"/>
      <c r="LB639"/>
      <c r="LC639"/>
      <c r="LD639"/>
      <c r="LE639"/>
      <c r="LF639"/>
      <c r="LG639"/>
      <c r="LH639"/>
      <c r="LI639"/>
      <c r="LJ639"/>
      <c r="LK639"/>
      <c r="LL639"/>
      <c r="LM639"/>
      <c r="LN639"/>
      <c r="LO639"/>
      <c r="LP639"/>
      <c r="LQ639"/>
      <c r="LR639"/>
      <c r="LS639"/>
      <c r="LT639"/>
      <c r="LU639"/>
      <c r="LV639"/>
      <c r="LW639"/>
      <c r="LX639"/>
      <c r="LY639"/>
      <c r="LZ639"/>
      <c r="MA639"/>
      <c r="MB639"/>
      <c r="MC639"/>
      <c r="MD639"/>
      <c r="ME639"/>
      <c r="MF639"/>
      <c r="MG639"/>
      <c r="MH639"/>
      <c r="MI639"/>
      <c r="MJ639"/>
      <c r="MK639"/>
      <c r="ML639"/>
      <c r="MM639"/>
      <c r="MN639"/>
      <c r="MO639"/>
      <c r="MP639"/>
      <c r="MQ639"/>
      <c r="MR639"/>
      <c r="MS639"/>
      <c r="MT639"/>
      <c r="MU639"/>
      <c r="MV639"/>
      <c r="MW639"/>
      <c r="MX639"/>
      <c r="MY639"/>
      <c r="MZ639"/>
      <c r="NA639"/>
      <c r="NB639"/>
      <c r="NC639"/>
      <c r="ND639"/>
      <c r="NE639"/>
      <c r="NF639"/>
      <c r="NG639"/>
      <c r="NH639"/>
      <c r="NI639"/>
      <c r="NJ639"/>
      <c r="NK639"/>
      <c r="NL639"/>
      <c r="NM639"/>
      <c r="NN639"/>
      <c r="NO639"/>
      <c r="NP639"/>
      <c r="NQ639"/>
      <c r="NR639"/>
      <c r="NS639"/>
      <c r="NT639"/>
      <c r="NU639"/>
      <c r="NV639"/>
      <c r="NW639"/>
      <c r="NX639"/>
      <c r="NY639"/>
      <c r="NZ639"/>
      <c r="OA639"/>
      <c r="OB639"/>
      <c r="OC639"/>
      <c r="OD639"/>
      <c r="OE639"/>
      <c r="OF639"/>
      <c r="OG639"/>
      <c r="OH639"/>
      <c r="OI639"/>
      <c r="OJ639"/>
      <c r="OK639"/>
      <c r="OL639"/>
      <c r="OM639"/>
      <c r="ON639"/>
      <c r="OO639"/>
      <c r="OP639"/>
      <c r="OQ639"/>
      <c r="OR639"/>
      <c r="OS639"/>
      <c r="OT639"/>
      <c r="OU639"/>
      <c r="OV639"/>
      <c r="OW639"/>
      <c r="OX639"/>
      <c r="OY639"/>
      <c r="OZ639"/>
      <c r="PA639"/>
      <c r="PB639"/>
      <c r="PC639"/>
      <c r="PD639"/>
      <c r="PE639"/>
      <c r="PF639"/>
      <c r="PG639"/>
      <c r="PH639"/>
      <c r="PI639"/>
      <c r="PJ639"/>
      <c r="PK639"/>
      <c r="PL639"/>
      <c r="PM639"/>
      <c r="PN639"/>
      <c r="PO639"/>
      <c r="PP639"/>
      <c r="PQ639"/>
      <c r="PR639"/>
      <c r="PS639"/>
      <c r="PT639"/>
      <c r="PU639"/>
      <c r="PV639"/>
      <c r="PW639"/>
      <c r="PX639"/>
      <c r="PY639"/>
      <c r="PZ639"/>
      <c r="QA639"/>
      <c r="QB639"/>
      <c r="QC639"/>
      <c r="QD639"/>
      <c r="QE639"/>
      <c r="QF639"/>
      <c r="QG639"/>
      <c r="QH639"/>
      <c r="QI639"/>
      <c r="QJ639"/>
      <c r="QK639"/>
      <c r="QL639"/>
      <c r="QM639"/>
      <c r="QN639"/>
      <c r="QO639"/>
      <c r="QP639"/>
      <c r="QQ639"/>
      <c r="QR639"/>
      <c r="QS639"/>
      <c r="QT639"/>
      <c r="QU639"/>
      <c r="QV639"/>
      <c r="QW639"/>
      <c r="QX639"/>
      <c r="QY639"/>
      <c r="QZ639"/>
      <c r="RA639"/>
      <c r="RB639"/>
      <c r="RC639"/>
      <c r="RD639"/>
      <c r="RE639"/>
      <c r="RF639"/>
      <c r="RG639"/>
      <c r="RH639"/>
      <c r="RI639"/>
      <c r="RJ639"/>
      <c r="RK639"/>
      <c r="RL639"/>
      <c r="RM639"/>
      <c r="RN639"/>
      <c r="RO639"/>
      <c r="RP639"/>
      <c r="RQ639"/>
      <c r="RR639"/>
      <c r="RS639"/>
      <c r="RT639"/>
      <c r="RU639"/>
      <c r="RV639"/>
      <c r="RW639"/>
      <c r="RX639"/>
      <c r="RY639"/>
      <c r="RZ639"/>
      <c r="SA639"/>
      <c r="SB639"/>
      <c r="SC639"/>
      <c r="SD639"/>
      <c r="SE639"/>
      <c r="SF639"/>
      <c r="SG639"/>
      <c r="SH639"/>
      <c r="SI639"/>
      <c r="SJ639"/>
      <c r="SK639"/>
      <c r="SL639"/>
      <c r="SM639"/>
      <c r="SN639"/>
      <c r="SO639"/>
      <c r="SP639"/>
      <c r="SQ639"/>
      <c r="SR639"/>
      <c r="SS639"/>
      <c r="ST639"/>
      <c r="SU639"/>
      <c r="SV639"/>
      <c r="SW639"/>
      <c r="SX639"/>
      <c r="SY639"/>
      <c r="SZ639"/>
      <c r="TA639"/>
      <c r="TB639"/>
      <c r="TC639"/>
      <c r="TD639"/>
      <c r="TE639"/>
      <c r="TF639"/>
      <c r="TG639"/>
      <c r="TH639"/>
      <c r="TI639"/>
      <c r="TJ639"/>
      <c r="TK639"/>
      <c r="TL639"/>
      <c r="TM639"/>
      <c r="TN639"/>
      <c r="TO639"/>
      <c r="TP639"/>
      <c r="TQ639"/>
      <c r="TR639"/>
      <c r="TS639"/>
      <c r="TT639"/>
      <c r="TU639"/>
      <c r="TV639"/>
      <c r="TW639"/>
      <c r="TX639"/>
      <c r="TY639"/>
      <c r="TZ639"/>
      <c r="UA639"/>
      <c r="UB639"/>
      <c r="UC639"/>
      <c r="UD639"/>
      <c r="UE639"/>
      <c r="UF639"/>
      <c r="UG639"/>
      <c r="UH639"/>
      <c r="UI639"/>
      <c r="UJ639"/>
      <c r="UK639"/>
      <c r="UL639"/>
      <c r="UM639"/>
      <c r="UN639"/>
      <c r="UO639"/>
      <c r="UP639"/>
      <c r="UQ639"/>
      <c r="UR639"/>
      <c r="US639"/>
      <c r="UT639"/>
      <c r="UU639"/>
      <c r="UV639"/>
      <c r="UW639"/>
      <c r="UX639"/>
      <c r="UY639"/>
      <c r="UZ639"/>
      <c r="VA639"/>
      <c r="VB639"/>
      <c r="VC639"/>
      <c r="VD639"/>
      <c r="VE639"/>
      <c r="VF639"/>
      <c r="VG639"/>
      <c r="VH639"/>
      <c r="VI639"/>
      <c r="VJ639"/>
      <c r="VK639"/>
      <c r="VL639"/>
      <c r="VM639"/>
      <c r="VN639"/>
      <c r="VO639"/>
      <c r="VP639"/>
      <c r="VQ639"/>
      <c r="VR639"/>
      <c r="VS639"/>
      <c r="VT639"/>
      <c r="VU639"/>
      <c r="VV639"/>
      <c r="VW639"/>
      <c r="VX639"/>
      <c r="VY639"/>
      <c r="VZ639"/>
      <c r="WA639"/>
      <c r="WB639"/>
      <c r="WC639"/>
      <c r="WD639"/>
      <c r="WE639"/>
      <c r="WF639"/>
      <c r="WG639"/>
      <c r="WH639"/>
      <c r="WI639"/>
      <c r="WJ639"/>
      <c r="WK639"/>
      <c r="WL639"/>
      <c r="WM639"/>
      <c r="WN639"/>
      <c r="WO639"/>
      <c r="WP639"/>
      <c r="WQ639"/>
      <c r="WR639"/>
      <c r="WS639"/>
      <c r="WT639"/>
      <c r="WU639"/>
      <c r="WV639"/>
      <c r="WW639"/>
      <c r="WX639"/>
      <c r="WY639"/>
      <c r="WZ639"/>
      <c r="XA639"/>
      <c r="XB639"/>
      <c r="XC639"/>
      <c r="XD639"/>
      <c r="XE639"/>
      <c r="XF639"/>
      <c r="XG639"/>
      <c r="XH639"/>
      <c r="XI639"/>
      <c r="XJ639"/>
      <c r="XK639"/>
      <c r="XL639"/>
      <c r="XM639"/>
      <c r="XN639"/>
      <c r="XO639"/>
      <c r="XP639"/>
      <c r="XQ639"/>
      <c r="XR639"/>
      <c r="XS639"/>
      <c r="XT639"/>
      <c r="XU639"/>
      <c r="XV639"/>
      <c r="XW639"/>
      <c r="XX639"/>
      <c r="XY639"/>
      <c r="XZ639"/>
      <c r="YA639"/>
      <c r="YB639"/>
      <c r="YC639"/>
      <c r="YD639"/>
      <c r="YE639"/>
      <c r="YF639"/>
      <c r="YG639"/>
      <c r="YH639"/>
      <c r="YI639"/>
      <c r="YJ639"/>
      <c r="YK639"/>
      <c r="YL639"/>
      <c r="YM639"/>
      <c r="YN639"/>
      <c r="YO639"/>
      <c r="YP639"/>
      <c r="YQ639"/>
      <c r="YR639"/>
      <c r="YS639"/>
      <c r="YT639"/>
      <c r="YU639"/>
      <c r="YV639"/>
      <c r="YW639"/>
      <c r="YX639"/>
      <c r="YY639"/>
      <c r="YZ639"/>
      <c r="ZA639"/>
      <c r="ZB639"/>
      <c r="ZC639"/>
      <c r="ZD639"/>
      <c r="ZE639"/>
      <c r="ZF639"/>
      <c r="ZG639"/>
      <c r="ZH639"/>
      <c r="ZI639"/>
      <c r="ZJ639"/>
      <c r="ZK639"/>
      <c r="ZL639"/>
      <c r="ZM639"/>
      <c r="ZN639"/>
      <c r="ZO639"/>
      <c r="ZP639"/>
      <c r="ZQ639"/>
      <c r="ZR639"/>
      <c r="ZS639"/>
      <c r="ZT639"/>
      <c r="ZU639"/>
      <c r="ZV639"/>
      <c r="ZW639"/>
      <c r="ZX639"/>
      <c r="ZY639"/>
      <c r="ZZ639" s="52"/>
      <c r="AAA639" s="192"/>
      <c r="AAD639" s="90"/>
      <c r="AAE639" s="519">
        <v>1</v>
      </c>
      <c r="AAF639" s="90"/>
      <c r="AAG639" s="73">
        <f t="shared" si="522"/>
        <v>41572</v>
      </c>
      <c r="AAH639" s="73">
        <f t="shared" si="523"/>
        <v>41676</v>
      </c>
      <c r="AAI639" s="72"/>
      <c r="AAJ639" s="56"/>
      <c r="AAK639" s="491"/>
      <c r="AAL639" s="90"/>
    </row>
    <row r="640" spans="1:715" s="23" customFormat="1" ht="15" customHeight="1" outlineLevel="2">
      <c r="A640" s="171" t="s">
        <v>0</v>
      </c>
      <c r="B640" s="739" t="s">
        <v>459</v>
      </c>
      <c r="C640" s="376" t="s">
        <v>0</v>
      </c>
      <c r="D640" s="422" t="s">
        <v>0</v>
      </c>
      <c r="E640" s="397">
        <f t="shared" ref="E640" si="527">NETWORKDAYS(G640,H640,S.DDL_DEQClosed)</f>
        <v>70</v>
      </c>
      <c r="F640" s="457">
        <f t="shared" ca="1" si="520"/>
        <v>69</v>
      </c>
      <c r="G640" s="400">
        <f t="shared" ref="G640" si="528">AAG640</f>
        <v>41572</v>
      </c>
      <c r="H640" s="400">
        <f t="shared" ref="H640" si="529">AAH640</f>
        <v>41676</v>
      </c>
      <c r="I640" s="244"/>
      <c r="J640" s="194"/>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c r="BE640" s="49"/>
      <c r="BF640" s="49"/>
      <c r="BG640" s="49"/>
      <c r="BH640" s="49"/>
      <c r="BI640" s="49"/>
      <c r="BJ640" s="49"/>
      <c r="BK640" s="49"/>
      <c r="BL640" s="49"/>
      <c r="BM640" s="49"/>
      <c r="BN640" s="49"/>
      <c r="BO640" s="49"/>
      <c r="BP640" s="49"/>
      <c r="BQ640" s="49"/>
      <c r="BR640" s="49"/>
      <c r="BS640" s="49"/>
      <c r="BT640" s="49"/>
      <c r="BU640" s="49"/>
      <c r="BV640" s="49"/>
      <c r="BW640" s="49"/>
      <c r="BX640" s="49"/>
      <c r="BY640" s="49"/>
      <c r="BZ640" s="49"/>
      <c r="CA640" s="49"/>
      <c r="CB640" s="49"/>
      <c r="CC640" s="49"/>
      <c r="CD640" s="49"/>
      <c r="CE640" s="49"/>
      <c r="CF640" s="49"/>
      <c r="CG640" s="49"/>
      <c r="CH640" s="49"/>
      <c r="CI640" s="49"/>
      <c r="CJ640" s="49"/>
      <c r="CK640" s="49"/>
      <c r="CL640" s="49"/>
      <c r="CM640" s="49"/>
      <c r="CN640" s="49"/>
      <c r="CO640" s="49"/>
      <c r="CP640" s="49"/>
      <c r="CQ640" s="49"/>
      <c r="CR640" s="49"/>
      <c r="CS640" s="49"/>
      <c r="CT640" s="49"/>
      <c r="CU640" s="49"/>
      <c r="CV640" s="49"/>
      <c r="CW640" s="49"/>
      <c r="CX640" s="49"/>
      <c r="CY640" s="49"/>
      <c r="CZ640" s="49"/>
      <c r="DA640" s="49"/>
      <c r="DB640" s="49"/>
      <c r="DC640" s="49"/>
      <c r="DD640" s="49"/>
      <c r="DE640" s="49"/>
      <c r="DF640" s="49"/>
      <c r="DG640" s="49"/>
      <c r="DH640" s="49"/>
      <c r="DI640" s="49"/>
      <c r="DJ640" s="49"/>
      <c r="DK640" s="49"/>
      <c r="DL640" s="49"/>
      <c r="DM640" s="49"/>
      <c r="DN640" s="49"/>
      <c r="DO640" s="49"/>
      <c r="DP640" s="49"/>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c r="IW640"/>
      <c r="IX640"/>
      <c r="IY640"/>
      <c r="IZ640"/>
      <c r="JA640"/>
      <c r="JB640"/>
      <c r="JC640"/>
      <c r="JD640"/>
      <c r="JE640"/>
      <c r="JF640"/>
      <c r="JG640"/>
      <c r="JH640"/>
      <c r="JI640"/>
      <c r="JJ640"/>
      <c r="JK640"/>
      <c r="JL640"/>
      <c r="JM640"/>
      <c r="JN640"/>
      <c r="JO640"/>
      <c r="JP640"/>
      <c r="JQ640"/>
      <c r="JR640"/>
      <c r="JS640"/>
      <c r="JT640"/>
      <c r="JU640"/>
      <c r="JV640"/>
      <c r="JW640"/>
      <c r="JX640"/>
      <c r="JY640"/>
      <c r="JZ640"/>
      <c r="KA640"/>
      <c r="KB640"/>
      <c r="KC640"/>
      <c r="KD640"/>
      <c r="KE640"/>
      <c r="KF640"/>
      <c r="KG640"/>
      <c r="KH640"/>
      <c r="KI640"/>
      <c r="KJ640"/>
      <c r="KK640"/>
      <c r="KL640"/>
      <c r="KM640"/>
      <c r="KN640"/>
      <c r="KO640"/>
      <c r="KP640"/>
      <c r="KQ640"/>
      <c r="KR640"/>
      <c r="KS640"/>
      <c r="KT640"/>
      <c r="KU640"/>
      <c r="KV640"/>
      <c r="KW640"/>
      <c r="KX640"/>
      <c r="KY640"/>
      <c r="KZ640"/>
      <c r="LA640"/>
      <c r="LB640"/>
      <c r="LC640"/>
      <c r="LD640"/>
      <c r="LE640"/>
      <c r="LF640"/>
      <c r="LG640"/>
      <c r="LH640"/>
      <c r="LI640"/>
      <c r="LJ640"/>
      <c r="LK640"/>
      <c r="LL640"/>
      <c r="LM640"/>
      <c r="LN640"/>
      <c r="LO640"/>
      <c r="LP640"/>
      <c r="LQ640"/>
      <c r="LR640"/>
      <c r="LS640"/>
      <c r="LT640"/>
      <c r="LU640"/>
      <c r="LV640"/>
      <c r="LW640"/>
      <c r="LX640"/>
      <c r="LY640"/>
      <c r="LZ640"/>
      <c r="MA640"/>
      <c r="MB640"/>
      <c r="MC640"/>
      <c r="MD640"/>
      <c r="ME640"/>
      <c r="MF640"/>
      <c r="MG640"/>
      <c r="MH640"/>
      <c r="MI640"/>
      <c r="MJ640"/>
      <c r="MK640"/>
      <c r="ML640"/>
      <c r="MM640"/>
      <c r="MN640"/>
      <c r="MO640"/>
      <c r="MP640"/>
      <c r="MQ640"/>
      <c r="MR640"/>
      <c r="MS640"/>
      <c r="MT640"/>
      <c r="MU640"/>
      <c r="MV640"/>
      <c r="MW640"/>
      <c r="MX640"/>
      <c r="MY640"/>
      <c r="MZ640"/>
      <c r="NA640"/>
      <c r="NB640"/>
      <c r="NC640"/>
      <c r="ND640"/>
      <c r="NE640"/>
      <c r="NF640"/>
      <c r="NG640"/>
      <c r="NH640"/>
      <c r="NI640"/>
      <c r="NJ640"/>
      <c r="NK640"/>
      <c r="NL640"/>
      <c r="NM640"/>
      <c r="NN640"/>
      <c r="NO640"/>
      <c r="NP640"/>
      <c r="NQ640"/>
      <c r="NR640"/>
      <c r="NS640"/>
      <c r="NT640"/>
      <c r="NU640"/>
      <c r="NV640"/>
      <c r="NW640"/>
      <c r="NX640"/>
      <c r="NY640"/>
      <c r="NZ640"/>
      <c r="OA640"/>
      <c r="OB640"/>
      <c r="OC640"/>
      <c r="OD640"/>
      <c r="OE640"/>
      <c r="OF640"/>
      <c r="OG640"/>
      <c r="OH640"/>
      <c r="OI640"/>
      <c r="OJ640"/>
      <c r="OK640"/>
      <c r="OL640"/>
      <c r="OM640"/>
      <c r="ON640"/>
      <c r="OO640"/>
      <c r="OP640"/>
      <c r="OQ640"/>
      <c r="OR640"/>
      <c r="OS640"/>
      <c r="OT640"/>
      <c r="OU640"/>
      <c r="OV640"/>
      <c r="OW640"/>
      <c r="OX640"/>
      <c r="OY640"/>
      <c r="OZ640"/>
      <c r="PA640"/>
      <c r="PB640"/>
      <c r="PC640"/>
      <c r="PD640"/>
      <c r="PE640"/>
      <c r="PF640"/>
      <c r="PG640"/>
      <c r="PH640"/>
      <c r="PI640"/>
      <c r="PJ640"/>
      <c r="PK640"/>
      <c r="PL640"/>
      <c r="PM640"/>
      <c r="PN640"/>
      <c r="PO640"/>
      <c r="PP640"/>
      <c r="PQ640"/>
      <c r="PR640"/>
      <c r="PS640"/>
      <c r="PT640"/>
      <c r="PU640"/>
      <c r="PV640"/>
      <c r="PW640"/>
      <c r="PX640"/>
      <c r="PY640"/>
      <c r="PZ640"/>
      <c r="QA640"/>
      <c r="QB640"/>
      <c r="QC640"/>
      <c r="QD640"/>
      <c r="QE640"/>
      <c r="QF640"/>
      <c r="QG640"/>
      <c r="QH640"/>
      <c r="QI640"/>
      <c r="QJ640"/>
      <c r="QK640"/>
      <c r="QL640"/>
      <c r="QM640"/>
      <c r="QN640"/>
      <c r="QO640"/>
      <c r="QP640"/>
      <c r="QQ640"/>
      <c r="QR640"/>
      <c r="QS640"/>
      <c r="QT640"/>
      <c r="QU640"/>
      <c r="QV640"/>
      <c r="QW640"/>
      <c r="QX640"/>
      <c r="QY640"/>
      <c r="QZ640"/>
      <c r="RA640"/>
      <c r="RB640"/>
      <c r="RC640"/>
      <c r="RD640"/>
      <c r="RE640"/>
      <c r="RF640"/>
      <c r="RG640"/>
      <c r="RH640"/>
      <c r="RI640"/>
      <c r="RJ640"/>
      <c r="RK640"/>
      <c r="RL640"/>
      <c r="RM640"/>
      <c r="RN640"/>
      <c r="RO640"/>
      <c r="RP640"/>
      <c r="RQ640"/>
      <c r="RR640"/>
      <c r="RS640"/>
      <c r="RT640"/>
      <c r="RU640"/>
      <c r="RV640"/>
      <c r="RW640"/>
      <c r="RX640"/>
      <c r="RY640"/>
      <c r="RZ640"/>
      <c r="SA640"/>
      <c r="SB640"/>
      <c r="SC640"/>
      <c r="SD640"/>
      <c r="SE640"/>
      <c r="SF640"/>
      <c r="SG640"/>
      <c r="SH640"/>
      <c r="SI640"/>
      <c r="SJ640"/>
      <c r="SK640"/>
      <c r="SL640"/>
      <c r="SM640"/>
      <c r="SN640"/>
      <c r="SO640"/>
      <c r="SP640"/>
      <c r="SQ640"/>
      <c r="SR640"/>
      <c r="SS640"/>
      <c r="ST640"/>
      <c r="SU640"/>
      <c r="SV640"/>
      <c r="SW640"/>
      <c r="SX640"/>
      <c r="SY640"/>
      <c r="SZ640"/>
      <c r="TA640"/>
      <c r="TB640"/>
      <c r="TC640"/>
      <c r="TD640"/>
      <c r="TE640"/>
      <c r="TF640"/>
      <c r="TG640"/>
      <c r="TH640"/>
      <c r="TI640"/>
      <c r="TJ640"/>
      <c r="TK640"/>
      <c r="TL640"/>
      <c r="TM640"/>
      <c r="TN640"/>
      <c r="TO640"/>
      <c r="TP640"/>
      <c r="TQ640"/>
      <c r="TR640"/>
      <c r="TS640"/>
      <c r="TT640"/>
      <c r="TU640"/>
      <c r="TV640"/>
      <c r="TW640"/>
      <c r="TX640"/>
      <c r="TY640"/>
      <c r="TZ640"/>
      <c r="UA640"/>
      <c r="UB640"/>
      <c r="UC640"/>
      <c r="UD640"/>
      <c r="UE640"/>
      <c r="UF640"/>
      <c r="UG640"/>
      <c r="UH640"/>
      <c r="UI640"/>
      <c r="UJ640"/>
      <c r="UK640"/>
      <c r="UL640"/>
      <c r="UM640"/>
      <c r="UN640"/>
      <c r="UO640"/>
      <c r="UP640"/>
      <c r="UQ640"/>
      <c r="UR640"/>
      <c r="US640"/>
      <c r="UT640"/>
      <c r="UU640"/>
      <c r="UV640"/>
      <c r="UW640"/>
      <c r="UX640"/>
      <c r="UY640"/>
      <c r="UZ640"/>
      <c r="VA640"/>
      <c r="VB640"/>
      <c r="VC640"/>
      <c r="VD640"/>
      <c r="VE640"/>
      <c r="VF640"/>
      <c r="VG640"/>
      <c r="VH640"/>
      <c r="VI640"/>
      <c r="VJ640"/>
      <c r="VK640"/>
      <c r="VL640"/>
      <c r="VM640"/>
      <c r="VN640"/>
      <c r="VO640"/>
      <c r="VP640"/>
      <c r="VQ640"/>
      <c r="VR640"/>
      <c r="VS640"/>
      <c r="VT640"/>
      <c r="VU640"/>
      <c r="VV640"/>
      <c r="VW640"/>
      <c r="VX640"/>
      <c r="VY640"/>
      <c r="VZ640"/>
      <c r="WA640"/>
      <c r="WB640"/>
      <c r="WC640"/>
      <c r="WD640"/>
      <c r="WE640"/>
      <c r="WF640"/>
      <c r="WG640"/>
      <c r="WH640"/>
      <c r="WI640"/>
      <c r="WJ640"/>
      <c r="WK640"/>
      <c r="WL640"/>
      <c r="WM640"/>
      <c r="WN640"/>
      <c r="WO640"/>
      <c r="WP640"/>
      <c r="WQ640"/>
      <c r="WR640"/>
      <c r="WS640"/>
      <c r="WT640"/>
      <c r="WU640"/>
      <c r="WV640"/>
      <c r="WW640"/>
      <c r="WX640"/>
      <c r="WY640"/>
      <c r="WZ640"/>
      <c r="XA640"/>
      <c r="XB640"/>
      <c r="XC640"/>
      <c r="XD640"/>
      <c r="XE640"/>
      <c r="XF640"/>
      <c r="XG640"/>
      <c r="XH640"/>
      <c r="XI640"/>
      <c r="XJ640"/>
      <c r="XK640"/>
      <c r="XL640"/>
      <c r="XM640"/>
      <c r="XN640"/>
      <c r="XO640"/>
      <c r="XP640"/>
      <c r="XQ640"/>
      <c r="XR640"/>
      <c r="XS640"/>
      <c r="XT640"/>
      <c r="XU640"/>
      <c r="XV640"/>
      <c r="XW640"/>
      <c r="XX640"/>
      <c r="XY640"/>
      <c r="XZ640"/>
      <c r="YA640"/>
      <c r="YB640"/>
      <c r="YC640"/>
      <c r="YD640"/>
      <c r="YE640"/>
      <c r="YF640"/>
      <c r="YG640"/>
      <c r="YH640"/>
      <c r="YI640"/>
      <c r="YJ640"/>
      <c r="YK640"/>
      <c r="YL640"/>
      <c r="YM640"/>
      <c r="YN640"/>
      <c r="YO640"/>
      <c r="YP640"/>
      <c r="YQ640"/>
      <c r="YR640"/>
      <c r="YS640"/>
      <c r="YT640"/>
      <c r="YU640"/>
      <c r="YV640"/>
      <c r="YW640"/>
      <c r="YX640"/>
      <c r="YY640"/>
      <c r="YZ640"/>
      <c r="ZA640"/>
      <c r="ZB640"/>
      <c r="ZC640"/>
      <c r="ZD640"/>
      <c r="ZE640"/>
      <c r="ZF640"/>
      <c r="ZG640"/>
      <c r="ZH640"/>
      <c r="ZI640"/>
      <c r="ZJ640"/>
      <c r="ZK640"/>
      <c r="ZL640"/>
      <c r="ZM640"/>
      <c r="ZN640"/>
      <c r="ZO640"/>
      <c r="ZP640"/>
      <c r="ZQ640"/>
      <c r="ZR640"/>
      <c r="ZS640"/>
      <c r="ZT640"/>
      <c r="ZU640"/>
      <c r="ZV640"/>
      <c r="ZW640"/>
      <c r="ZX640"/>
      <c r="ZY640"/>
      <c r="ZZ640" s="52"/>
      <c r="AAA640" s="192"/>
      <c r="AAD640" s="90"/>
      <c r="AAE640" s="519">
        <v>1</v>
      </c>
      <c r="AAF640" s="90"/>
      <c r="AAG640" s="73">
        <f t="shared" si="522"/>
        <v>41572</v>
      </c>
      <c r="AAH640" s="73">
        <f t="shared" si="523"/>
        <v>41676</v>
      </c>
      <c r="AAI640" s="72"/>
      <c r="AAJ640" s="56"/>
      <c r="AAK640" s="491"/>
      <c r="AAL640" s="90"/>
    </row>
    <row r="641" spans="1:715" s="23" customFormat="1" ht="15" customHeight="1" outlineLevel="2">
      <c r="A641" s="171" t="s">
        <v>0</v>
      </c>
      <c r="B641" s="624" t="s">
        <v>252</v>
      </c>
      <c r="C641" s="376" t="s">
        <v>0</v>
      </c>
      <c r="D641" s="422" t="s">
        <v>0</v>
      </c>
      <c r="E641" s="397">
        <f t="shared" ref="E641" si="530">NETWORKDAYS(G641,H641,S.DDL_DEQClosed)</f>
        <v>70</v>
      </c>
      <c r="F641" s="457">
        <f t="shared" ca="1" si="520"/>
        <v>69</v>
      </c>
      <c r="G641" s="400">
        <f t="shared" ref="G641" si="531">AAG641</f>
        <v>41572</v>
      </c>
      <c r="H641" s="400">
        <f t="shared" ref="H641" si="532">AAH641</f>
        <v>41676</v>
      </c>
      <c r="I641" s="244"/>
      <c r="J641" s="194"/>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9"/>
      <c r="BN641" s="49"/>
      <c r="BO641" s="49"/>
      <c r="BP641" s="49"/>
      <c r="BQ641" s="49"/>
      <c r="BR641" s="49"/>
      <c r="BS641" s="49"/>
      <c r="BT641" s="49"/>
      <c r="BU641" s="49"/>
      <c r="BV641" s="49"/>
      <c r="BW641" s="49"/>
      <c r="BX641" s="49"/>
      <c r="BY641" s="49"/>
      <c r="BZ641" s="49"/>
      <c r="CA641" s="49"/>
      <c r="CB641" s="49"/>
      <c r="CC641" s="49"/>
      <c r="CD641" s="49"/>
      <c r="CE641" s="49"/>
      <c r="CF641" s="49"/>
      <c r="CG641" s="49"/>
      <c r="CH641" s="49"/>
      <c r="CI641" s="49"/>
      <c r="CJ641" s="49"/>
      <c r="CK641" s="49"/>
      <c r="CL641" s="49"/>
      <c r="CM641" s="49"/>
      <c r="CN641" s="49"/>
      <c r="CO641" s="49"/>
      <c r="CP641" s="49"/>
      <c r="CQ641" s="49"/>
      <c r="CR641" s="49"/>
      <c r="CS641" s="49"/>
      <c r="CT641" s="49"/>
      <c r="CU641" s="49"/>
      <c r="CV641" s="49"/>
      <c r="CW641" s="49"/>
      <c r="CX641" s="49"/>
      <c r="CY641" s="49"/>
      <c r="CZ641" s="49"/>
      <c r="DA641" s="49"/>
      <c r="DB641" s="49"/>
      <c r="DC641" s="49"/>
      <c r="DD641" s="49"/>
      <c r="DE641" s="49"/>
      <c r="DF641" s="49"/>
      <c r="DG641" s="49"/>
      <c r="DH641" s="49"/>
      <c r="DI641" s="49"/>
      <c r="DJ641" s="49"/>
      <c r="DK641" s="49"/>
      <c r="DL641" s="49"/>
      <c r="DM641" s="49"/>
      <c r="DN641" s="49"/>
      <c r="DO641" s="49"/>
      <c r="DP641" s="49"/>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c r="IW641"/>
      <c r="IX641"/>
      <c r="IY641"/>
      <c r="IZ641"/>
      <c r="JA641"/>
      <c r="JB641"/>
      <c r="JC641"/>
      <c r="JD641"/>
      <c r="JE641"/>
      <c r="JF641"/>
      <c r="JG641"/>
      <c r="JH641"/>
      <c r="JI641"/>
      <c r="JJ641"/>
      <c r="JK641"/>
      <c r="JL641"/>
      <c r="JM641"/>
      <c r="JN641"/>
      <c r="JO641"/>
      <c r="JP641"/>
      <c r="JQ641"/>
      <c r="JR641"/>
      <c r="JS641"/>
      <c r="JT641"/>
      <c r="JU641"/>
      <c r="JV641"/>
      <c r="JW641"/>
      <c r="JX641"/>
      <c r="JY641"/>
      <c r="JZ641"/>
      <c r="KA641"/>
      <c r="KB641"/>
      <c r="KC641"/>
      <c r="KD641"/>
      <c r="KE641"/>
      <c r="KF641"/>
      <c r="KG641"/>
      <c r="KH641"/>
      <c r="KI641"/>
      <c r="KJ641"/>
      <c r="KK641"/>
      <c r="KL641"/>
      <c r="KM641"/>
      <c r="KN641"/>
      <c r="KO641"/>
      <c r="KP641"/>
      <c r="KQ641"/>
      <c r="KR641"/>
      <c r="KS641"/>
      <c r="KT641"/>
      <c r="KU641"/>
      <c r="KV641"/>
      <c r="KW641"/>
      <c r="KX641"/>
      <c r="KY641"/>
      <c r="KZ641"/>
      <c r="LA641"/>
      <c r="LB641"/>
      <c r="LC641"/>
      <c r="LD641"/>
      <c r="LE641"/>
      <c r="LF641"/>
      <c r="LG641"/>
      <c r="LH641"/>
      <c r="LI641"/>
      <c r="LJ641"/>
      <c r="LK641"/>
      <c r="LL641"/>
      <c r="LM641"/>
      <c r="LN641"/>
      <c r="LO641"/>
      <c r="LP641"/>
      <c r="LQ641"/>
      <c r="LR641"/>
      <c r="LS641"/>
      <c r="LT641"/>
      <c r="LU641"/>
      <c r="LV641"/>
      <c r="LW641"/>
      <c r="LX641"/>
      <c r="LY641"/>
      <c r="LZ641"/>
      <c r="MA641"/>
      <c r="MB641"/>
      <c r="MC641"/>
      <c r="MD641"/>
      <c r="ME641"/>
      <c r="MF641"/>
      <c r="MG641"/>
      <c r="MH641"/>
      <c r="MI641"/>
      <c r="MJ641"/>
      <c r="MK641"/>
      <c r="ML641"/>
      <c r="MM641"/>
      <c r="MN641"/>
      <c r="MO641"/>
      <c r="MP641"/>
      <c r="MQ641"/>
      <c r="MR641"/>
      <c r="MS641"/>
      <c r="MT641"/>
      <c r="MU641"/>
      <c r="MV641"/>
      <c r="MW641"/>
      <c r="MX641"/>
      <c r="MY641"/>
      <c r="MZ641"/>
      <c r="NA641"/>
      <c r="NB641"/>
      <c r="NC641"/>
      <c r="ND641"/>
      <c r="NE641"/>
      <c r="NF641"/>
      <c r="NG641"/>
      <c r="NH641"/>
      <c r="NI641"/>
      <c r="NJ641"/>
      <c r="NK641"/>
      <c r="NL641"/>
      <c r="NM641"/>
      <c r="NN641"/>
      <c r="NO641"/>
      <c r="NP641"/>
      <c r="NQ641"/>
      <c r="NR641"/>
      <c r="NS641"/>
      <c r="NT641"/>
      <c r="NU641"/>
      <c r="NV641"/>
      <c r="NW641"/>
      <c r="NX641"/>
      <c r="NY641"/>
      <c r="NZ641"/>
      <c r="OA641"/>
      <c r="OB641"/>
      <c r="OC641"/>
      <c r="OD641"/>
      <c r="OE641"/>
      <c r="OF641"/>
      <c r="OG641"/>
      <c r="OH641"/>
      <c r="OI641"/>
      <c r="OJ641"/>
      <c r="OK641"/>
      <c r="OL641"/>
      <c r="OM641"/>
      <c r="ON641"/>
      <c r="OO641"/>
      <c r="OP641"/>
      <c r="OQ641"/>
      <c r="OR641"/>
      <c r="OS641"/>
      <c r="OT641"/>
      <c r="OU641"/>
      <c r="OV641"/>
      <c r="OW641"/>
      <c r="OX641"/>
      <c r="OY641"/>
      <c r="OZ641"/>
      <c r="PA641"/>
      <c r="PB641"/>
      <c r="PC641"/>
      <c r="PD641"/>
      <c r="PE641"/>
      <c r="PF641"/>
      <c r="PG641"/>
      <c r="PH641"/>
      <c r="PI641"/>
      <c r="PJ641"/>
      <c r="PK641"/>
      <c r="PL641"/>
      <c r="PM641"/>
      <c r="PN641"/>
      <c r="PO641"/>
      <c r="PP641"/>
      <c r="PQ641"/>
      <c r="PR641"/>
      <c r="PS641"/>
      <c r="PT641"/>
      <c r="PU641"/>
      <c r="PV641"/>
      <c r="PW641"/>
      <c r="PX641"/>
      <c r="PY641"/>
      <c r="PZ641"/>
      <c r="QA641"/>
      <c r="QB641"/>
      <c r="QC641"/>
      <c r="QD641"/>
      <c r="QE641"/>
      <c r="QF641"/>
      <c r="QG641"/>
      <c r="QH641"/>
      <c r="QI641"/>
      <c r="QJ641"/>
      <c r="QK641"/>
      <c r="QL641"/>
      <c r="QM641"/>
      <c r="QN641"/>
      <c r="QO641"/>
      <c r="QP641"/>
      <c r="QQ641"/>
      <c r="QR641"/>
      <c r="QS641"/>
      <c r="QT641"/>
      <c r="QU641"/>
      <c r="QV641"/>
      <c r="QW641"/>
      <c r="QX641"/>
      <c r="QY641"/>
      <c r="QZ641"/>
      <c r="RA641"/>
      <c r="RB641"/>
      <c r="RC641"/>
      <c r="RD641"/>
      <c r="RE641"/>
      <c r="RF641"/>
      <c r="RG641"/>
      <c r="RH641"/>
      <c r="RI641"/>
      <c r="RJ641"/>
      <c r="RK641"/>
      <c r="RL641"/>
      <c r="RM641"/>
      <c r="RN641"/>
      <c r="RO641"/>
      <c r="RP641"/>
      <c r="RQ641"/>
      <c r="RR641"/>
      <c r="RS641"/>
      <c r="RT641"/>
      <c r="RU641"/>
      <c r="RV641"/>
      <c r="RW641"/>
      <c r="RX641"/>
      <c r="RY641"/>
      <c r="RZ641"/>
      <c r="SA641"/>
      <c r="SB641"/>
      <c r="SC641"/>
      <c r="SD641"/>
      <c r="SE641"/>
      <c r="SF641"/>
      <c r="SG641"/>
      <c r="SH641"/>
      <c r="SI641"/>
      <c r="SJ641"/>
      <c r="SK641"/>
      <c r="SL641"/>
      <c r="SM641"/>
      <c r="SN641"/>
      <c r="SO641"/>
      <c r="SP641"/>
      <c r="SQ641"/>
      <c r="SR641"/>
      <c r="SS641"/>
      <c r="ST641"/>
      <c r="SU641"/>
      <c r="SV641"/>
      <c r="SW641"/>
      <c r="SX641"/>
      <c r="SY641"/>
      <c r="SZ641"/>
      <c r="TA641"/>
      <c r="TB641"/>
      <c r="TC641"/>
      <c r="TD641"/>
      <c r="TE641"/>
      <c r="TF641"/>
      <c r="TG641"/>
      <c r="TH641"/>
      <c r="TI641"/>
      <c r="TJ641"/>
      <c r="TK641"/>
      <c r="TL641"/>
      <c r="TM641"/>
      <c r="TN641"/>
      <c r="TO641"/>
      <c r="TP641"/>
      <c r="TQ641"/>
      <c r="TR641"/>
      <c r="TS641"/>
      <c r="TT641"/>
      <c r="TU641"/>
      <c r="TV641"/>
      <c r="TW641"/>
      <c r="TX641"/>
      <c r="TY641"/>
      <c r="TZ641"/>
      <c r="UA641"/>
      <c r="UB641"/>
      <c r="UC641"/>
      <c r="UD641"/>
      <c r="UE641"/>
      <c r="UF641"/>
      <c r="UG641"/>
      <c r="UH641"/>
      <c r="UI641"/>
      <c r="UJ641"/>
      <c r="UK641"/>
      <c r="UL641"/>
      <c r="UM641"/>
      <c r="UN641"/>
      <c r="UO641"/>
      <c r="UP641"/>
      <c r="UQ641"/>
      <c r="UR641"/>
      <c r="US641"/>
      <c r="UT641"/>
      <c r="UU641"/>
      <c r="UV641"/>
      <c r="UW641"/>
      <c r="UX641"/>
      <c r="UY641"/>
      <c r="UZ641"/>
      <c r="VA641"/>
      <c r="VB641"/>
      <c r="VC641"/>
      <c r="VD641"/>
      <c r="VE641"/>
      <c r="VF641"/>
      <c r="VG641"/>
      <c r="VH641"/>
      <c r="VI641"/>
      <c r="VJ641"/>
      <c r="VK641"/>
      <c r="VL641"/>
      <c r="VM641"/>
      <c r="VN641"/>
      <c r="VO641"/>
      <c r="VP641"/>
      <c r="VQ641"/>
      <c r="VR641"/>
      <c r="VS641"/>
      <c r="VT641"/>
      <c r="VU641"/>
      <c r="VV641"/>
      <c r="VW641"/>
      <c r="VX641"/>
      <c r="VY641"/>
      <c r="VZ641"/>
      <c r="WA641"/>
      <c r="WB641"/>
      <c r="WC641"/>
      <c r="WD641"/>
      <c r="WE641"/>
      <c r="WF641"/>
      <c r="WG641"/>
      <c r="WH641"/>
      <c r="WI641"/>
      <c r="WJ641"/>
      <c r="WK641"/>
      <c r="WL641"/>
      <c r="WM641"/>
      <c r="WN641"/>
      <c r="WO641"/>
      <c r="WP641"/>
      <c r="WQ641"/>
      <c r="WR641"/>
      <c r="WS641"/>
      <c r="WT641"/>
      <c r="WU641"/>
      <c r="WV641"/>
      <c r="WW641"/>
      <c r="WX641"/>
      <c r="WY641"/>
      <c r="WZ641"/>
      <c r="XA641"/>
      <c r="XB641"/>
      <c r="XC641"/>
      <c r="XD641"/>
      <c r="XE641"/>
      <c r="XF641"/>
      <c r="XG641"/>
      <c r="XH641"/>
      <c r="XI641"/>
      <c r="XJ641"/>
      <c r="XK641"/>
      <c r="XL641"/>
      <c r="XM641"/>
      <c r="XN641"/>
      <c r="XO641"/>
      <c r="XP641"/>
      <c r="XQ641"/>
      <c r="XR641"/>
      <c r="XS641"/>
      <c r="XT641"/>
      <c r="XU641"/>
      <c r="XV641"/>
      <c r="XW641"/>
      <c r="XX641"/>
      <c r="XY641"/>
      <c r="XZ641"/>
      <c r="YA641"/>
      <c r="YB641"/>
      <c r="YC641"/>
      <c r="YD641"/>
      <c r="YE641"/>
      <c r="YF641"/>
      <c r="YG641"/>
      <c r="YH641"/>
      <c r="YI641"/>
      <c r="YJ641"/>
      <c r="YK641"/>
      <c r="YL641"/>
      <c r="YM641"/>
      <c r="YN641"/>
      <c r="YO641"/>
      <c r="YP641"/>
      <c r="YQ641"/>
      <c r="YR641"/>
      <c r="YS641"/>
      <c r="YT641"/>
      <c r="YU641"/>
      <c r="YV641"/>
      <c r="YW641"/>
      <c r="YX641"/>
      <c r="YY641"/>
      <c r="YZ641"/>
      <c r="ZA641"/>
      <c r="ZB641"/>
      <c r="ZC641"/>
      <c r="ZD641"/>
      <c r="ZE641"/>
      <c r="ZF641"/>
      <c r="ZG641"/>
      <c r="ZH641"/>
      <c r="ZI641"/>
      <c r="ZJ641"/>
      <c r="ZK641"/>
      <c r="ZL641"/>
      <c r="ZM641"/>
      <c r="ZN641"/>
      <c r="ZO641"/>
      <c r="ZP641"/>
      <c r="ZQ641"/>
      <c r="ZR641"/>
      <c r="ZS641"/>
      <c r="ZT641"/>
      <c r="ZU641"/>
      <c r="ZV641"/>
      <c r="ZW641"/>
      <c r="ZX641"/>
      <c r="ZY641"/>
      <c r="ZZ641" s="52"/>
      <c r="AAA641" s="192"/>
      <c r="AAD641" s="90"/>
      <c r="AAE641" s="519">
        <v>1</v>
      </c>
      <c r="AAF641" s="90"/>
      <c r="AAG641" s="73">
        <f t="shared" si="522"/>
        <v>41572</v>
      </c>
      <c r="AAH641" s="73">
        <f t="shared" si="523"/>
        <v>41676</v>
      </c>
      <c r="AAI641" s="72"/>
      <c r="AAJ641" s="56"/>
      <c r="AAK641" s="491"/>
      <c r="AAL641" s="90"/>
    </row>
    <row r="642" spans="1:715" s="23" customFormat="1" ht="15" customHeight="1" outlineLevel="2">
      <c r="A642" s="171" t="s">
        <v>0</v>
      </c>
      <c r="B642" s="624" t="s">
        <v>253</v>
      </c>
      <c r="C642" s="376" t="s">
        <v>0</v>
      </c>
      <c r="D642" s="422" t="s">
        <v>0</v>
      </c>
      <c r="E642" s="397">
        <f t="shared" ref="E642" si="533">NETWORKDAYS(G642,H642,S.DDL_DEQClosed)</f>
        <v>70</v>
      </c>
      <c r="F642" s="457">
        <f t="shared" ca="1" si="520"/>
        <v>69</v>
      </c>
      <c r="G642" s="400">
        <f t="shared" ref="G642" si="534">AAG642</f>
        <v>41572</v>
      </c>
      <c r="H642" s="400">
        <f t="shared" ref="H642" si="535">AAH642</f>
        <v>41676</v>
      </c>
      <c r="I642" s="244"/>
      <c r="J642" s="194"/>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c r="BE642" s="49"/>
      <c r="BF642" s="49"/>
      <c r="BG642" s="49"/>
      <c r="BH642" s="49"/>
      <c r="BI642" s="49"/>
      <c r="BJ642" s="49"/>
      <c r="BK642" s="49"/>
      <c r="BL642" s="49"/>
      <c r="BM642" s="49"/>
      <c r="BN642" s="49"/>
      <c r="BO642" s="49"/>
      <c r="BP642" s="49"/>
      <c r="BQ642" s="49"/>
      <c r="BR642" s="49"/>
      <c r="BS642" s="49"/>
      <c r="BT642" s="49"/>
      <c r="BU642" s="49"/>
      <c r="BV642" s="49"/>
      <c r="BW642" s="49"/>
      <c r="BX642" s="49"/>
      <c r="BY642" s="49"/>
      <c r="BZ642" s="49"/>
      <c r="CA642" s="49"/>
      <c r="CB642" s="49"/>
      <c r="CC642" s="49"/>
      <c r="CD642" s="49"/>
      <c r="CE642" s="49"/>
      <c r="CF642" s="49"/>
      <c r="CG642" s="49"/>
      <c r="CH642" s="49"/>
      <c r="CI642" s="49"/>
      <c r="CJ642" s="49"/>
      <c r="CK642" s="49"/>
      <c r="CL642" s="49"/>
      <c r="CM642" s="49"/>
      <c r="CN642" s="49"/>
      <c r="CO642" s="49"/>
      <c r="CP642" s="49"/>
      <c r="CQ642" s="49"/>
      <c r="CR642" s="49"/>
      <c r="CS642" s="49"/>
      <c r="CT642" s="49"/>
      <c r="CU642" s="49"/>
      <c r="CV642" s="49"/>
      <c r="CW642" s="49"/>
      <c r="CX642" s="49"/>
      <c r="CY642" s="49"/>
      <c r="CZ642" s="49"/>
      <c r="DA642" s="49"/>
      <c r="DB642" s="49"/>
      <c r="DC642" s="49"/>
      <c r="DD642" s="49"/>
      <c r="DE642" s="49"/>
      <c r="DF642" s="49"/>
      <c r="DG642" s="49"/>
      <c r="DH642" s="49"/>
      <c r="DI642" s="49"/>
      <c r="DJ642" s="49"/>
      <c r="DK642" s="49"/>
      <c r="DL642" s="49"/>
      <c r="DM642" s="49"/>
      <c r="DN642" s="49"/>
      <c r="DO642" s="49"/>
      <c r="DP642" s="49"/>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c r="IW642"/>
      <c r="IX642"/>
      <c r="IY642"/>
      <c r="IZ642"/>
      <c r="JA642"/>
      <c r="JB642"/>
      <c r="JC642"/>
      <c r="JD642"/>
      <c r="JE642"/>
      <c r="JF642"/>
      <c r="JG642"/>
      <c r="JH642"/>
      <c r="JI642"/>
      <c r="JJ642"/>
      <c r="JK642"/>
      <c r="JL642"/>
      <c r="JM642"/>
      <c r="JN642"/>
      <c r="JO642"/>
      <c r="JP642"/>
      <c r="JQ642"/>
      <c r="JR642"/>
      <c r="JS642"/>
      <c r="JT642"/>
      <c r="JU642"/>
      <c r="JV642"/>
      <c r="JW642"/>
      <c r="JX642"/>
      <c r="JY642"/>
      <c r="JZ642"/>
      <c r="KA642"/>
      <c r="KB642"/>
      <c r="KC642"/>
      <c r="KD642"/>
      <c r="KE642"/>
      <c r="KF642"/>
      <c r="KG642"/>
      <c r="KH642"/>
      <c r="KI642"/>
      <c r="KJ642"/>
      <c r="KK642"/>
      <c r="KL642"/>
      <c r="KM642"/>
      <c r="KN642"/>
      <c r="KO642"/>
      <c r="KP642"/>
      <c r="KQ642"/>
      <c r="KR642"/>
      <c r="KS642"/>
      <c r="KT642"/>
      <c r="KU642"/>
      <c r="KV642"/>
      <c r="KW642"/>
      <c r="KX642"/>
      <c r="KY642"/>
      <c r="KZ642"/>
      <c r="LA642"/>
      <c r="LB642"/>
      <c r="LC642"/>
      <c r="LD642"/>
      <c r="LE642"/>
      <c r="LF642"/>
      <c r="LG642"/>
      <c r="LH642"/>
      <c r="LI642"/>
      <c r="LJ642"/>
      <c r="LK642"/>
      <c r="LL642"/>
      <c r="LM642"/>
      <c r="LN642"/>
      <c r="LO642"/>
      <c r="LP642"/>
      <c r="LQ642"/>
      <c r="LR642"/>
      <c r="LS642"/>
      <c r="LT642"/>
      <c r="LU642"/>
      <c r="LV642"/>
      <c r="LW642"/>
      <c r="LX642"/>
      <c r="LY642"/>
      <c r="LZ642"/>
      <c r="MA642"/>
      <c r="MB642"/>
      <c r="MC642"/>
      <c r="MD642"/>
      <c r="ME642"/>
      <c r="MF642"/>
      <c r="MG642"/>
      <c r="MH642"/>
      <c r="MI642"/>
      <c r="MJ642"/>
      <c r="MK642"/>
      <c r="ML642"/>
      <c r="MM642"/>
      <c r="MN642"/>
      <c r="MO642"/>
      <c r="MP642"/>
      <c r="MQ642"/>
      <c r="MR642"/>
      <c r="MS642"/>
      <c r="MT642"/>
      <c r="MU642"/>
      <c r="MV642"/>
      <c r="MW642"/>
      <c r="MX642"/>
      <c r="MY642"/>
      <c r="MZ642"/>
      <c r="NA642"/>
      <c r="NB642"/>
      <c r="NC642"/>
      <c r="ND642"/>
      <c r="NE642"/>
      <c r="NF642"/>
      <c r="NG642"/>
      <c r="NH642"/>
      <c r="NI642"/>
      <c r="NJ642"/>
      <c r="NK642"/>
      <c r="NL642"/>
      <c r="NM642"/>
      <c r="NN642"/>
      <c r="NO642"/>
      <c r="NP642"/>
      <c r="NQ642"/>
      <c r="NR642"/>
      <c r="NS642"/>
      <c r="NT642"/>
      <c r="NU642"/>
      <c r="NV642"/>
      <c r="NW642"/>
      <c r="NX642"/>
      <c r="NY642"/>
      <c r="NZ642"/>
      <c r="OA642"/>
      <c r="OB642"/>
      <c r="OC642"/>
      <c r="OD642"/>
      <c r="OE642"/>
      <c r="OF642"/>
      <c r="OG642"/>
      <c r="OH642"/>
      <c r="OI642"/>
      <c r="OJ642"/>
      <c r="OK642"/>
      <c r="OL642"/>
      <c r="OM642"/>
      <c r="ON642"/>
      <c r="OO642"/>
      <c r="OP642"/>
      <c r="OQ642"/>
      <c r="OR642"/>
      <c r="OS642"/>
      <c r="OT642"/>
      <c r="OU642"/>
      <c r="OV642"/>
      <c r="OW642"/>
      <c r="OX642"/>
      <c r="OY642"/>
      <c r="OZ642"/>
      <c r="PA642"/>
      <c r="PB642"/>
      <c r="PC642"/>
      <c r="PD642"/>
      <c r="PE642"/>
      <c r="PF642"/>
      <c r="PG642"/>
      <c r="PH642"/>
      <c r="PI642"/>
      <c r="PJ642"/>
      <c r="PK642"/>
      <c r="PL642"/>
      <c r="PM642"/>
      <c r="PN642"/>
      <c r="PO642"/>
      <c r="PP642"/>
      <c r="PQ642"/>
      <c r="PR642"/>
      <c r="PS642"/>
      <c r="PT642"/>
      <c r="PU642"/>
      <c r="PV642"/>
      <c r="PW642"/>
      <c r="PX642"/>
      <c r="PY642"/>
      <c r="PZ642"/>
      <c r="QA642"/>
      <c r="QB642"/>
      <c r="QC642"/>
      <c r="QD642"/>
      <c r="QE642"/>
      <c r="QF642"/>
      <c r="QG642"/>
      <c r="QH642"/>
      <c r="QI642"/>
      <c r="QJ642"/>
      <c r="QK642"/>
      <c r="QL642"/>
      <c r="QM642"/>
      <c r="QN642"/>
      <c r="QO642"/>
      <c r="QP642"/>
      <c r="QQ642"/>
      <c r="QR642"/>
      <c r="QS642"/>
      <c r="QT642"/>
      <c r="QU642"/>
      <c r="QV642"/>
      <c r="QW642"/>
      <c r="QX642"/>
      <c r="QY642"/>
      <c r="QZ642"/>
      <c r="RA642"/>
      <c r="RB642"/>
      <c r="RC642"/>
      <c r="RD642"/>
      <c r="RE642"/>
      <c r="RF642"/>
      <c r="RG642"/>
      <c r="RH642"/>
      <c r="RI642"/>
      <c r="RJ642"/>
      <c r="RK642"/>
      <c r="RL642"/>
      <c r="RM642"/>
      <c r="RN642"/>
      <c r="RO642"/>
      <c r="RP642"/>
      <c r="RQ642"/>
      <c r="RR642"/>
      <c r="RS642"/>
      <c r="RT642"/>
      <c r="RU642"/>
      <c r="RV642"/>
      <c r="RW642"/>
      <c r="RX642"/>
      <c r="RY642"/>
      <c r="RZ642"/>
      <c r="SA642"/>
      <c r="SB642"/>
      <c r="SC642"/>
      <c r="SD642"/>
      <c r="SE642"/>
      <c r="SF642"/>
      <c r="SG642"/>
      <c r="SH642"/>
      <c r="SI642"/>
      <c r="SJ642"/>
      <c r="SK642"/>
      <c r="SL642"/>
      <c r="SM642"/>
      <c r="SN642"/>
      <c r="SO642"/>
      <c r="SP642"/>
      <c r="SQ642"/>
      <c r="SR642"/>
      <c r="SS642"/>
      <c r="ST642"/>
      <c r="SU642"/>
      <c r="SV642"/>
      <c r="SW642"/>
      <c r="SX642"/>
      <c r="SY642"/>
      <c r="SZ642"/>
      <c r="TA642"/>
      <c r="TB642"/>
      <c r="TC642"/>
      <c r="TD642"/>
      <c r="TE642"/>
      <c r="TF642"/>
      <c r="TG642"/>
      <c r="TH642"/>
      <c r="TI642"/>
      <c r="TJ642"/>
      <c r="TK642"/>
      <c r="TL642"/>
      <c r="TM642"/>
      <c r="TN642"/>
      <c r="TO642"/>
      <c r="TP642"/>
      <c r="TQ642"/>
      <c r="TR642"/>
      <c r="TS642"/>
      <c r="TT642"/>
      <c r="TU642"/>
      <c r="TV642"/>
      <c r="TW642"/>
      <c r="TX642"/>
      <c r="TY642"/>
      <c r="TZ642"/>
      <c r="UA642"/>
      <c r="UB642"/>
      <c r="UC642"/>
      <c r="UD642"/>
      <c r="UE642"/>
      <c r="UF642"/>
      <c r="UG642"/>
      <c r="UH642"/>
      <c r="UI642"/>
      <c r="UJ642"/>
      <c r="UK642"/>
      <c r="UL642"/>
      <c r="UM642"/>
      <c r="UN642"/>
      <c r="UO642"/>
      <c r="UP642"/>
      <c r="UQ642"/>
      <c r="UR642"/>
      <c r="US642"/>
      <c r="UT642"/>
      <c r="UU642"/>
      <c r="UV642"/>
      <c r="UW642"/>
      <c r="UX642"/>
      <c r="UY642"/>
      <c r="UZ642"/>
      <c r="VA642"/>
      <c r="VB642"/>
      <c r="VC642"/>
      <c r="VD642"/>
      <c r="VE642"/>
      <c r="VF642"/>
      <c r="VG642"/>
      <c r="VH642"/>
      <c r="VI642"/>
      <c r="VJ642"/>
      <c r="VK642"/>
      <c r="VL642"/>
      <c r="VM642"/>
      <c r="VN642"/>
      <c r="VO642"/>
      <c r="VP642"/>
      <c r="VQ642"/>
      <c r="VR642"/>
      <c r="VS642"/>
      <c r="VT642"/>
      <c r="VU642"/>
      <c r="VV642"/>
      <c r="VW642"/>
      <c r="VX642"/>
      <c r="VY642"/>
      <c r="VZ642"/>
      <c r="WA642"/>
      <c r="WB642"/>
      <c r="WC642"/>
      <c r="WD642"/>
      <c r="WE642"/>
      <c r="WF642"/>
      <c r="WG642"/>
      <c r="WH642"/>
      <c r="WI642"/>
      <c r="WJ642"/>
      <c r="WK642"/>
      <c r="WL642"/>
      <c r="WM642"/>
      <c r="WN642"/>
      <c r="WO642"/>
      <c r="WP642"/>
      <c r="WQ642"/>
      <c r="WR642"/>
      <c r="WS642"/>
      <c r="WT642"/>
      <c r="WU642"/>
      <c r="WV642"/>
      <c r="WW642"/>
      <c r="WX642"/>
      <c r="WY642"/>
      <c r="WZ642"/>
      <c r="XA642"/>
      <c r="XB642"/>
      <c r="XC642"/>
      <c r="XD642"/>
      <c r="XE642"/>
      <c r="XF642"/>
      <c r="XG642"/>
      <c r="XH642"/>
      <c r="XI642"/>
      <c r="XJ642"/>
      <c r="XK642"/>
      <c r="XL642"/>
      <c r="XM642"/>
      <c r="XN642"/>
      <c r="XO642"/>
      <c r="XP642"/>
      <c r="XQ642"/>
      <c r="XR642"/>
      <c r="XS642"/>
      <c r="XT642"/>
      <c r="XU642"/>
      <c r="XV642"/>
      <c r="XW642"/>
      <c r="XX642"/>
      <c r="XY642"/>
      <c r="XZ642"/>
      <c r="YA642"/>
      <c r="YB642"/>
      <c r="YC642"/>
      <c r="YD642"/>
      <c r="YE642"/>
      <c r="YF642"/>
      <c r="YG642"/>
      <c r="YH642"/>
      <c r="YI642"/>
      <c r="YJ642"/>
      <c r="YK642"/>
      <c r="YL642"/>
      <c r="YM642"/>
      <c r="YN642"/>
      <c r="YO642"/>
      <c r="YP642"/>
      <c r="YQ642"/>
      <c r="YR642"/>
      <c r="YS642"/>
      <c r="YT642"/>
      <c r="YU642"/>
      <c r="YV642"/>
      <c r="YW642"/>
      <c r="YX642"/>
      <c r="YY642"/>
      <c r="YZ642"/>
      <c r="ZA642"/>
      <c r="ZB642"/>
      <c r="ZC642"/>
      <c r="ZD642"/>
      <c r="ZE642"/>
      <c r="ZF642"/>
      <c r="ZG642"/>
      <c r="ZH642"/>
      <c r="ZI642"/>
      <c r="ZJ642"/>
      <c r="ZK642"/>
      <c r="ZL642"/>
      <c r="ZM642"/>
      <c r="ZN642"/>
      <c r="ZO642"/>
      <c r="ZP642"/>
      <c r="ZQ642"/>
      <c r="ZR642"/>
      <c r="ZS642"/>
      <c r="ZT642"/>
      <c r="ZU642"/>
      <c r="ZV642"/>
      <c r="ZW642"/>
      <c r="ZX642"/>
      <c r="ZY642"/>
      <c r="ZZ642" s="52"/>
      <c r="AAA642" s="192"/>
      <c r="AAD642" s="90"/>
      <c r="AAE642" s="519">
        <v>1</v>
      </c>
      <c r="AAF642" s="90"/>
      <c r="AAG642" s="73">
        <f t="shared" si="522"/>
        <v>41572</v>
      </c>
      <c r="AAH642" s="73">
        <f t="shared" si="523"/>
        <v>41676</v>
      </c>
      <c r="AAI642" s="72"/>
      <c r="AAJ642" s="56"/>
      <c r="AAK642" s="491"/>
      <c r="AAL642" s="90"/>
    </row>
    <row r="643" spans="1:715" s="23" customFormat="1" ht="15" customHeight="1" outlineLevel="2">
      <c r="A643" s="171" t="s">
        <v>0</v>
      </c>
      <c r="B643" s="624" t="s">
        <v>254</v>
      </c>
      <c r="C643" s="376" t="s">
        <v>0</v>
      </c>
      <c r="D643" s="422" t="s">
        <v>0</v>
      </c>
      <c r="E643" s="397">
        <f t="shared" ref="E643" si="536">NETWORKDAYS(G643,H643,S.DDL_DEQClosed)</f>
        <v>70</v>
      </c>
      <c r="F643" s="457">
        <f t="shared" ca="1" si="520"/>
        <v>69</v>
      </c>
      <c r="G643" s="400">
        <f t="shared" ref="G643" si="537">AAG643</f>
        <v>41572</v>
      </c>
      <c r="H643" s="400">
        <f t="shared" ref="H643" si="538">AAH643</f>
        <v>41676</v>
      </c>
      <c r="I643" s="244"/>
      <c r="J643" s="194"/>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c r="BE643" s="49"/>
      <c r="BF643" s="49"/>
      <c r="BG643" s="49"/>
      <c r="BH643" s="49"/>
      <c r="BI643" s="49"/>
      <c r="BJ643" s="49"/>
      <c r="BK643" s="49"/>
      <c r="BL643" s="49"/>
      <c r="BM643" s="49"/>
      <c r="BN643" s="49"/>
      <c r="BO643" s="49"/>
      <c r="BP643" s="49"/>
      <c r="BQ643" s="49"/>
      <c r="BR643" s="49"/>
      <c r="BS643" s="49"/>
      <c r="BT643" s="49"/>
      <c r="BU643" s="49"/>
      <c r="BV643" s="49"/>
      <c r="BW643" s="49"/>
      <c r="BX643" s="49"/>
      <c r="BY643" s="49"/>
      <c r="BZ643" s="49"/>
      <c r="CA643" s="49"/>
      <c r="CB643" s="49"/>
      <c r="CC643" s="49"/>
      <c r="CD643" s="49"/>
      <c r="CE643" s="49"/>
      <c r="CF643" s="49"/>
      <c r="CG643" s="49"/>
      <c r="CH643" s="49"/>
      <c r="CI643" s="49"/>
      <c r="CJ643" s="49"/>
      <c r="CK643" s="49"/>
      <c r="CL643" s="49"/>
      <c r="CM643" s="49"/>
      <c r="CN643" s="49"/>
      <c r="CO643" s="49"/>
      <c r="CP643" s="49"/>
      <c r="CQ643" s="49"/>
      <c r="CR643" s="49"/>
      <c r="CS643" s="49"/>
      <c r="CT643" s="49"/>
      <c r="CU643" s="49"/>
      <c r="CV643" s="49"/>
      <c r="CW643" s="49"/>
      <c r="CX643" s="49"/>
      <c r="CY643" s="49"/>
      <c r="CZ643" s="49"/>
      <c r="DA643" s="49"/>
      <c r="DB643" s="49"/>
      <c r="DC643" s="49"/>
      <c r="DD643" s="49"/>
      <c r="DE643" s="49"/>
      <c r="DF643" s="49"/>
      <c r="DG643" s="49"/>
      <c r="DH643" s="49"/>
      <c r="DI643" s="49"/>
      <c r="DJ643" s="49"/>
      <c r="DK643" s="49"/>
      <c r="DL643" s="49"/>
      <c r="DM643" s="49"/>
      <c r="DN643" s="49"/>
      <c r="DO643" s="49"/>
      <c r="DP643" s="49"/>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c r="IW643"/>
      <c r="IX643"/>
      <c r="IY643"/>
      <c r="IZ643"/>
      <c r="JA643"/>
      <c r="JB643"/>
      <c r="JC643"/>
      <c r="JD643"/>
      <c r="JE643"/>
      <c r="JF643"/>
      <c r="JG643"/>
      <c r="JH643"/>
      <c r="JI643"/>
      <c r="JJ643"/>
      <c r="JK643"/>
      <c r="JL643"/>
      <c r="JM643"/>
      <c r="JN643"/>
      <c r="JO643"/>
      <c r="JP643"/>
      <c r="JQ643"/>
      <c r="JR643"/>
      <c r="JS643"/>
      <c r="JT643"/>
      <c r="JU643"/>
      <c r="JV643"/>
      <c r="JW643"/>
      <c r="JX643"/>
      <c r="JY643"/>
      <c r="JZ643"/>
      <c r="KA643"/>
      <c r="KB643"/>
      <c r="KC643"/>
      <c r="KD643"/>
      <c r="KE643"/>
      <c r="KF643"/>
      <c r="KG643"/>
      <c r="KH643"/>
      <c r="KI643"/>
      <c r="KJ643"/>
      <c r="KK643"/>
      <c r="KL643"/>
      <c r="KM643"/>
      <c r="KN643"/>
      <c r="KO643"/>
      <c r="KP643"/>
      <c r="KQ643"/>
      <c r="KR643"/>
      <c r="KS643"/>
      <c r="KT643"/>
      <c r="KU643"/>
      <c r="KV643"/>
      <c r="KW643"/>
      <c r="KX643"/>
      <c r="KY643"/>
      <c r="KZ643"/>
      <c r="LA643"/>
      <c r="LB643"/>
      <c r="LC643"/>
      <c r="LD643"/>
      <c r="LE643"/>
      <c r="LF643"/>
      <c r="LG643"/>
      <c r="LH643"/>
      <c r="LI643"/>
      <c r="LJ643"/>
      <c r="LK643"/>
      <c r="LL643"/>
      <c r="LM643"/>
      <c r="LN643"/>
      <c r="LO643"/>
      <c r="LP643"/>
      <c r="LQ643"/>
      <c r="LR643"/>
      <c r="LS643"/>
      <c r="LT643"/>
      <c r="LU643"/>
      <c r="LV643"/>
      <c r="LW643"/>
      <c r="LX643"/>
      <c r="LY643"/>
      <c r="LZ643"/>
      <c r="MA643"/>
      <c r="MB643"/>
      <c r="MC643"/>
      <c r="MD643"/>
      <c r="ME643"/>
      <c r="MF643"/>
      <c r="MG643"/>
      <c r="MH643"/>
      <c r="MI643"/>
      <c r="MJ643"/>
      <c r="MK643"/>
      <c r="ML643"/>
      <c r="MM643"/>
      <c r="MN643"/>
      <c r="MO643"/>
      <c r="MP643"/>
      <c r="MQ643"/>
      <c r="MR643"/>
      <c r="MS643"/>
      <c r="MT643"/>
      <c r="MU643"/>
      <c r="MV643"/>
      <c r="MW643"/>
      <c r="MX643"/>
      <c r="MY643"/>
      <c r="MZ643"/>
      <c r="NA643"/>
      <c r="NB643"/>
      <c r="NC643"/>
      <c r="ND643"/>
      <c r="NE643"/>
      <c r="NF643"/>
      <c r="NG643"/>
      <c r="NH643"/>
      <c r="NI643"/>
      <c r="NJ643"/>
      <c r="NK643"/>
      <c r="NL643"/>
      <c r="NM643"/>
      <c r="NN643"/>
      <c r="NO643"/>
      <c r="NP643"/>
      <c r="NQ643"/>
      <c r="NR643"/>
      <c r="NS643"/>
      <c r="NT643"/>
      <c r="NU643"/>
      <c r="NV643"/>
      <c r="NW643"/>
      <c r="NX643"/>
      <c r="NY643"/>
      <c r="NZ643"/>
      <c r="OA643"/>
      <c r="OB643"/>
      <c r="OC643"/>
      <c r="OD643"/>
      <c r="OE643"/>
      <c r="OF643"/>
      <c r="OG643"/>
      <c r="OH643"/>
      <c r="OI643"/>
      <c r="OJ643"/>
      <c r="OK643"/>
      <c r="OL643"/>
      <c r="OM643"/>
      <c r="ON643"/>
      <c r="OO643"/>
      <c r="OP643"/>
      <c r="OQ643"/>
      <c r="OR643"/>
      <c r="OS643"/>
      <c r="OT643"/>
      <c r="OU643"/>
      <c r="OV643"/>
      <c r="OW643"/>
      <c r="OX643"/>
      <c r="OY643"/>
      <c r="OZ643"/>
      <c r="PA643"/>
      <c r="PB643"/>
      <c r="PC643"/>
      <c r="PD643"/>
      <c r="PE643"/>
      <c r="PF643"/>
      <c r="PG643"/>
      <c r="PH643"/>
      <c r="PI643"/>
      <c r="PJ643"/>
      <c r="PK643"/>
      <c r="PL643"/>
      <c r="PM643"/>
      <c r="PN643"/>
      <c r="PO643"/>
      <c r="PP643"/>
      <c r="PQ643"/>
      <c r="PR643"/>
      <c r="PS643"/>
      <c r="PT643"/>
      <c r="PU643"/>
      <c r="PV643"/>
      <c r="PW643"/>
      <c r="PX643"/>
      <c r="PY643"/>
      <c r="PZ643"/>
      <c r="QA643"/>
      <c r="QB643"/>
      <c r="QC643"/>
      <c r="QD643"/>
      <c r="QE643"/>
      <c r="QF643"/>
      <c r="QG643"/>
      <c r="QH643"/>
      <c r="QI643"/>
      <c r="QJ643"/>
      <c r="QK643"/>
      <c r="QL643"/>
      <c r="QM643"/>
      <c r="QN643"/>
      <c r="QO643"/>
      <c r="QP643"/>
      <c r="QQ643"/>
      <c r="QR643"/>
      <c r="QS643"/>
      <c r="QT643"/>
      <c r="QU643"/>
      <c r="QV643"/>
      <c r="QW643"/>
      <c r="QX643"/>
      <c r="QY643"/>
      <c r="QZ643"/>
      <c r="RA643"/>
      <c r="RB643"/>
      <c r="RC643"/>
      <c r="RD643"/>
      <c r="RE643"/>
      <c r="RF643"/>
      <c r="RG643"/>
      <c r="RH643"/>
      <c r="RI643"/>
      <c r="RJ643"/>
      <c r="RK643"/>
      <c r="RL643"/>
      <c r="RM643"/>
      <c r="RN643"/>
      <c r="RO643"/>
      <c r="RP643"/>
      <c r="RQ643"/>
      <c r="RR643"/>
      <c r="RS643"/>
      <c r="RT643"/>
      <c r="RU643"/>
      <c r="RV643"/>
      <c r="RW643"/>
      <c r="RX643"/>
      <c r="RY643"/>
      <c r="RZ643"/>
      <c r="SA643"/>
      <c r="SB643"/>
      <c r="SC643"/>
      <c r="SD643"/>
      <c r="SE643"/>
      <c r="SF643"/>
      <c r="SG643"/>
      <c r="SH643"/>
      <c r="SI643"/>
      <c r="SJ643"/>
      <c r="SK643"/>
      <c r="SL643"/>
      <c r="SM643"/>
      <c r="SN643"/>
      <c r="SO643"/>
      <c r="SP643"/>
      <c r="SQ643"/>
      <c r="SR643"/>
      <c r="SS643"/>
      <c r="ST643"/>
      <c r="SU643"/>
      <c r="SV643"/>
      <c r="SW643"/>
      <c r="SX643"/>
      <c r="SY643"/>
      <c r="SZ643"/>
      <c r="TA643"/>
      <c r="TB643"/>
      <c r="TC643"/>
      <c r="TD643"/>
      <c r="TE643"/>
      <c r="TF643"/>
      <c r="TG643"/>
      <c r="TH643"/>
      <c r="TI643"/>
      <c r="TJ643"/>
      <c r="TK643"/>
      <c r="TL643"/>
      <c r="TM643"/>
      <c r="TN643"/>
      <c r="TO643"/>
      <c r="TP643"/>
      <c r="TQ643"/>
      <c r="TR643"/>
      <c r="TS643"/>
      <c r="TT643"/>
      <c r="TU643"/>
      <c r="TV643"/>
      <c r="TW643"/>
      <c r="TX643"/>
      <c r="TY643"/>
      <c r="TZ643"/>
      <c r="UA643"/>
      <c r="UB643"/>
      <c r="UC643"/>
      <c r="UD643"/>
      <c r="UE643"/>
      <c r="UF643"/>
      <c r="UG643"/>
      <c r="UH643"/>
      <c r="UI643"/>
      <c r="UJ643"/>
      <c r="UK643"/>
      <c r="UL643"/>
      <c r="UM643"/>
      <c r="UN643"/>
      <c r="UO643"/>
      <c r="UP643"/>
      <c r="UQ643"/>
      <c r="UR643"/>
      <c r="US643"/>
      <c r="UT643"/>
      <c r="UU643"/>
      <c r="UV643"/>
      <c r="UW643"/>
      <c r="UX643"/>
      <c r="UY643"/>
      <c r="UZ643"/>
      <c r="VA643"/>
      <c r="VB643"/>
      <c r="VC643"/>
      <c r="VD643"/>
      <c r="VE643"/>
      <c r="VF643"/>
      <c r="VG643"/>
      <c r="VH643"/>
      <c r="VI643"/>
      <c r="VJ643"/>
      <c r="VK643"/>
      <c r="VL643"/>
      <c r="VM643"/>
      <c r="VN643"/>
      <c r="VO643"/>
      <c r="VP643"/>
      <c r="VQ643"/>
      <c r="VR643"/>
      <c r="VS643"/>
      <c r="VT643"/>
      <c r="VU643"/>
      <c r="VV643"/>
      <c r="VW643"/>
      <c r="VX643"/>
      <c r="VY643"/>
      <c r="VZ643"/>
      <c r="WA643"/>
      <c r="WB643"/>
      <c r="WC643"/>
      <c r="WD643"/>
      <c r="WE643"/>
      <c r="WF643"/>
      <c r="WG643"/>
      <c r="WH643"/>
      <c r="WI643"/>
      <c r="WJ643"/>
      <c r="WK643"/>
      <c r="WL643"/>
      <c r="WM643"/>
      <c r="WN643"/>
      <c r="WO643"/>
      <c r="WP643"/>
      <c r="WQ643"/>
      <c r="WR643"/>
      <c r="WS643"/>
      <c r="WT643"/>
      <c r="WU643"/>
      <c r="WV643"/>
      <c r="WW643"/>
      <c r="WX643"/>
      <c r="WY643"/>
      <c r="WZ643"/>
      <c r="XA643"/>
      <c r="XB643"/>
      <c r="XC643"/>
      <c r="XD643"/>
      <c r="XE643"/>
      <c r="XF643"/>
      <c r="XG643"/>
      <c r="XH643"/>
      <c r="XI643"/>
      <c r="XJ643"/>
      <c r="XK643"/>
      <c r="XL643"/>
      <c r="XM643"/>
      <c r="XN643"/>
      <c r="XO643"/>
      <c r="XP643"/>
      <c r="XQ643"/>
      <c r="XR643"/>
      <c r="XS643"/>
      <c r="XT643"/>
      <c r="XU643"/>
      <c r="XV643"/>
      <c r="XW643"/>
      <c r="XX643"/>
      <c r="XY643"/>
      <c r="XZ643"/>
      <c r="YA643"/>
      <c r="YB643"/>
      <c r="YC643"/>
      <c r="YD643"/>
      <c r="YE643"/>
      <c r="YF643"/>
      <c r="YG643"/>
      <c r="YH643"/>
      <c r="YI643"/>
      <c r="YJ643"/>
      <c r="YK643"/>
      <c r="YL643"/>
      <c r="YM643"/>
      <c r="YN643"/>
      <c r="YO643"/>
      <c r="YP643"/>
      <c r="YQ643"/>
      <c r="YR643"/>
      <c r="YS643"/>
      <c r="YT643"/>
      <c r="YU643"/>
      <c r="YV643"/>
      <c r="YW643"/>
      <c r="YX643"/>
      <c r="YY643"/>
      <c r="YZ643"/>
      <c r="ZA643"/>
      <c r="ZB643"/>
      <c r="ZC643"/>
      <c r="ZD643"/>
      <c r="ZE643"/>
      <c r="ZF643"/>
      <c r="ZG643"/>
      <c r="ZH643"/>
      <c r="ZI643"/>
      <c r="ZJ643"/>
      <c r="ZK643"/>
      <c r="ZL643"/>
      <c r="ZM643"/>
      <c r="ZN643"/>
      <c r="ZO643"/>
      <c r="ZP643"/>
      <c r="ZQ643"/>
      <c r="ZR643"/>
      <c r="ZS643"/>
      <c r="ZT643"/>
      <c r="ZU643"/>
      <c r="ZV643"/>
      <c r="ZW643"/>
      <c r="ZX643"/>
      <c r="ZY643"/>
      <c r="ZZ643" s="52"/>
      <c r="AAA643" s="192"/>
      <c r="AAD643" s="90"/>
      <c r="AAE643" s="519">
        <v>1</v>
      </c>
      <c r="AAF643" s="90"/>
      <c r="AAG643" s="73">
        <f t="shared" si="522"/>
        <v>41572</v>
      </c>
      <c r="AAH643" s="73">
        <f t="shared" si="523"/>
        <v>41676</v>
      </c>
      <c r="AAI643" s="72"/>
      <c r="AAJ643" s="56"/>
      <c r="AAK643" s="491"/>
      <c r="AAL643" s="90"/>
    </row>
    <row r="644" spans="1:715" s="23" customFormat="1" ht="15" customHeight="1" outlineLevel="2">
      <c r="A644" s="171"/>
      <c r="B644" s="794" t="s">
        <v>505</v>
      </c>
      <c r="C644" s="376" t="s">
        <v>0</v>
      </c>
      <c r="I644" s="244"/>
      <c r="J644" s="194"/>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c r="BE644" s="49"/>
      <c r="BF644" s="49"/>
      <c r="BG644" s="49"/>
      <c r="BH644" s="49"/>
      <c r="BI644" s="49"/>
      <c r="BJ644" s="49"/>
      <c r="BK644" s="49"/>
      <c r="BL644" s="49"/>
      <c r="BM644" s="49"/>
      <c r="BN644" s="49"/>
      <c r="BO644" s="49"/>
      <c r="BP644" s="49"/>
      <c r="BQ644" s="49"/>
      <c r="BR644" s="49"/>
      <c r="BS644" s="49"/>
      <c r="BT644" s="49"/>
      <c r="BU644" s="49"/>
      <c r="BV644" s="49"/>
      <c r="BW644" s="49"/>
      <c r="BX644" s="49"/>
      <c r="BY644" s="49"/>
      <c r="BZ644" s="49"/>
      <c r="CA644" s="49"/>
      <c r="CB644" s="49"/>
      <c r="CC644" s="49"/>
      <c r="CD644" s="49"/>
      <c r="CE644" s="49"/>
      <c r="CF644" s="49"/>
      <c r="CG644" s="49"/>
      <c r="CH644" s="49"/>
      <c r="CI644" s="49"/>
      <c r="CJ644" s="49"/>
      <c r="CK644" s="49"/>
      <c r="CL644" s="49"/>
      <c r="CM644" s="49"/>
      <c r="CN644" s="49"/>
      <c r="CO644" s="49"/>
      <c r="CP644" s="49"/>
      <c r="CQ644" s="49"/>
      <c r="CR644" s="49"/>
      <c r="CS644" s="49"/>
      <c r="CT644" s="49"/>
      <c r="CU644" s="49"/>
      <c r="CV644" s="49"/>
      <c r="CW644" s="49"/>
      <c r="CX644" s="49"/>
      <c r="CY644" s="49"/>
      <c r="CZ644" s="49"/>
      <c r="DA644" s="49"/>
      <c r="DB644" s="49"/>
      <c r="DC644" s="49"/>
      <c r="DD644" s="49"/>
      <c r="DE644" s="49"/>
      <c r="DF644" s="49"/>
      <c r="DG644" s="49"/>
      <c r="DH644" s="49"/>
      <c r="DI644" s="49"/>
      <c r="DJ644" s="49"/>
      <c r="DK644" s="49"/>
      <c r="DL644" s="49"/>
      <c r="DM644" s="49"/>
      <c r="DN644" s="49"/>
      <c r="DO644" s="49"/>
      <c r="DP644" s="49"/>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c r="IW644"/>
      <c r="IX644"/>
      <c r="IY644"/>
      <c r="IZ644"/>
      <c r="JA644"/>
      <c r="JB644"/>
      <c r="JC644"/>
      <c r="JD644"/>
      <c r="JE644"/>
      <c r="JF644"/>
      <c r="JG644"/>
      <c r="JH644"/>
      <c r="JI644"/>
      <c r="JJ644"/>
      <c r="JK644"/>
      <c r="JL644"/>
      <c r="JM644"/>
      <c r="JN644"/>
      <c r="JO644"/>
      <c r="JP644"/>
      <c r="JQ644"/>
      <c r="JR644"/>
      <c r="JS644"/>
      <c r="JT644"/>
      <c r="JU644"/>
      <c r="JV644"/>
      <c r="JW644"/>
      <c r="JX644"/>
      <c r="JY644"/>
      <c r="JZ644"/>
      <c r="KA644"/>
      <c r="KB644"/>
      <c r="KC644"/>
      <c r="KD644"/>
      <c r="KE644"/>
      <c r="KF644"/>
      <c r="KG644"/>
      <c r="KH644"/>
      <c r="KI644"/>
      <c r="KJ644"/>
      <c r="KK644"/>
      <c r="KL644"/>
      <c r="KM644"/>
      <c r="KN644"/>
      <c r="KO644"/>
      <c r="KP644"/>
      <c r="KQ644"/>
      <c r="KR644"/>
      <c r="KS644"/>
      <c r="KT644"/>
      <c r="KU644"/>
      <c r="KV644"/>
      <c r="KW644"/>
      <c r="KX644"/>
      <c r="KY644"/>
      <c r="KZ644"/>
      <c r="LA644"/>
      <c r="LB644"/>
      <c r="LC644"/>
      <c r="LD644"/>
      <c r="LE644"/>
      <c r="LF644"/>
      <c r="LG644"/>
      <c r="LH644"/>
      <c r="LI644"/>
      <c r="LJ644"/>
      <c r="LK644"/>
      <c r="LL644"/>
      <c r="LM644"/>
      <c r="LN644"/>
      <c r="LO644"/>
      <c r="LP644"/>
      <c r="LQ644"/>
      <c r="LR644"/>
      <c r="LS644"/>
      <c r="LT644"/>
      <c r="LU644"/>
      <c r="LV644"/>
      <c r="LW644"/>
      <c r="LX644"/>
      <c r="LY644"/>
      <c r="LZ644"/>
      <c r="MA644"/>
      <c r="MB644"/>
      <c r="MC644"/>
      <c r="MD644"/>
      <c r="ME644"/>
      <c r="MF644"/>
      <c r="MG644"/>
      <c r="MH644"/>
      <c r="MI644"/>
      <c r="MJ644"/>
      <c r="MK644"/>
      <c r="ML644"/>
      <c r="MM644"/>
      <c r="MN644"/>
      <c r="MO644"/>
      <c r="MP644"/>
      <c r="MQ644"/>
      <c r="MR644"/>
      <c r="MS644"/>
      <c r="MT644"/>
      <c r="MU644"/>
      <c r="MV644"/>
      <c r="MW644"/>
      <c r="MX644"/>
      <c r="MY644"/>
      <c r="MZ644"/>
      <c r="NA644"/>
      <c r="NB644"/>
      <c r="NC644"/>
      <c r="ND644"/>
      <c r="NE644"/>
      <c r="NF644"/>
      <c r="NG644"/>
      <c r="NH644"/>
      <c r="NI644"/>
      <c r="NJ644"/>
      <c r="NK644"/>
      <c r="NL644"/>
      <c r="NM644"/>
      <c r="NN644"/>
      <c r="NO644"/>
      <c r="NP644"/>
      <c r="NQ644"/>
      <c r="NR644"/>
      <c r="NS644"/>
      <c r="NT644"/>
      <c r="NU644"/>
      <c r="NV644"/>
      <c r="NW644"/>
      <c r="NX644"/>
      <c r="NY644"/>
      <c r="NZ644"/>
      <c r="OA644"/>
      <c r="OB644"/>
      <c r="OC644"/>
      <c r="OD644"/>
      <c r="OE644"/>
      <c r="OF644"/>
      <c r="OG644"/>
      <c r="OH644"/>
      <c r="OI644"/>
      <c r="OJ644"/>
      <c r="OK644"/>
      <c r="OL644"/>
      <c r="OM644"/>
      <c r="ON644"/>
      <c r="OO644"/>
      <c r="OP644"/>
      <c r="OQ644"/>
      <c r="OR644"/>
      <c r="OS644"/>
      <c r="OT644"/>
      <c r="OU644"/>
      <c r="OV644"/>
      <c r="OW644"/>
      <c r="OX644"/>
      <c r="OY644"/>
      <c r="OZ644"/>
      <c r="PA644"/>
      <c r="PB644"/>
      <c r="PC644"/>
      <c r="PD644"/>
      <c r="PE644"/>
      <c r="PF644"/>
      <c r="PG644"/>
      <c r="PH644"/>
      <c r="PI644"/>
      <c r="PJ644"/>
      <c r="PK644"/>
      <c r="PL644"/>
      <c r="PM644"/>
      <c r="PN644"/>
      <c r="PO644"/>
      <c r="PP644"/>
      <c r="PQ644"/>
      <c r="PR644"/>
      <c r="PS644"/>
      <c r="PT644"/>
      <c r="PU644"/>
      <c r="PV644"/>
      <c r="PW644"/>
      <c r="PX644"/>
      <c r="PY644"/>
      <c r="PZ644"/>
      <c r="QA644"/>
      <c r="QB644"/>
      <c r="QC644"/>
      <c r="QD644"/>
      <c r="QE644"/>
      <c r="QF644"/>
      <c r="QG644"/>
      <c r="QH644"/>
      <c r="QI644"/>
      <c r="QJ644"/>
      <c r="QK644"/>
      <c r="QL644"/>
      <c r="QM644"/>
      <c r="QN644"/>
      <c r="QO644"/>
      <c r="QP644"/>
      <c r="QQ644"/>
      <c r="QR644"/>
      <c r="QS644"/>
      <c r="QT644"/>
      <c r="QU644"/>
      <c r="QV644"/>
      <c r="QW644"/>
      <c r="QX644"/>
      <c r="QY644"/>
      <c r="QZ644"/>
      <c r="RA644"/>
      <c r="RB644"/>
      <c r="RC644"/>
      <c r="RD644"/>
      <c r="RE644"/>
      <c r="RF644"/>
      <c r="RG644"/>
      <c r="RH644"/>
      <c r="RI644"/>
      <c r="RJ644"/>
      <c r="RK644"/>
      <c r="RL644"/>
      <c r="RM644"/>
      <c r="RN644"/>
      <c r="RO644"/>
      <c r="RP644"/>
      <c r="RQ644"/>
      <c r="RR644"/>
      <c r="RS644"/>
      <c r="RT644"/>
      <c r="RU644"/>
      <c r="RV644"/>
      <c r="RW644"/>
      <c r="RX644"/>
      <c r="RY644"/>
      <c r="RZ644"/>
      <c r="SA644"/>
      <c r="SB644"/>
      <c r="SC644"/>
      <c r="SD644"/>
      <c r="SE644"/>
      <c r="SF644"/>
      <c r="SG644"/>
      <c r="SH644"/>
      <c r="SI644"/>
      <c r="SJ644"/>
      <c r="SK644"/>
      <c r="SL644"/>
      <c r="SM644"/>
      <c r="SN644"/>
      <c r="SO644"/>
      <c r="SP644"/>
      <c r="SQ644"/>
      <c r="SR644"/>
      <c r="SS644"/>
      <c r="ST644"/>
      <c r="SU644"/>
      <c r="SV644"/>
      <c r="SW644"/>
      <c r="SX644"/>
      <c r="SY644"/>
      <c r="SZ644"/>
      <c r="TA644"/>
      <c r="TB644"/>
      <c r="TC644"/>
      <c r="TD644"/>
      <c r="TE644"/>
      <c r="TF644"/>
      <c r="TG644"/>
      <c r="TH644"/>
      <c r="TI644"/>
      <c r="TJ644"/>
      <c r="TK644"/>
      <c r="TL644"/>
      <c r="TM644"/>
      <c r="TN644"/>
      <c r="TO644"/>
      <c r="TP644"/>
      <c r="TQ644"/>
      <c r="TR644"/>
      <c r="TS644"/>
      <c r="TT644"/>
      <c r="TU644"/>
      <c r="TV644"/>
      <c r="TW644"/>
      <c r="TX644"/>
      <c r="TY644"/>
      <c r="TZ644"/>
      <c r="UA644"/>
      <c r="UB644"/>
      <c r="UC644"/>
      <c r="UD644"/>
      <c r="UE644"/>
      <c r="UF644"/>
      <c r="UG644"/>
      <c r="UH644"/>
      <c r="UI644"/>
      <c r="UJ644"/>
      <c r="UK644"/>
      <c r="UL644"/>
      <c r="UM644"/>
      <c r="UN644"/>
      <c r="UO644"/>
      <c r="UP644"/>
      <c r="UQ644"/>
      <c r="UR644"/>
      <c r="US644"/>
      <c r="UT644"/>
      <c r="UU644"/>
      <c r="UV644"/>
      <c r="UW644"/>
      <c r="UX644"/>
      <c r="UY644"/>
      <c r="UZ644"/>
      <c r="VA644"/>
      <c r="VB644"/>
      <c r="VC644"/>
      <c r="VD644"/>
      <c r="VE644"/>
      <c r="VF644"/>
      <c r="VG644"/>
      <c r="VH644"/>
      <c r="VI644"/>
      <c r="VJ644"/>
      <c r="VK644"/>
      <c r="VL644"/>
      <c r="VM644"/>
      <c r="VN644"/>
      <c r="VO644"/>
      <c r="VP644"/>
      <c r="VQ644"/>
      <c r="VR644"/>
      <c r="VS644"/>
      <c r="VT644"/>
      <c r="VU644"/>
      <c r="VV644"/>
      <c r="VW644"/>
      <c r="VX644"/>
      <c r="VY644"/>
      <c r="VZ644"/>
      <c r="WA644"/>
      <c r="WB644"/>
      <c r="WC644"/>
      <c r="WD644"/>
      <c r="WE644"/>
      <c r="WF644"/>
      <c r="WG644"/>
      <c r="WH644"/>
      <c r="WI644"/>
      <c r="WJ644"/>
      <c r="WK644"/>
      <c r="WL644"/>
      <c r="WM644"/>
      <c r="WN644"/>
      <c r="WO644"/>
      <c r="WP644"/>
      <c r="WQ644"/>
      <c r="WR644"/>
      <c r="WS644"/>
      <c r="WT644"/>
      <c r="WU644"/>
      <c r="WV644"/>
      <c r="WW644"/>
      <c r="WX644"/>
      <c r="WY644"/>
      <c r="WZ644"/>
      <c r="XA644"/>
      <c r="XB644"/>
      <c r="XC644"/>
      <c r="XD644"/>
      <c r="XE644"/>
      <c r="XF644"/>
      <c r="XG644"/>
      <c r="XH644"/>
      <c r="XI644"/>
      <c r="XJ644"/>
      <c r="XK644"/>
      <c r="XL644"/>
      <c r="XM644"/>
      <c r="XN644"/>
      <c r="XO644"/>
      <c r="XP644"/>
      <c r="XQ644"/>
      <c r="XR644"/>
      <c r="XS644"/>
      <c r="XT644"/>
      <c r="XU644"/>
      <c r="XV644"/>
      <c r="XW644"/>
      <c r="XX644"/>
      <c r="XY644"/>
      <c r="XZ644"/>
      <c r="YA644"/>
      <c r="YB644"/>
      <c r="YC644"/>
      <c r="YD644"/>
      <c r="YE644"/>
      <c r="YF644"/>
      <c r="YG644"/>
      <c r="YH644"/>
      <c r="YI644"/>
      <c r="YJ644"/>
      <c r="YK644"/>
      <c r="YL644"/>
      <c r="YM644"/>
      <c r="YN644"/>
      <c r="YO644"/>
      <c r="YP644"/>
      <c r="YQ644"/>
      <c r="YR644"/>
      <c r="YS644"/>
      <c r="YT644"/>
      <c r="YU644"/>
      <c r="YV644"/>
      <c r="YW644"/>
      <c r="YX644"/>
      <c r="YY644"/>
      <c r="YZ644"/>
      <c r="ZA644"/>
      <c r="ZB644"/>
      <c r="ZC644"/>
      <c r="ZD644"/>
      <c r="ZE644"/>
      <c r="ZF644"/>
      <c r="ZG644"/>
      <c r="ZH644"/>
      <c r="ZI644"/>
      <c r="ZJ644"/>
      <c r="ZK644"/>
      <c r="ZL644"/>
      <c r="ZM644"/>
      <c r="ZN644"/>
      <c r="ZO644"/>
      <c r="ZP644"/>
      <c r="ZQ644"/>
      <c r="ZR644"/>
      <c r="ZS644"/>
      <c r="ZT644"/>
      <c r="ZU644"/>
      <c r="ZV644"/>
      <c r="ZW644"/>
      <c r="ZX644"/>
      <c r="ZY644"/>
      <c r="ZZ644" s="52"/>
      <c r="AAA644" s="192"/>
      <c r="AAD644" s="90"/>
      <c r="AAE644" s="519">
        <v>1</v>
      </c>
      <c r="AAF644" s="190" t="s">
        <v>52</v>
      </c>
      <c r="AAG644" s="72"/>
      <c r="AAH644" s="72"/>
      <c r="AAI644" s="72"/>
      <c r="AAJ644" s="185"/>
      <c r="AAK644" s="56"/>
      <c r="AAL644" s="90"/>
    </row>
    <row r="645" spans="1:715" s="23" customFormat="1" ht="15" customHeight="1" outlineLevel="2">
      <c r="A645" s="171" t="s">
        <v>0</v>
      </c>
      <c r="B645" s="624" t="s">
        <v>255</v>
      </c>
      <c r="C645" s="376" t="s">
        <v>0</v>
      </c>
      <c r="D645" s="422" t="s">
        <v>0</v>
      </c>
      <c r="E645" s="397">
        <f t="shared" ref="E645" si="539">NETWORKDAYS(G645,H645,S.DDL_DEQClosed)</f>
        <v>70</v>
      </c>
      <c r="F645" s="457">
        <f t="shared" ca="1" si="520"/>
        <v>69</v>
      </c>
      <c r="G645" s="400">
        <f t="shared" ref="G645" si="540">AAG645</f>
        <v>41572</v>
      </c>
      <c r="H645" s="400">
        <f t="shared" ref="H645" si="541">AAH645</f>
        <v>41676</v>
      </c>
      <c r="I645" s="244"/>
      <c r="J645" s="194"/>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c r="BE645" s="49"/>
      <c r="BF645" s="49"/>
      <c r="BG645" s="49"/>
      <c r="BH645" s="49"/>
      <c r="BI645" s="49"/>
      <c r="BJ645" s="49"/>
      <c r="BK645" s="49"/>
      <c r="BL645" s="49"/>
      <c r="BM645" s="49"/>
      <c r="BN645" s="49"/>
      <c r="BO645" s="49"/>
      <c r="BP645" s="49"/>
      <c r="BQ645" s="49"/>
      <c r="BR645" s="49"/>
      <c r="BS645" s="49"/>
      <c r="BT645" s="49"/>
      <c r="BU645" s="49"/>
      <c r="BV645" s="49"/>
      <c r="BW645" s="49"/>
      <c r="BX645" s="49"/>
      <c r="BY645" s="49"/>
      <c r="BZ645" s="49"/>
      <c r="CA645" s="49"/>
      <c r="CB645" s="49"/>
      <c r="CC645" s="49"/>
      <c r="CD645" s="49"/>
      <c r="CE645" s="49"/>
      <c r="CF645" s="49"/>
      <c r="CG645" s="49"/>
      <c r="CH645" s="49"/>
      <c r="CI645" s="49"/>
      <c r="CJ645" s="49"/>
      <c r="CK645" s="49"/>
      <c r="CL645" s="49"/>
      <c r="CM645" s="49"/>
      <c r="CN645" s="49"/>
      <c r="CO645" s="49"/>
      <c r="CP645" s="49"/>
      <c r="CQ645" s="49"/>
      <c r="CR645" s="49"/>
      <c r="CS645" s="49"/>
      <c r="CT645" s="49"/>
      <c r="CU645" s="49"/>
      <c r="CV645" s="49"/>
      <c r="CW645" s="49"/>
      <c r="CX645" s="49"/>
      <c r="CY645" s="49"/>
      <c r="CZ645" s="49"/>
      <c r="DA645" s="49"/>
      <c r="DB645" s="49"/>
      <c r="DC645" s="49"/>
      <c r="DD645" s="49"/>
      <c r="DE645" s="49"/>
      <c r="DF645" s="49"/>
      <c r="DG645" s="49"/>
      <c r="DH645" s="49"/>
      <c r="DI645" s="49"/>
      <c r="DJ645" s="49"/>
      <c r="DK645" s="49"/>
      <c r="DL645" s="49"/>
      <c r="DM645" s="49"/>
      <c r="DN645" s="49"/>
      <c r="DO645" s="49"/>
      <c r="DP645" s="49"/>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c r="IW645"/>
      <c r="IX645"/>
      <c r="IY645"/>
      <c r="IZ645"/>
      <c r="JA645"/>
      <c r="JB645"/>
      <c r="JC645"/>
      <c r="JD645"/>
      <c r="JE645"/>
      <c r="JF645"/>
      <c r="JG645"/>
      <c r="JH645"/>
      <c r="JI645"/>
      <c r="JJ645"/>
      <c r="JK645"/>
      <c r="JL645"/>
      <c r="JM645"/>
      <c r="JN645"/>
      <c r="JO645"/>
      <c r="JP645"/>
      <c r="JQ645"/>
      <c r="JR645"/>
      <c r="JS645"/>
      <c r="JT645"/>
      <c r="JU645"/>
      <c r="JV645"/>
      <c r="JW645"/>
      <c r="JX645"/>
      <c r="JY645"/>
      <c r="JZ645"/>
      <c r="KA645"/>
      <c r="KB645"/>
      <c r="KC645"/>
      <c r="KD645"/>
      <c r="KE645"/>
      <c r="KF645"/>
      <c r="KG645"/>
      <c r="KH645"/>
      <c r="KI645"/>
      <c r="KJ645"/>
      <c r="KK645"/>
      <c r="KL645"/>
      <c r="KM645"/>
      <c r="KN645"/>
      <c r="KO645"/>
      <c r="KP645"/>
      <c r="KQ645"/>
      <c r="KR645"/>
      <c r="KS645"/>
      <c r="KT645"/>
      <c r="KU645"/>
      <c r="KV645"/>
      <c r="KW645"/>
      <c r="KX645"/>
      <c r="KY645"/>
      <c r="KZ645"/>
      <c r="LA645"/>
      <c r="LB645"/>
      <c r="LC645"/>
      <c r="LD645"/>
      <c r="LE645"/>
      <c r="LF645"/>
      <c r="LG645"/>
      <c r="LH645"/>
      <c r="LI645"/>
      <c r="LJ645"/>
      <c r="LK645"/>
      <c r="LL645"/>
      <c r="LM645"/>
      <c r="LN645"/>
      <c r="LO645"/>
      <c r="LP645"/>
      <c r="LQ645"/>
      <c r="LR645"/>
      <c r="LS645"/>
      <c r="LT645"/>
      <c r="LU645"/>
      <c r="LV645"/>
      <c r="LW645"/>
      <c r="LX645"/>
      <c r="LY645"/>
      <c r="LZ645"/>
      <c r="MA645"/>
      <c r="MB645"/>
      <c r="MC645"/>
      <c r="MD645"/>
      <c r="ME645"/>
      <c r="MF645"/>
      <c r="MG645"/>
      <c r="MH645"/>
      <c r="MI645"/>
      <c r="MJ645"/>
      <c r="MK645"/>
      <c r="ML645"/>
      <c r="MM645"/>
      <c r="MN645"/>
      <c r="MO645"/>
      <c r="MP645"/>
      <c r="MQ645"/>
      <c r="MR645"/>
      <c r="MS645"/>
      <c r="MT645"/>
      <c r="MU645"/>
      <c r="MV645"/>
      <c r="MW645"/>
      <c r="MX645"/>
      <c r="MY645"/>
      <c r="MZ645"/>
      <c r="NA645"/>
      <c r="NB645"/>
      <c r="NC645"/>
      <c r="ND645"/>
      <c r="NE645"/>
      <c r="NF645"/>
      <c r="NG645"/>
      <c r="NH645"/>
      <c r="NI645"/>
      <c r="NJ645"/>
      <c r="NK645"/>
      <c r="NL645"/>
      <c r="NM645"/>
      <c r="NN645"/>
      <c r="NO645"/>
      <c r="NP645"/>
      <c r="NQ645"/>
      <c r="NR645"/>
      <c r="NS645"/>
      <c r="NT645"/>
      <c r="NU645"/>
      <c r="NV645"/>
      <c r="NW645"/>
      <c r="NX645"/>
      <c r="NY645"/>
      <c r="NZ645"/>
      <c r="OA645"/>
      <c r="OB645"/>
      <c r="OC645"/>
      <c r="OD645"/>
      <c r="OE645"/>
      <c r="OF645"/>
      <c r="OG645"/>
      <c r="OH645"/>
      <c r="OI645"/>
      <c r="OJ645"/>
      <c r="OK645"/>
      <c r="OL645"/>
      <c r="OM645"/>
      <c r="ON645"/>
      <c r="OO645"/>
      <c r="OP645"/>
      <c r="OQ645"/>
      <c r="OR645"/>
      <c r="OS645"/>
      <c r="OT645"/>
      <c r="OU645"/>
      <c r="OV645"/>
      <c r="OW645"/>
      <c r="OX645"/>
      <c r="OY645"/>
      <c r="OZ645"/>
      <c r="PA645"/>
      <c r="PB645"/>
      <c r="PC645"/>
      <c r="PD645"/>
      <c r="PE645"/>
      <c r="PF645"/>
      <c r="PG645"/>
      <c r="PH645"/>
      <c r="PI645"/>
      <c r="PJ645"/>
      <c r="PK645"/>
      <c r="PL645"/>
      <c r="PM645"/>
      <c r="PN645"/>
      <c r="PO645"/>
      <c r="PP645"/>
      <c r="PQ645"/>
      <c r="PR645"/>
      <c r="PS645"/>
      <c r="PT645"/>
      <c r="PU645"/>
      <c r="PV645"/>
      <c r="PW645"/>
      <c r="PX645"/>
      <c r="PY645"/>
      <c r="PZ645"/>
      <c r="QA645"/>
      <c r="QB645"/>
      <c r="QC645"/>
      <c r="QD645"/>
      <c r="QE645"/>
      <c r="QF645"/>
      <c r="QG645"/>
      <c r="QH645"/>
      <c r="QI645"/>
      <c r="QJ645"/>
      <c r="QK645"/>
      <c r="QL645"/>
      <c r="QM645"/>
      <c r="QN645"/>
      <c r="QO645"/>
      <c r="QP645"/>
      <c r="QQ645"/>
      <c r="QR645"/>
      <c r="QS645"/>
      <c r="QT645"/>
      <c r="QU645"/>
      <c r="QV645"/>
      <c r="QW645"/>
      <c r="QX645"/>
      <c r="QY645"/>
      <c r="QZ645"/>
      <c r="RA645"/>
      <c r="RB645"/>
      <c r="RC645"/>
      <c r="RD645"/>
      <c r="RE645"/>
      <c r="RF645"/>
      <c r="RG645"/>
      <c r="RH645"/>
      <c r="RI645"/>
      <c r="RJ645"/>
      <c r="RK645"/>
      <c r="RL645"/>
      <c r="RM645"/>
      <c r="RN645"/>
      <c r="RO645"/>
      <c r="RP645"/>
      <c r="RQ645"/>
      <c r="RR645"/>
      <c r="RS645"/>
      <c r="RT645"/>
      <c r="RU645"/>
      <c r="RV645"/>
      <c r="RW645"/>
      <c r="RX645"/>
      <c r="RY645"/>
      <c r="RZ645"/>
      <c r="SA645"/>
      <c r="SB645"/>
      <c r="SC645"/>
      <c r="SD645"/>
      <c r="SE645"/>
      <c r="SF645"/>
      <c r="SG645"/>
      <c r="SH645"/>
      <c r="SI645"/>
      <c r="SJ645"/>
      <c r="SK645"/>
      <c r="SL645"/>
      <c r="SM645"/>
      <c r="SN645"/>
      <c r="SO645"/>
      <c r="SP645"/>
      <c r="SQ645"/>
      <c r="SR645"/>
      <c r="SS645"/>
      <c r="ST645"/>
      <c r="SU645"/>
      <c r="SV645"/>
      <c r="SW645"/>
      <c r="SX645"/>
      <c r="SY645"/>
      <c r="SZ645"/>
      <c r="TA645"/>
      <c r="TB645"/>
      <c r="TC645"/>
      <c r="TD645"/>
      <c r="TE645"/>
      <c r="TF645"/>
      <c r="TG645"/>
      <c r="TH645"/>
      <c r="TI645"/>
      <c r="TJ645"/>
      <c r="TK645"/>
      <c r="TL645"/>
      <c r="TM645"/>
      <c r="TN645"/>
      <c r="TO645"/>
      <c r="TP645"/>
      <c r="TQ645"/>
      <c r="TR645"/>
      <c r="TS645"/>
      <c r="TT645"/>
      <c r="TU645"/>
      <c r="TV645"/>
      <c r="TW645"/>
      <c r="TX645"/>
      <c r="TY645"/>
      <c r="TZ645"/>
      <c r="UA645"/>
      <c r="UB645"/>
      <c r="UC645"/>
      <c r="UD645"/>
      <c r="UE645"/>
      <c r="UF645"/>
      <c r="UG645"/>
      <c r="UH645"/>
      <c r="UI645"/>
      <c r="UJ645"/>
      <c r="UK645"/>
      <c r="UL645"/>
      <c r="UM645"/>
      <c r="UN645"/>
      <c r="UO645"/>
      <c r="UP645"/>
      <c r="UQ645"/>
      <c r="UR645"/>
      <c r="US645"/>
      <c r="UT645"/>
      <c r="UU645"/>
      <c r="UV645"/>
      <c r="UW645"/>
      <c r="UX645"/>
      <c r="UY645"/>
      <c r="UZ645"/>
      <c r="VA645"/>
      <c r="VB645"/>
      <c r="VC645"/>
      <c r="VD645"/>
      <c r="VE645"/>
      <c r="VF645"/>
      <c r="VG645"/>
      <c r="VH645"/>
      <c r="VI645"/>
      <c r="VJ645"/>
      <c r="VK645"/>
      <c r="VL645"/>
      <c r="VM645"/>
      <c r="VN645"/>
      <c r="VO645"/>
      <c r="VP645"/>
      <c r="VQ645"/>
      <c r="VR645"/>
      <c r="VS645"/>
      <c r="VT645"/>
      <c r="VU645"/>
      <c r="VV645"/>
      <c r="VW645"/>
      <c r="VX645"/>
      <c r="VY645"/>
      <c r="VZ645"/>
      <c r="WA645"/>
      <c r="WB645"/>
      <c r="WC645"/>
      <c r="WD645"/>
      <c r="WE645"/>
      <c r="WF645"/>
      <c r="WG645"/>
      <c r="WH645"/>
      <c r="WI645"/>
      <c r="WJ645"/>
      <c r="WK645"/>
      <c r="WL645"/>
      <c r="WM645"/>
      <c r="WN645"/>
      <c r="WO645"/>
      <c r="WP645"/>
      <c r="WQ645"/>
      <c r="WR645"/>
      <c r="WS645"/>
      <c r="WT645"/>
      <c r="WU645"/>
      <c r="WV645"/>
      <c r="WW645"/>
      <c r="WX645"/>
      <c r="WY645"/>
      <c r="WZ645"/>
      <c r="XA645"/>
      <c r="XB645"/>
      <c r="XC645"/>
      <c r="XD645"/>
      <c r="XE645"/>
      <c r="XF645"/>
      <c r="XG645"/>
      <c r="XH645"/>
      <c r="XI645"/>
      <c r="XJ645"/>
      <c r="XK645"/>
      <c r="XL645"/>
      <c r="XM645"/>
      <c r="XN645"/>
      <c r="XO645"/>
      <c r="XP645"/>
      <c r="XQ645"/>
      <c r="XR645"/>
      <c r="XS645"/>
      <c r="XT645"/>
      <c r="XU645"/>
      <c r="XV645"/>
      <c r="XW645"/>
      <c r="XX645"/>
      <c r="XY645"/>
      <c r="XZ645"/>
      <c r="YA645"/>
      <c r="YB645"/>
      <c r="YC645"/>
      <c r="YD645"/>
      <c r="YE645"/>
      <c r="YF645"/>
      <c r="YG645"/>
      <c r="YH645"/>
      <c r="YI645"/>
      <c r="YJ645"/>
      <c r="YK645"/>
      <c r="YL645"/>
      <c r="YM645"/>
      <c r="YN645"/>
      <c r="YO645"/>
      <c r="YP645"/>
      <c r="YQ645"/>
      <c r="YR645"/>
      <c r="YS645"/>
      <c r="YT645"/>
      <c r="YU645"/>
      <c r="YV645"/>
      <c r="YW645"/>
      <c r="YX645"/>
      <c r="YY645"/>
      <c r="YZ645"/>
      <c r="ZA645"/>
      <c r="ZB645"/>
      <c r="ZC645"/>
      <c r="ZD645"/>
      <c r="ZE645"/>
      <c r="ZF645"/>
      <c r="ZG645"/>
      <c r="ZH645"/>
      <c r="ZI645"/>
      <c r="ZJ645"/>
      <c r="ZK645"/>
      <c r="ZL645"/>
      <c r="ZM645"/>
      <c r="ZN645"/>
      <c r="ZO645"/>
      <c r="ZP645"/>
      <c r="ZQ645"/>
      <c r="ZR645"/>
      <c r="ZS645"/>
      <c r="ZT645"/>
      <c r="ZU645"/>
      <c r="ZV645"/>
      <c r="ZW645"/>
      <c r="ZX645"/>
      <c r="ZY645"/>
      <c r="ZZ645" s="52"/>
      <c r="AAA645" s="192"/>
      <c r="AAD645" s="90"/>
      <c r="AAE645" s="519">
        <v>1</v>
      </c>
      <c r="AAF645" s="90"/>
      <c r="AAG645" s="73">
        <f>S.EQC.BANNER.Begin</f>
        <v>41572</v>
      </c>
      <c r="AAH645" s="73">
        <f t="shared" si="523"/>
        <v>41676</v>
      </c>
      <c r="AAI645" s="72"/>
      <c r="AAJ645" s="56"/>
      <c r="AAK645" s="491"/>
      <c r="AAL645" s="90"/>
    </row>
    <row r="646" spans="1:715" s="23" customFormat="1" ht="15" customHeight="1" outlineLevel="2">
      <c r="A646" s="171"/>
      <c r="B646" s="413" t="s">
        <v>256</v>
      </c>
      <c r="C646" s="420"/>
      <c r="D646" s="421"/>
      <c r="E646" s="350"/>
      <c r="F646" s="350"/>
      <c r="G646" s="420"/>
      <c r="H646" s="420"/>
      <c r="I646" s="244"/>
      <c r="J646" s="194"/>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c r="BG646" s="49"/>
      <c r="BH646" s="49"/>
      <c r="BI646" s="49"/>
      <c r="BJ646" s="49"/>
      <c r="BK646" s="49"/>
      <c r="BL646" s="49"/>
      <c r="BM646" s="49"/>
      <c r="BN646" s="49"/>
      <c r="BO646" s="49"/>
      <c r="BP646" s="49"/>
      <c r="BQ646" s="49"/>
      <c r="BR646" s="49"/>
      <c r="BS646" s="49"/>
      <c r="BT646" s="49"/>
      <c r="BU646" s="49"/>
      <c r="BV646" s="49"/>
      <c r="BW646" s="49"/>
      <c r="BX646" s="49"/>
      <c r="BY646" s="49"/>
      <c r="BZ646" s="49"/>
      <c r="CA646" s="49"/>
      <c r="CB646" s="49"/>
      <c r="CC646" s="49"/>
      <c r="CD646" s="49"/>
      <c r="CE646" s="49"/>
      <c r="CF646" s="49"/>
      <c r="CG646" s="49"/>
      <c r="CH646" s="49"/>
      <c r="CI646" s="49"/>
      <c r="CJ646" s="49"/>
      <c r="CK646" s="49"/>
      <c r="CL646" s="49"/>
      <c r="CM646" s="49"/>
      <c r="CN646" s="49"/>
      <c r="CO646" s="49"/>
      <c r="CP646" s="49"/>
      <c r="CQ646" s="49"/>
      <c r="CR646" s="49"/>
      <c r="CS646" s="49"/>
      <c r="CT646" s="49"/>
      <c r="CU646" s="49"/>
      <c r="CV646" s="49"/>
      <c r="CW646" s="49"/>
      <c r="CX646" s="49"/>
      <c r="CY646" s="49"/>
      <c r="CZ646" s="49"/>
      <c r="DA646" s="49"/>
      <c r="DB646" s="49"/>
      <c r="DC646" s="49"/>
      <c r="DD646" s="49"/>
      <c r="DE646" s="49"/>
      <c r="DF646" s="49"/>
      <c r="DG646" s="49"/>
      <c r="DH646" s="49"/>
      <c r="DI646" s="49"/>
      <c r="DJ646" s="49"/>
      <c r="DK646" s="49"/>
      <c r="DL646" s="49"/>
      <c r="DM646" s="49"/>
      <c r="DN646" s="49"/>
      <c r="DO646" s="49"/>
      <c r="DP646" s="49"/>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c r="IW646"/>
      <c r="IX646"/>
      <c r="IY646"/>
      <c r="IZ646"/>
      <c r="JA646"/>
      <c r="JB646"/>
      <c r="JC646"/>
      <c r="JD646"/>
      <c r="JE646"/>
      <c r="JF646"/>
      <c r="JG646"/>
      <c r="JH646"/>
      <c r="JI646"/>
      <c r="JJ646"/>
      <c r="JK646"/>
      <c r="JL646"/>
      <c r="JM646"/>
      <c r="JN646"/>
      <c r="JO646"/>
      <c r="JP646"/>
      <c r="JQ646"/>
      <c r="JR646"/>
      <c r="JS646"/>
      <c r="JT646"/>
      <c r="JU646"/>
      <c r="JV646"/>
      <c r="JW646"/>
      <c r="JX646"/>
      <c r="JY646"/>
      <c r="JZ646"/>
      <c r="KA646"/>
      <c r="KB646"/>
      <c r="KC646"/>
      <c r="KD646"/>
      <c r="KE646"/>
      <c r="KF646"/>
      <c r="KG646"/>
      <c r="KH646"/>
      <c r="KI646"/>
      <c r="KJ646"/>
      <c r="KK646"/>
      <c r="KL646"/>
      <c r="KM646"/>
      <c r="KN646"/>
      <c r="KO646"/>
      <c r="KP646"/>
      <c r="KQ646"/>
      <c r="KR646"/>
      <c r="KS646"/>
      <c r="KT646"/>
      <c r="KU646"/>
      <c r="KV646"/>
      <c r="KW646"/>
      <c r="KX646"/>
      <c r="KY646"/>
      <c r="KZ646"/>
      <c r="LA646"/>
      <c r="LB646"/>
      <c r="LC646"/>
      <c r="LD646"/>
      <c r="LE646"/>
      <c r="LF646"/>
      <c r="LG646"/>
      <c r="LH646"/>
      <c r="LI646"/>
      <c r="LJ646"/>
      <c r="LK646"/>
      <c r="LL646"/>
      <c r="LM646"/>
      <c r="LN646"/>
      <c r="LO646"/>
      <c r="LP646"/>
      <c r="LQ646"/>
      <c r="LR646"/>
      <c r="LS646"/>
      <c r="LT646"/>
      <c r="LU646"/>
      <c r="LV646"/>
      <c r="LW646"/>
      <c r="LX646"/>
      <c r="LY646"/>
      <c r="LZ646"/>
      <c r="MA646"/>
      <c r="MB646"/>
      <c r="MC646"/>
      <c r="MD646"/>
      <c r="ME646"/>
      <c r="MF646"/>
      <c r="MG646"/>
      <c r="MH646"/>
      <c r="MI646"/>
      <c r="MJ646"/>
      <c r="MK646"/>
      <c r="ML646"/>
      <c r="MM646"/>
      <c r="MN646"/>
      <c r="MO646"/>
      <c r="MP646"/>
      <c r="MQ646"/>
      <c r="MR646"/>
      <c r="MS646"/>
      <c r="MT646"/>
      <c r="MU646"/>
      <c r="MV646"/>
      <c r="MW646"/>
      <c r="MX646"/>
      <c r="MY646"/>
      <c r="MZ646"/>
      <c r="NA646"/>
      <c r="NB646"/>
      <c r="NC646"/>
      <c r="ND646"/>
      <c r="NE646"/>
      <c r="NF646"/>
      <c r="NG646"/>
      <c r="NH646"/>
      <c r="NI646"/>
      <c r="NJ646"/>
      <c r="NK646"/>
      <c r="NL646"/>
      <c r="NM646"/>
      <c r="NN646"/>
      <c r="NO646"/>
      <c r="NP646"/>
      <c r="NQ646"/>
      <c r="NR646"/>
      <c r="NS646"/>
      <c r="NT646"/>
      <c r="NU646"/>
      <c r="NV646"/>
      <c r="NW646"/>
      <c r="NX646"/>
      <c r="NY646"/>
      <c r="NZ646"/>
      <c r="OA646"/>
      <c r="OB646"/>
      <c r="OC646"/>
      <c r="OD646"/>
      <c r="OE646"/>
      <c r="OF646"/>
      <c r="OG646"/>
      <c r="OH646"/>
      <c r="OI646"/>
      <c r="OJ646"/>
      <c r="OK646"/>
      <c r="OL646"/>
      <c r="OM646"/>
      <c r="ON646"/>
      <c r="OO646"/>
      <c r="OP646"/>
      <c r="OQ646"/>
      <c r="OR646"/>
      <c r="OS646"/>
      <c r="OT646"/>
      <c r="OU646"/>
      <c r="OV646"/>
      <c r="OW646"/>
      <c r="OX646"/>
      <c r="OY646"/>
      <c r="OZ646"/>
      <c r="PA646"/>
      <c r="PB646"/>
      <c r="PC646"/>
      <c r="PD646"/>
      <c r="PE646"/>
      <c r="PF646"/>
      <c r="PG646"/>
      <c r="PH646"/>
      <c r="PI646"/>
      <c r="PJ646"/>
      <c r="PK646"/>
      <c r="PL646"/>
      <c r="PM646"/>
      <c r="PN646"/>
      <c r="PO646"/>
      <c r="PP646"/>
      <c r="PQ646"/>
      <c r="PR646"/>
      <c r="PS646"/>
      <c r="PT646"/>
      <c r="PU646"/>
      <c r="PV646"/>
      <c r="PW646"/>
      <c r="PX646"/>
      <c r="PY646"/>
      <c r="PZ646"/>
      <c r="QA646"/>
      <c r="QB646"/>
      <c r="QC646"/>
      <c r="QD646"/>
      <c r="QE646"/>
      <c r="QF646"/>
      <c r="QG646"/>
      <c r="QH646"/>
      <c r="QI646"/>
      <c r="QJ646"/>
      <c r="QK646"/>
      <c r="QL646"/>
      <c r="QM646"/>
      <c r="QN646"/>
      <c r="QO646"/>
      <c r="QP646"/>
      <c r="QQ646"/>
      <c r="QR646"/>
      <c r="QS646"/>
      <c r="QT646"/>
      <c r="QU646"/>
      <c r="QV646"/>
      <c r="QW646"/>
      <c r="QX646"/>
      <c r="QY646"/>
      <c r="QZ646"/>
      <c r="RA646"/>
      <c r="RB646"/>
      <c r="RC646"/>
      <c r="RD646"/>
      <c r="RE646"/>
      <c r="RF646"/>
      <c r="RG646"/>
      <c r="RH646"/>
      <c r="RI646"/>
      <c r="RJ646"/>
      <c r="RK646"/>
      <c r="RL646"/>
      <c r="RM646"/>
      <c r="RN646"/>
      <c r="RO646"/>
      <c r="RP646"/>
      <c r="RQ646"/>
      <c r="RR646"/>
      <c r="RS646"/>
      <c r="RT646"/>
      <c r="RU646"/>
      <c r="RV646"/>
      <c r="RW646"/>
      <c r="RX646"/>
      <c r="RY646"/>
      <c r="RZ646"/>
      <c r="SA646"/>
      <c r="SB646"/>
      <c r="SC646"/>
      <c r="SD646"/>
      <c r="SE646"/>
      <c r="SF646"/>
      <c r="SG646"/>
      <c r="SH646"/>
      <c r="SI646"/>
      <c r="SJ646"/>
      <c r="SK646"/>
      <c r="SL646"/>
      <c r="SM646"/>
      <c r="SN646"/>
      <c r="SO646"/>
      <c r="SP646"/>
      <c r="SQ646"/>
      <c r="SR646"/>
      <c r="SS646"/>
      <c r="ST646"/>
      <c r="SU646"/>
      <c r="SV646"/>
      <c r="SW646"/>
      <c r="SX646"/>
      <c r="SY646"/>
      <c r="SZ646"/>
      <c r="TA646"/>
      <c r="TB646"/>
      <c r="TC646"/>
      <c r="TD646"/>
      <c r="TE646"/>
      <c r="TF646"/>
      <c r="TG646"/>
      <c r="TH646"/>
      <c r="TI646"/>
      <c r="TJ646"/>
      <c r="TK646"/>
      <c r="TL646"/>
      <c r="TM646"/>
      <c r="TN646"/>
      <c r="TO646"/>
      <c r="TP646"/>
      <c r="TQ646"/>
      <c r="TR646"/>
      <c r="TS646"/>
      <c r="TT646"/>
      <c r="TU646"/>
      <c r="TV646"/>
      <c r="TW646"/>
      <c r="TX646"/>
      <c r="TY646"/>
      <c r="TZ646"/>
      <c r="UA646"/>
      <c r="UB646"/>
      <c r="UC646"/>
      <c r="UD646"/>
      <c r="UE646"/>
      <c r="UF646"/>
      <c r="UG646"/>
      <c r="UH646"/>
      <c r="UI646"/>
      <c r="UJ646"/>
      <c r="UK646"/>
      <c r="UL646"/>
      <c r="UM646"/>
      <c r="UN646"/>
      <c r="UO646"/>
      <c r="UP646"/>
      <c r="UQ646"/>
      <c r="UR646"/>
      <c r="US646"/>
      <c r="UT646"/>
      <c r="UU646"/>
      <c r="UV646"/>
      <c r="UW646"/>
      <c r="UX646"/>
      <c r="UY646"/>
      <c r="UZ646"/>
      <c r="VA646"/>
      <c r="VB646"/>
      <c r="VC646"/>
      <c r="VD646"/>
      <c r="VE646"/>
      <c r="VF646"/>
      <c r="VG646"/>
      <c r="VH646"/>
      <c r="VI646"/>
      <c r="VJ646"/>
      <c r="VK646"/>
      <c r="VL646"/>
      <c r="VM646"/>
      <c r="VN646"/>
      <c r="VO646"/>
      <c r="VP646"/>
      <c r="VQ646"/>
      <c r="VR646"/>
      <c r="VS646"/>
      <c r="VT646"/>
      <c r="VU646"/>
      <c r="VV646"/>
      <c r="VW646"/>
      <c r="VX646"/>
      <c r="VY646"/>
      <c r="VZ646"/>
      <c r="WA646"/>
      <c r="WB646"/>
      <c r="WC646"/>
      <c r="WD646"/>
      <c r="WE646"/>
      <c r="WF646"/>
      <c r="WG646"/>
      <c r="WH646"/>
      <c r="WI646"/>
      <c r="WJ646"/>
      <c r="WK646"/>
      <c r="WL646"/>
      <c r="WM646"/>
      <c r="WN646"/>
      <c r="WO646"/>
      <c r="WP646"/>
      <c r="WQ646"/>
      <c r="WR646"/>
      <c r="WS646"/>
      <c r="WT646"/>
      <c r="WU646"/>
      <c r="WV646"/>
      <c r="WW646"/>
      <c r="WX646"/>
      <c r="WY646"/>
      <c r="WZ646"/>
      <c r="XA646"/>
      <c r="XB646"/>
      <c r="XC646"/>
      <c r="XD646"/>
      <c r="XE646"/>
      <c r="XF646"/>
      <c r="XG646"/>
      <c r="XH646"/>
      <c r="XI646"/>
      <c r="XJ646"/>
      <c r="XK646"/>
      <c r="XL646"/>
      <c r="XM646"/>
      <c r="XN646"/>
      <c r="XO646"/>
      <c r="XP646"/>
      <c r="XQ646"/>
      <c r="XR646"/>
      <c r="XS646"/>
      <c r="XT646"/>
      <c r="XU646"/>
      <c r="XV646"/>
      <c r="XW646"/>
      <c r="XX646"/>
      <c r="XY646"/>
      <c r="XZ646"/>
      <c r="YA646"/>
      <c r="YB646"/>
      <c r="YC646"/>
      <c r="YD646"/>
      <c r="YE646"/>
      <c r="YF646"/>
      <c r="YG646"/>
      <c r="YH646"/>
      <c r="YI646"/>
      <c r="YJ646"/>
      <c r="YK646"/>
      <c r="YL646"/>
      <c r="YM646"/>
      <c r="YN646"/>
      <c r="YO646"/>
      <c r="YP646"/>
      <c r="YQ646"/>
      <c r="YR646"/>
      <c r="YS646"/>
      <c r="YT646"/>
      <c r="YU646"/>
      <c r="YV646"/>
      <c r="YW646"/>
      <c r="YX646"/>
      <c r="YY646"/>
      <c r="YZ646"/>
      <c r="ZA646"/>
      <c r="ZB646"/>
      <c r="ZC646"/>
      <c r="ZD646"/>
      <c r="ZE646"/>
      <c r="ZF646"/>
      <c r="ZG646"/>
      <c r="ZH646"/>
      <c r="ZI646"/>
      <c r="ZJ646"/>
      <c r="ZK646"/>
      <c r="ZL646"/>
      <c r="ZM646"/>
      <c r="ZN646"/>
      <c r="ZO646"/>
      <c r="ZP646"/>
      <c r="ZQ646"/>
      <c r="ZR646"/>
      <c r="ZS646"/>
      <c r="ZT646"/>
      <c r="ZU646"/>
      <c r="ZV646"/>
      <c r="ZW646"/>
      <c r="ZX646"/>
      <c r="ZY646"/>
      <c r="ZZ646" s="52"/>
      <c r="AAA646" s="192"/>
      <c r="AAD646" s="90"/>
      <c r="AAE646" s="519">
        <v>1</v>
      </c>
      <c r="AAF646" s="190" t="s">
        <v>52</v>
      </c>
      <c r="AAG646" s="94"/>
      <c r="AAH646" s="94"/>
      <c r="AAI646" s="72"/>
      <c r="AAJ646" s="185"/>
      <c r="AAK646" s="491"/>
      <c r="AAL646" s="90"/>
    </row>
    <row r="647" spans="1:715" ht="15" customHeight="1" outlineLevel="2">
      <c r="A647" s="171"/>
      <c r="B647" s="287" t="str">
        <f>AAK647</f>
        <v>- STAFF.RPT.Permanent</v>
      </c>
      <c r="C647" s="376" t="s">
        <v>0</v>
      </c>
      <c r="D647" s="423"/>
      <c r="E647" s="397">
        <f t="shared" ref="E647:E648" si="542">NETWORKDAYS(G647,H647,S.DDL_DEQClosed)</f>
        <v>70</v>
      </c>
      <c r="F647" s="457">
        <f t="shared" ref="F647:F671" ca="1" si="543">IF(YEAR(H647)&gt;2000,NETWORKDAYS(TODAY(),H647,S.DDL_DEQClosed),0)</f>
        <v>69</v>
      </c>
      <c r="G647" s="400">
        <f t="shared" ref="G647:H648" si="544">AAG647</f>
        <v>41572</v>
      </c>
      <c r="H647" s="400">
        <f t="shared" si="544"/>
        <v>41676</v>
      </c>
      <c r="I647" s="244"/>
      <c r="J647" s="194"/>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c r="BE647" s="49"/>
      <c r="BF647" s="49"/>
      <c r="BG647" s="49"/>
      <c r="BH647" s="49"/>
      <c r="BI647" s="49"/>
      <c r="BJ647" s="49"/>
      <c r="BK647" s="49"/>
      <c r="BL647" s="49"/>
      <c r="BM647" s="49"/>
      <c r="BN647" s="49"/>
      <c r="BO647" s="49"/>
      <c r="BP647" s="49"/>
      <c r="BQ647" s="49"/>
      <c r="BR647" s="49"/>
      <c r="BS647" s="49"/>
      <c r="BT647" s="49"/>
      <c r="BU647" s="49"/>
      <c r="BV647" s="49"/>
      <c r="BW647" s="49"/>
      <c r="BX647" s="49"/>
      <c r="BY647" s="49"/>
      <c r="BZ647" s="49"/>
      <c r="CA647" s="49"/>
      <c r="CB647" s="49"/>
      <c r="CC647" s="49"/>
      <c r="CD647" s="49"/>
      <c r="CE647" s="49"/>
      <c r="CF647" s="49"/>
      <c r="CG647" s="49"/>
      <c r="CH647" s="49"/>
      <c r="CI647" s="49"/>
      <c r="CJ647" s="49"/>
      <c r="CK647" s="49"/>
      <c r="CL647" s="49"/>
      <c r="CM647" s="49"/>
      <c r="CN647" s="49"/>
      <c r="CO647" s="49"/>
      <c r="CP647" s="49"/>
      <c r="CQ647" s="49"/>
      <c r="CR647" s="49"/>
      <c r="CS647" s="49"/>
      <c r="CT647" s="49"/>
      <c r="CU647" s="49"/>
      <c r="CV647" s="49"/>
      <c r="CW647" s="49"/>
      <c r="CX647" s="49"/>
      <c r="CY647" s="49"/>
      <c r="CZ647" s="49"/>
      <c r="DA647" s="49"/>
      <c r="DB647" s="49"/>
      <c r="DC647" s="49"/>
      <c r="DD647" s="49"/>
      <c r="DE647" s="49"/>
      <c r="DF647" s="49"/>
      <c r="DG647" s="49"/>
      <c r="DH647" s="49"/>
      <c r="DI647" s="49"/>
      <c r="DJ647" s="49"/>
      <c r="DK647" s="49"/>
      <c r="DL647" s="49"/>
      <c r="DM647" s="49"/>
      <c r="DN647" s="49"/>
      <c r="DO647" s="49"/>
      <c r="DP647" s="49"/>
      <c r="AAA647" s="192"/>
      <c r="AAD647" s="90"/>
      <c r="AAE647" s="519">
        <v>1</v>
      </c>
      <c r="AAF647" s="90"/>
      <c r="AAG647" s="73">
        <f>S.EQC.BANNER.Begin</f>
        <v>41572</v>
      </c>
      <c r="AAH647" s="73">
        <f t="shared" ref="AAH647:AAH675" si="545">S.EQC.SubmitStaffRpt</f>
        <v>41676</v>
      </c>
      <c r="AAI647" s="72"/>
      <c r="AAJ647" s="185"/>
      <c r="AAK647" s="80" t="str">
        <f>IF(S.General.RuleType="P","- STAFF.RPT.Permanent","- STAFF.RPT.Temporary")</f>
        <v>- STAFF.RPT.Permanent</v>
      </c>
      <c r="AAL647" s="90"/>
      <c r="AAM647"/>
    </row>
    <row r="648" spans="1:715" s="23" customFormat="1" ht="15" customHeight="1" outlineLevel="2">
      <c r="A648" s="171"/>
      <c r="B648" s="628" t="s">
        <v>257</v>
      </c>
      <c r="C648" s="376" t="s">
        <v>0</v>
      </c>
      <c r="D648" s="423"/>
      <c r="E648" s="397">
        <f t="shared" si="542"/>
        <v>70</v>
      </c>
      <c r="F648" s="457">
        <f t="shared" ca="1" si="543"/>
        <v>69</v>
      </c>
      <c r="G648" s="400">
        <f t="shared" si="544"/>
        <v>41572</v>
      </c>
      <c r="H648" s="400">
        <f t="shared" si="544"/>
        <v>41676</v>
      </c>
      <c r="I648" s="244"/>
      <c r="J648" s="194"/>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c r="BE648" s="49"/>
      <c r="BF648" s="49"/>
      <c r="BG648" s="49"/>
      <c r="BH648" s="49"/>
      <c r="BI648" s="49"/>
      <c r="BJ648" s="49"/>
      <c r="BK648" s="49"/>
      <c r="BL648" s="49"/>
      <c r="BM648" s="49"/>
      <c r="BN648" s="49"/>
      <c r="BO648" s="49"/>
      <c r="BP648" s="49"/>
      <c r="BQ648" s="49"/>
      <c r="BR648" s="49"/>
      <c r="BS648" s="49"/>
      <c r="BT648" s="49"/>
      <c r="BU648" s="49"/>
      <c r="BV648" s="49"/>
      <c r="BW648" s="49"/>
      <c r="BX648" s="49"/>
      <c r="BY648" s="49"/>
      <c r="BZ648" s="49"/>
      <c r="CA648" s="49"/>
      <c r="CB648" s="49"/>
      <c r="CC648" s="49"/>
      <c r="CD648" s="49"/>
      <c r="CE648" s="49"/>
      <c r="CF648" s="49"/>
      <c r="CG648" s="49"/>
      <c r="CH648" s="49"/>
      <c r="CI648" s="49"/>
      <c r="CJ648" s="49"/>
      <c r="CK648" s="49"/>
      <c r="CL648" s="49"/>
      <c r="CM648" s="49"/>
      <c r="CN648" s="49"/>
      <c r="CO648" s="49"/>
      <c r="CP648" s="49"/>
      <c r="CQ648" s="49"/>
      <c r="CR648" s="49"/>
      <c r="CS648" s="49"/>
      <c r="CT648" s="49"/>
      <c r="CU648" s="49"/>
      <c r="CV648" s="49"/>
      <c r="CW648" s="49"/>
      <c r="CX648" s="49"/>
      <c r="CY648" s="49"/>
      <c r="CZ648" s="49"/>
      <c r="DA648" s="49"/>
      <c r="DB648" s="49"/>
      <c r="DC648" s="49"/>
      <c r="DD648" s="49"/>
      <c r="DE648" s="49"/>
      <c r="DF648" s="49"/>
      <c r="DG648" s="49"/>
      <c r="DH648" s="49"/>
      <c r="DI648" s="49"/>
      <c r="DJ648" s="49"/>
      <c r="DK648" s="49"/>
      <c r="DL648" s="49"/>
      <c r="DM648" s="49"/>
      <c r="DN648" s="49"/>
      <c r="DO648" s="49"/>
      <c r="DP648" s="49"/>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c r="IW648"/>
      <c r="IX648"/>
      <c r="IY648"/>
      <c r="IZ648"/>
      <c r="JA648"/>
      <c r="JB648"/>
      <c r="JC648"/>
      <c r="JD648"/>
      <c r="JE648"/>
      <c r="JF648"/>
      <c r="JG648"/>
      <c r="JH648"/>
      <c r="JI648"/>
      <c r="JJ648"/>
      <c r="JK648"/>
      <c r="JL648"/>
      <c r="JM648"/>
      <c r="JN648"/>
      <c r="JO648"/>
      <c r="JP648"/>
      <c r="JQ648"/>
      <c r="JR648"/>
      <c r="JS648"/>
      <c r="JT648"/>
      <c r="JU648"/>
      <c r="JV648"/>
      <c r="JW648"/>
      <c r="JX648"/>
      <c r="JY648"/>
      <c r="JZ648"/>
      <c r="KA648"/>
      <c r="KB648"/>
      <c r="KC648"/>
      <c r="KD648"/>
      <c r="KE648"/>
      <c r="KF648"/>
      <c r="KG648"/>
      <c r="KH648"/>
      <c r="KI648"/>
      <c r="KJ648"/>
      <c r="KK648"/>
      <c r="KL648"/>
      <c r="KM648"/>
      <c r="KN648"/>
      <c r="KO648"/>
      <c r="KP648"/>
      <c r="KQ648"/>
      <c r="KR648"/>
      <c r="KS648"/>
      <c r="KT648"/>
      <c r="KU648"/>
      <c r="KV648"/>
      <c r="KW648"/>
      <c r="KX648"/>
      <c r="KY648"/>
      <c r="KZ648"/>
      <c r="LA648"/>
      <c r="LB648"/>
      <c r="LC648"/>
      <c r="LD648"/>
      <c r="LE648"/>
      <c r="LF648"/>
      <c r="LG648"/>
      <c r="LH648"/>
      <c r="LI648"/>
      <c r="LJ648"/>
      <c r="LK648"/>
      <c r="LL648"/>
      <c r="LM648"/>
      <c r="LN648"/>
      <c r="LO648"/>
      <c r="LP648"/>
      <c r="LQ648"/>
      <c r="LR648"/>
      <c r="LS648"/>
      <c r="LT648"/>
      <c r="LU648"/>
      <c r="LV648"/>
      <c r="LW648"/>
      <c r="LX648"/>
      <c r="LY648"/>
      <c r="LZ648"/>
      <c r="MA648"/>
      <c r="MB648"/>
      <c r="MC648"/>
      <c r="MD648"/>
      <c r="ME648"/>
      <c r="MF648"/>
      <c r="MG648"/>
      <c r="MH648"/>
      <c r="MI648"/>
      <c r="MJ648"/>
      <c r="MK648"/>
      <c r="ML648"/>
      <c r="MM648"/>
      <c r="MN648"/>
      <c r="MO648"/>
      <c r="MP648"/>
      <c r="MQ648"/>
      <c r="MR648"/>
      <c r="MS648"/>
      <c r="MT648"/>
      <c r="MU648"/>
      <c r="MV648"/>
      <c r="MW648"/>
      <c r="MX648"/>
      <c r="MY648"/>
      <c r="MZ648"/>
      <c r="NA648"/>
      <c r="NB648"/>
      <c r="NC648"/>
      <c r="ND648"/>
      <c r="NE648"/>
      <c r="NF648"/>
      <c r="NG648"/>
      <c r="NH648"/>
      <c r="NI648"/>
      <c r="NJ648"/>
      <c r="NK648"/>
      <c r="NL648"/>
      <c r="NM648"/>
      <c r="NN648"/>
      <c r="NO648"/>
      <c r="NP648"/>
      <c r="NQ648"/>
      <c r="NR648"/>
      <c r="NS648"/>
      <c r="NT648"/>
      <c r="NU648"/>
      <c r="NV648"/>
      <c r="NW648"/>
      <c r="NX648"/>
      <c r="NY648"/>
      <c r="NZ648"/>
      <c r="OA648"/>
      <c r="OB648"/>
      <c r="OC648"/>
      <c r="OD648"/>
      <c r="OE648"/>
      <c r="OF648"/>
      <c r="OG648"/>
      <c r="OH648"/>
      <c r="OI648"/>
      <c r="OJ648"/>
      <c r="OK648"/>
      <c r="OL648"/>
      <c r="OM648"/>
      <c r="ON648"/>
      <c r="OO648"/>
      <c r="OP648"/>
      <c r="OQ648"/>
      <c r="OR648"/>
      <c r="OS648"/>
      <c r="OT648"/>
      <c r="OU648"/>
      <c r="OV648"/>
      <c r="OW648"/>
      <c r="OX648"/>
      <c r="OY648"/>
      <c r="OZ648"/>
      <c r="PA648"/>
      <c r="PB648"/>
      <c r="PC648"/>
      <c r="PD648"/>
      <c r="PE648"/>
      <c r="PF648"/>
      <c r="PG648"/>
      <c r="PH648"/>
      <c r="PI648"/>
      <c r="PJ648"/>
      <c r="PK648"/>
      <c r="PL648"/>
      <c r="PM648"/>
      <c r="PN648"/>
      <c r="PO648"/>
      <c r="PP648"/>
      <c r="PQ648"/>
      <c r="PR648"/>
      <c r="PS648"/>
      <c r="PT648"/>
      <c r="PU648"/>
      <c r="PV648"/>
      <c r="PW648"/>
      <c r="PX648"/>
      <c r="PY648"/>
      <c r="PZ648"/>
      <c r="QA648"/>
      <c r="QB648"/>
      <c r="QC648"/>
      <c r="QD648"/>
      <c r="QE648"/>
      <c r="QF648"/>
      <c r="QG648"/>
      <c r="QH648"/>
      <c r="QI648"/>
      <c r="QJ648"/>
      <c r="QK648"/>
      <c r="QL648"/>
      <c r="QM648"/>
      <c r="QN648"/>
      <c r="QO648"/>
      <c r="QP648"/>
      <c r="QQ648"/>
      <c r="QR648"/>
      <c r="QS648"/>
      <c r="QT648"/>
      <c r="QU648"/>
      <c r="QV648"/>
      <c r="QW648"/>
      <c r="QX648"/>
      <c r="QY648"/>
      <c r="QZ648"/>
      <c r="RA648"/>
      <c r="RB648"/>
      <c r="RC648"/>
      <c r="RD648"/>
      <c r="RE648"/>
      <c r="RF648"/>
      <c r="RG648"/>
      <c r="RH648"/>
      <c r="RI648"/>
      <c r="RJ648"/>
      <c r="RK648"/>
      <c r="RL648"/>
      <c r="RM648"/>
      <c r="RN648"/>
      <c r="RO648"/>
      <c r="RP648"/>
      <c r="RQ648"/>
      <c r="RR648"/>
      <c r="RS648"/>
      <c r="RT648"/>
      <c r="RU648"/>
      <c r="RV648"/>
      <c r="RW648"/>
      <c r="RX648"/>
      <c r="RY648"/>
      <c r="RZ648"/>
      <c r="SA648"/>
      <c r="SB648"/>
      <c r="SC648"/>
      <c r="SD648"/>
      <c r="SE648"/>
      <c r="SF648"/>
      <c r="SG648"/>
      <c r="SH648"/>
      <c r="SI648"/>
      <c r="SJ648"/>
      <c r="SK648"/>
      <c r="SL648"/>
      <c r="SM648"/>
      <c r="SN648"/>
      <c r="SO648"/>
      <c r="SP648"/>
      <c r="SQ648"/>
      <c r="SR648"/>
      <c r="SS648"/>
      <c r="ST648"/>
      <c r="SU648"/>
      <c r="SV648"/>
      <c r="SW648"/>
      <c r="SX648"/>
      <c r="SY648"/>
      <c r="SZ648"/>
      <c r="TA648"/>
      <c r="TB648"/>
      <c r="TC648"/>
      <c r="TD648"/>
      <c r="TE648"/>
      <c r="TF648"/>
      <c r="TG648"/>
      <c r="TH648"/>
      <c r="TI648"/>
      <c r="TJ648"/>
      <c r="TK648"/>
      <c r="TL648"/>
      <c r="TM648"/>
      <c r="TN648"/>
      <c r="TO648"/>
      <c r="TP648"/>
      <c r="TQ648"/>
      <c r="TR648"/>
      <c r="TS648"/>
      <c r="TT648"/>
      <c r="TU648"/>
      <c r="TV648"/>
      <c r="TW648"/>
      <c r="TX648"/>
      <c r="TY648"/>
      <c r="TZ648"/>
      <c r="UA648"/>
      <c r="UB648"/>
      <c r="UC648"/>
      <c r="UD648"/>
      <c r="UE648"/>
      <c r="UF648"/>
      <c r="UG648"/>
      <c r="UH648"/>
      <c r="UI648"/>
      <c r="UJ648"/>
      <c r="UK648"/>
      <c r="UL648"/>
      <c r="UM648"/>
      <c r="UN648"/>
      <c r="UO648"/>
      <c r="UP648"/>
      <c r="UQ648"/>
      <c r="UR648"/>
      <c r="US648"/>
      <c r="UT648"/>
      <c r="UU648"/>
      <c r="UV648"/>
      <c r="UW648"/>
      <c r="UX648"/>
      <c r="UY648"/>
      <c r="UZ648"/>
      <c r="VA648"/>
      <c r="VB648"/>
      <c r="VC648"/>
      <c r="VD648"/>
      <c r="VE648"/>
      <c r="VF648"/>
      <c r="VG648"/>
      <c r="VH648"/>
      <c r="VI648"/>
      <c r="VJ648"/>
      <c r="VK648"/>
      <c r="VL648"/>
      <c r="VM648"/>
      <c r="VN648"/>
      <c r="VO648"/>
      <c r="VP648"/>
      <c r="VQ648"/>
      <c r="VR648"/>
      <c r="VS648"/>
      <c r="VT648"/>
      <c r="VU648"/>
      <c r="VV648"/>
      <c r="VW648"/>
      <c r="VX648"/>
      <c r="VY648"/>
      <c r="VZ648"/>
      <c r="WA648"/>
      <c r="WB648"/>
      <c r="WC648"/>
      <c r="WD648"/>
      <c r="WE648"/>
      <c r="WF648"/>
      <c r="WG648"/>
      <c r="WH648"/>
      <c r="WI648"/>
      <c r="WJ648"/>
      <c r="WK648"/>
      <c r="WL648"/>
      <c r="WM648"/>
      <c r="WN648"/>
      <c r="WO648"/>
      <c r="WP648"/>
      <c r="WQ648"/>
      <c r="WR648"/>
      <c r="WS648"/>
      <c r="WT648"/>
      <c r="WU648"/>
      <c r="WV648"/>
      <c r="WW648"/>
      <c r="WX648"/>
      <c r="WY648"/>
      <c r="WZ648"/>
      <c r="XA648"/>
      <c r="XB648"/>
      <c r="XC648"/>
      <c r="XD648"/>
      <c r="XE648"/>
      <c r="XF648"/>
      <c r="XG648"/>
      <c r="XH648"/>
      <c r="XI648"/>
      <c r="XJ648"/>
      <c r="XK648"/>
      <c r="XL648"/>
      <c r="XM648"/>
      <c r="XN648"/>
      <c r="XO648"/>
      <c r="XP648"/>
      <c r="XQ648"/>
      <c r="XR648"/>
      <c r="XS648"/>
      <c r="XT648"/>
      <c r="XU648"/>
      <c r="XV648"/>
      <c r="XW648"/>
      <c r="XX648"/>
      <c r="XY648"/>
      <c r="XZ648"/>
      <c r="YA648"/>
      <c r="YB648"/>
      <c r="YC648"/>
      <c r="YD648"/>
      <c r="YE648"/>
      <c r="YF648"/>
      <c r="YG648"/>
      <c r="YH648"/>
      <c r="YI648"/>
      <c r="YJ648"/>
      <c r="YK648"/>
      <c r="YL648"/>
      <c r="YM648"/>
      <c r="YN648"/>
      <c r="YO648"/>
      <c r="YP648"/>
      <c r="YQ648"/>
      <c r="YR648"/>
      <c r="YS648"/>
      <c r="YT648"/>
      <c r="YU648"/>
      <c r="YV648"/>
      <c r="YW648"/>
      <c r="YX648"/>
      <c r="YY648"/>
      <c r="YZ648"/>
      <c r="ZA648"/>
      <c r="ZB648"/>
      <c r="ZC648"/>
      <c r="ZD648"/>
      <c r="ZE648"/>
      <c r="ZF648"/>
      <c r="ZG648"/>
      <c r="ZH648"/>
      <c r="ZI648"/>
      <c r="ZJ648"/>
      <c r="ZK648"/>
      <c r="ZL648"/>
      <c r="ZM648"/>
      <c r="ZN648"/>
      <c r="ZO648"/>
      <c r="ZP648"/>
      <c r="ZQ648"/>
      <c r="ZR648"/>
      <c r="ZS648"/>
      <c r="ZT648"/>
      <c r="ZU648"/>
      <c r="ZV648"/>
      <c r="ZW648"/>
      <c r="ZX648"/>
      <c r="ZY648"/>
      <c r="ZZ648" s="52"/>
      <c r="AAA648" s="192"/>
      <c r="AAD648" s="90"/>
      <c r="AAE648" s="519">
        <v>1</v>
      </c>
      <c r="AAF648" s="90"/>
      <c r="AAG648" s="73">
        <f>S.EQC.BANNER.Begin</f>
        <v>41572</v>
      </c>
      <c r="AAH648" s="73">
        <f t="shared" si="545"/>
        <v>41676</v>
      </c>
      <c r="AAI648" s="72"/>
      <c r="AAJ648" s="185"/>
      <c r="AAK648" s="185" t="s">
        <v>0</v>
      </c>
      <c r="AAL648" s="90"/>
    </row>
    <row r="649" spans="1:715" s="23" customFormat="1" ht="15" customHeight="1" outlineLevel="2">
      <c r="A649" s="171"/>
      <c r="B649" s="701" t="s">
        <v>258</v>
      </c>
      <c r="C649" s="376" t="s">
        <v>0</v>
      </c>
      <c r="D649" s="423"/>
      <c r="E649" s="397">
        <f t="shared" ref="E649" si="546">NETWORKDAYS(G649,H649,S.DDL_DEQClosed)</f>
        <v>70</v>
      </c>
      <c r="F649" s="457">
        <f t="shared" ca="1" si="543"/>
        <v>69</v>
      </c>
      <c r="G649" s="400">
        <f t="shared" ref="G649" si="547">AAG649</f>
        <v>41572</v>
      </c>
      <c r="H649" s="400">
        <f t="shared" ref="H649" si="548">AAH649</f>
        <v>41676</v>
      </c>
      <c r="I649" s="244"/>
      <c r="J649" s="194"/>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49"/>
      <c r="BF649" s="49"/>
      <c r="BG649" s="49"/>
      <c r="BH649" s="49"/>
      <c r="BI649" s="49"/>
      <c r="BJ649" s="49"/>
      <c r="BK649" s="49"/>
      <c r="BL649" s="49"/>
      <c r="BM649" s="49"/>
      <c r="BN649" s="49"/>
      <c r="BO649" s="49"/>
      <c r="BP649" s="49"/>
      <c r="BQ649" s="49"/>
      <c r="BR649" s="49"/>
      <c r="BS649" s="49"/>
      <c r="BT649" s="49"/>
      <c r="BU649" s="49"/>
      <c r="BV649" s="49"/>
      <c r="BW649" s="49"/>
      <c r="BX649" s="49"/>
      <c r="BY649" s="49"/>
      <c r="BZ649" s="49"/>
      <c r="CA649" s="49"/>
      <c r="CB649" s="49"/>
      <c r="CC649" s="49"/>
      <c r="CD649" s="49"/>
      <c r="CE649" s="49"/>
      <c r="CF649" s="49"/>
      <c r="CG649" s="49"/>
      <c r="CH649" s="49"/>
      <c r="CI649" s="49"/>
      <c r="CJ649" s="49"/>
      <c r="CK649" s="49"/>
      <c r="CL649" s="49"/>
      <c r="CM649" s="49"/>
      <c r="CN649" s="49"/>
      <c r="CO649" s="49"/>
      <c r="CP649" s="49"/>
      <c r="CQ649" s="49"/>
      <c r="CR649" s="49"/>
      <c r="CS649" s="49"/>
      <c r="CT649" s="49"/>
      <c r="CU649" s="49"/>
      <c r="CV649" s="49"/>
      <c r="CW649" s="49"/>
      <c r="CX649" s="49"/>
      <c r="CY649" s="49"/>
      <c r="CZ649" s="49"/>
      <c r="DA649" s="49"/>
      <c r="DB649" s="49"/>
      <c r="DC649" s="49"/>
      <c r="DD649" s="49"/>
      <c r="DE649" s="49"/>
      <c r="DF649" s="49"/>
      <c r="DG649" s="49"/>
      <c r="DH649" s="49"/>
      <c r="DI649" s="49"/>
      <c r="DJ649" s="49"/>
      <c r="DK649" s="49"/>
      <c r="DL649" s="49"/>
      <c r="DM649" s="49"/>
      <c r="DN649" s="49"/>
      <c r="DO649" s="49"/>
      <c r="DP649" s="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c r="IW649"/>
      <c r="IX649"/>
      <c r="IY649"/>
      <c r="IZ649"/>
      <c r="JA649"/>
      <c r="JB649"/>
      <c r="JC649"/>
      <c r="JD649"/>
      <c r="JE649"/>
      <c r="JF649"/>
      <c r="JG649"/>
      <c r="JH649"/>
      <c r="JI649"/>
      <c r="JJ649"/>
      <c r="JK649"/>
      <c r="JL649"/>
      <c r="JM649"/>
      <c r="JN649"/>
      <c r="JO649"/>
      <c r="JP649"/>
      <c r="JQ649"/>
      <c r="JR649"/>
      <c r="JS649"/>
      <c r="JT649"/>
      <c r="JU649"/>
      <c r="JV649"/>
      <c r="JW649"/>
      <c r="JX649"/>
      <c r="JY649"/>
      <c r="JZ649"/>
      <c r="KA649"/>
      <c r="KB649"/>
      <c r="KC649"/>
      <c r="KD649"/>
      <c r="KE649"/>
      <c r="KF649"/>
      <c r="KG649"/>
      <c r="KH649"/>
      <c r="KI649"/>
      <c r="KJ649"/>
      <c r="KK649"/>
      <c r="KL649"/>
      <c r="KM649"/>
      <c r="KN649"/>
      <c r="KO649"/>
      <c r="KP649"/>
      <c r="KQ649"/>
      <c r="KR649"/>
      <c r="KS649"/>
      <c r="KT649"/>
      <c r="KU649"/>
      <c r="KV649"/>
      <c r="KW649"/>
      <c r="KX649"/>
      <c r="KY649"/>
      <c r="KZ649"/>
      <c r="LA649"/>
      <c r="LB649"/>
      <c r="LC649"/>
      <c r="LD649"/>
      <c r="LE649"/>
      <c r="LF649"/>
      <c r="LG649"/>
      <c r="LH649"/>
      <c r="LI649"/>
      <c r="LJ649"/>
      <c r="LK649"/>
      <c r="LL649"/>
      <c r="LM649"/>
      <c r="LN649"/>
      <c r="LO649"/>
      <c r="LP649"/>
      <c r="LQ649"/>
      <c r="LR649"/>
      <c r="LS649"/>
      <c r="LT649"/>
      <c r="LU649"/>
      <c r="LV649"/>
      <c r="LW649"/>
      <c r="LX649"/>
      <c r="LY649"/>
      <c r="LZ649"/>
      <c r="MA649"/>
      <c r="MB649"/>
      <c r="MC649"/>
      <c r="MD649"/>
      <c r="ME649"/>
      <c r="MF649"/>
      <c r="MG649"/>
      <c r="MH649"/>
      <c r="MI649"/>
      <c r="MJ649"/>
      <c r="MK649"/>
      <c r="ML649"/>
      <c r="MM649"/>
      <c r="MN649"/>
      <c r="MO649"/>
      <c r="MP649"/>
      <c r="MQ649"/>
      <c r="MR649"/>
      <c r="MS649"/>
      <c r="MT649"/>
      <c r="MU649"/>
      <c r="MV649"/>
      <c r="MW649"/>
      <c r="MX649"/>
      <c r="MY649"/>
      <c r="MZ649"/>
      <c r="NA649"/>
      <c r="NB649"/>
      <c r="NC649"/>
      <c r="ND649"/>
      <c r="NE649"/>
      <c r="NF649"/>
      <c r="NG649"/>
      <c r="NH649"/>
      <c r="NI649"/>
      <c r="NJ649"/>
      <c r="NK649"/>
      <c r="NL649"/>
      <c r="NM649"/>
      <c r="NN649"/>
      <c r="NO649"/>
      <c r="NP649"/>
      <c r="NQ649"/>
      <c r="NR649"/>
      <c r="NS649"/>
      <c r="NT649"/>
      <c r="NU649"/>
      <c r="NV649"/>
      <c r="NW649"/>
      <c r="NX649"/>
      <c r="NY649"/>
      <c r="NZ649"/>
      <c r="OA649"/>
      <c r="OB649"/>
      <c r="OC649"/>
      <c r="OD649"/>
      <c r="OE649"/>
      <c r="OF649"/>
      <c r="OG649"/>
      <c r="OH649"/>
      <c r="OI649"/>
      <c r="OJ649"/>
      <c r="OK649"/>
      <c r="OL649"/>
      <c r="OM649"/>
      <c r="ON649"/>
      <c r="OO649"/>
      <c r="OP649"/>
      <c r="OQ649"/>
      <c r="OR649"/>
      <c r="OS649"/>
      <c r="OT649"/>
      <c r="OU649"/>
      <c r="OV649"/>
      <c r="OW649"/>
      <c r="OX649"/>
      <c r="OY649"/>
      <c r="OZ649"/>
      <c r="PA649"/>
      <c r="PB649"/>
      <c r="PC649"/>
      <c r="PD649"/>
      <c r="PE649"/>
      <c r="PF649"/>
      <c r="PG649"/>
      <c r="PH649"/>
      <c r="PI649"/>
      <c r="PJ649"/>
      <c r="PK649"/>
      <c r="PL649"/>
      <c r="PM649"/>
      <c r="PN649"/>
      <c r="PO649"/>
      <c r="PP649"/>
      <c r="PQ649"/>
      <c r="PR649"/>
      <c r="PS649"/>
      <c r="PT649"/>
      <c r="PU649"/>
      <c r="PV649"/>
      <c r="PW649"/>
      <c r="PX649"/>
      <c r="PY649"/>
      <c r="PZ649"/>
      <c r="QA649"/>
      <c r="QB649"/>
      <c r="QC649"/>
      <c r="QD649"/>
      <c r="QE649"/>
      <c r="QF649"/>
      <c r="QG649"/>
      <c r="QH649"/>
      <c r="QI649"/>
      <c r="QJ649"/>
      <c r="QK649"/>
      <c r="QL649"/>
      <c r="QM649"/>
      <c r="QN649"/>
      <c r="QO649"/>
      <c r="QP649"/>
      <c r="QQ649"/>
      <c r="QR649"/>
      <c r="QS649"/>
      <c r="QT649"/>
      <c r="QU649"/>
      <c r="QV649"/>
      <c r="QW649"/>
      <c r="QX649"/>
      <c r="QY649"/>
      <c r="QZ649"/>
      <c r="RA649"/>
      <c r="RB649"/>
      <c r="RC649"/>
      <c r="RD649"/>
      <c r="RE649"/>
      <c r="RF649"/>
      <c r="RG649"/>
      <c r="RH649"/>
      <c r="RI649"/>
      <c r="RJ649"/>
      <c r="RK649"/>
      <c r="RL649"/>
      <c r="RM649"/>
      <c r="RN649"/>
      <c r="RO649"/>
      <c r="RP649"/>
      <c r="RQ649"/>
      <c r="RR649"/>
      <c r="RS649"/>
      <c r="RT649"/>
      <c r="RU649"/>
      <c r="RV649"/>
      <c r="RW649"/>
      <c r="RX649"/>
      <c r="RY649"/>
      <c r="RZ649"/>
      <c r="SA649"/>
      <c r="SB649"/>
      <c r="SC649"/>
      <c r="SD649"/>
      <c r="SE649"/>
      <c r="SF649"/>
      <c r="SG649"/>
      <c r="SH649"/>
      <c r="SI649"/>
      <c r="SJ649"/>
      <c r="SK649"/>
      <c r="SL649"/>
      <c r="SM649"/>
      <c r="SN649"/>
      <c r="SO649"/>
      <c r="SP649"/>
      <c r="SQ649"/>
      <c r="SR649"/>
      <c r="SS649"/>
      <c r="ST649"/>
      <c r="SU649"/>
      <c r="SV649"/>
      <c r="SW649"/>
      <c r="SX649"/>
      <c r="SY649"/>
      <c r="SZ649"/>
      <c r="TA649"/>
      <c r="TB649"/>
      <c r="TC649"/>
      <c r="TD649"/>
      <c r="TE649"/>
      <c r="TF649"/>
      <c r="TG649"/>
      <c r="TH649"/>
      <c r="TI649"/>
      <c r="TJ649"/>
      <c r="TK649"/>
      <c r="TL649"/>
      <c r="TM649"/>
      <c r="TN649"/>
      <c r="TO649"/>
      <c r="TP649"/>
      <c r="TQ649"/>
      <c r="TR649"/>
      <c r="TS649"/>
      <c r="TT649"/>
      <c r="TU649"/>
      <c r="TV649"/>
      <c r="TW649"/>
      <c r="TX649"/>
      <c r="TY649"/>
      <c r="TZ649"/>
      <c r="UA649"/>
      <c r="UB649"/>
      <c r="UC649"/>
      <c r="UD649"/>
      <c r="UE649"/>
      <c r="UF649"/>
      <c r="UG649"/>
      <c r="UH649"/>
      <c r="UI649"/>
      <c r="UJ649"/>
      <c r="UK649"/>
      <c r="UL649"/>
      <c r="UM649"/>
      <c r="UN649"/>
      <c r="UO649"/>
      <c r="UP649"/>
      <c r="UQ649"/>
      <c r="UR649"/>
      <c r="US649"/>
      <c r="UT649"/>
      <c r="UU649"/>
      <c r="UV649"/>
      <c r="UW649"/>
      <c r="UX649"/>
      <c r="UY649"/>
      <c r="UZ649"/>
      <c r="VA649"/>
      <c r="VB649"/>
      <c r="VC649"/>
      <c r="VD649"/>
      <c r="VE649"/>
      <c r="VF649"/>
      <c r="VG649"/>
      <c r="VH649"/>
      <c r="VI649"/>
      <c r="VJ649"/>
      <c r="VK649"/>
      <c r="VL649"/>
      <c r="VM649"/>
      <c r="VN649"/>
      <c r="VO649"/>
      <c r="VP649"/>
      <c r="VQ649"/>
      <c r="VR649"/>
      <c r="VS649"/>
      <c r="VT649"/>
      <c r="VU649"/>
      <c r="VV649"/>
      <c r="VW649"/>
      <c r="VX649"/>
      <c r="VY649"/>
      <c r="VZ649"/>
      <c r="WA649"/>
      <c r="WB649"/>
      <c r="WC649"/>
      <c r="WD649"/>
      <c r="WE649"/>
      <c r="WF649"/>
      <c r="WG649"/>
      <c r="WH649"/>
      <c r="WI649"/>
      <c r="WJ649"/>
      <c r="WK649"/>
      <c r="WL649"/>
      <c r="WM649"/>
      <c r="WN649"/>
      <c r="WO649"/>
      <c r="WP649"/>
      <c r="WQ649"/>
      <c r="WR649"/>
      <c r="WS649"/>
      <c r="WT649"/>
      <c r="WU649"/>
      <c r="WV649"/>
      <c r="WW649"/>
      <c r="WX649"/>
      <c r="WY649"/>
      <c r="WZ649"/>
      <c r="XA649"/>
      <c r="XB649"/>
      <c r="XC649"/>
      <c r="XD649"/>
      <c r="XE649"/>
      <c r="XF649"/>
      <c r="XG649"/>
      <c r="XH649"/>
      <c r="XI649"/>
      <c r="XJ649"/>
      <c r="XK649"/>
      <c r="XL649"/>
      <c r="XM649"/>
      <c r="XN649"/>
      <c r="XO649"/>
      <c r="XP649"/>
      <c r="XQ649"/>
      <c r="XR649"/>
      <c r="XS649"/>
      <c r="XT649"/>
      <c r="XU649"/>
      <c r="XV649"/>
      <c r="XW649"/>
      <c r="XX649"/>
      <c r="XY649"/>
      <c r="XZ649"/>
      <c r="YA649"/>
      <c r="YB649"/>
      <c r="YC649"/>
      <c r="YD649"/>
      <c r="YE649"/>
      <c r="YF649"/>
      <c r="YG649"/>
      <c r="YH649"/>
      <c r="YI649"/>
      <c r="YJ649"/>
      <c r="YK649"/>
      <c r="YL649"/>
      <c r="YM649"/>
      <c r="YN649"/>
      <c r="YO649"/>
      <c r="YP649"/>
      <c r="YQ649"/>
      <c r="YR649"/>
      <c r="YS649"/>
      <c r="YT649"/>
      <c r="YU649"/>
      <c r="YV649"/>
      <c r="YW649"/>
      <c r="YX649"/>
      <c r="YY649"/>
      <c r="YZ649"/>
      <c r="ZA649"/>
      <c r="ZB649"/>
      <c r="ZC649"/>
      <c r="ZD649"/>
      <c r="ZE649"/>
      <c r="ZF649"/>
      <c r="ZG649"/>
      <c r="ZH649"/>
      <c r="ZI649"/>
      <c r="ZJ649"/>
      <c r="ZK649"/>
      <c r="ZL649"/>
      <c r="ZM649"/>
      <c r="ZN649"/>
      <c r="ZO649"/>
      <c r="ZP649"/>
      <c r="ZQ649"/>
      <c r="ZR649"/>
      <c r="ZS649"/>
      <c r="ZT649"/>
      <c r="ZU649"/>
      <c r="ZV649"/>
      <c r="ZW649"/>
      <c r="ZX649"/>
      <c r="ZY649"/>
      <c r="ZZ649" s="52"/>
      <c r="AAA649" s="192"/>
      <c r="AAD649" s="90"/>
      <c r="AAE649" s="519">
        <v>1</v>
      </c>
      <c r="AAF649" s="90"/>
      <c r="AAG649" s="73">
        <f>S.EQC.BANNER.Begin</f>
        <v>41572</v>
      </c>
      <c r="AAH649" s="73">
        <f t="shared" si="545"/>
        <v>41676</v>
      </c>
      <c r="AAI649" s="72"/>
      <c r="AAJ649" s="185"/>
      <c r="AAK649" s="185" t="s">
        <v>0</v>
      </c>
      <c r="AAL649" s="90"/>
    </row>
    <row r="650" spans="1:715" s="23" customFormat="1" ht="15" customHeight="1" outlineLevel="2">
      <c r="A650" s="171"/>
      <c r="B650" s="703" t="s">
        <v>373</v>
      </c>
      <c r="C650" s="376" t="s">
        <v>0</v>
      </c>
      <c r="D650"/>
      <c r="E650"/>
      <c r="F650"/>
      <c r="G650"/>
      <c r="H650"/>
      <c r="I650" s="244"/>
      <c r="J650" s="194"/>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c r="BE650" s="49"/>
      <c r="BF650" s="49"/>
      <c r="BG650" s="49"/>
      <c r="BH650" s="49"/>
      <c r="BI650" s="49"/>
      <c r="BJ650" s="49"/>
      <c r="BK650" s="49"/>
      <c r="BL650" s="49"/>
      <c r="BM650" s="49"/>
      <c r="BN650" s="49"/>
      <c r="BO650" s="49"/>
      <c r="BP650" s="49"/>
      <c r="BQ650" s="49"/>
      <c r="BR650" s="49"/>
      <c r="BS650" s="49"/>
      <c r="BT650" s="49"/>
      <c r="BU650" s="49"/>
      <c r="BV650" s="49"/>
      <c r="BW650" s="49"/>
      <c r="BX650" s="49"/>
      <c r="BY650" s="49"/>
      <c r="BZ650" s="49"/>
      <c r="CA650" s="49"/>
      <c r="CB650" s="49"/>
      <c r="CC650" s="49"/>
      <c r="CD650" s="49"/>
      <c r="CE650" s="49"/>
      <c r="CF650" s="49"/>
      <c r="CG650" s="49"/>
      <c r="CH650" s="49"/>
      <c r="CI650" s="49"/>
      <c r="CJ650" s="49"/>
      <c r="CK650" s="49"/>
      <c r="CL650" s="49"/>
      <c r="CM650" s="49"/>
      <c r="CN650" s="49"/>
      <c r="CO650" s="49"/>
      <c r="CP650" s="49"/>
      <c r="CQ650" s="49"/>
      <c r="CR650" s="49"/>
      <c r="CS650" s="49"/>
      <c r="CT650" s="49"/>
      <c r="CU650" s="49"/>
      <c r="CV650" s="49"/>
      <c r="CW650" s="49"/>
      <c r="CX650" s="49"/>
      <c r="CY650" s="49"/>
      <c r="CZ650" s="49"/>
      <c r="DA650" s="49"/>
      <c r="DB650" s="49"/>
      <c r="DC650" s="49"/>
      <c r="DD650" s="49"/>
      <c r="DE650" s="49"/>
      <c r="DF650" s="49"/>
      <c r="DG650" s="49"/>
      <c r="DH650" s="49"/>
      <c r="DI650" s="49"/>
      <c r="DJ650" s="49"/>
      <c r="DK650" s="49"/>
      <c r="DL650" s="49"/>
      <c r="DM650" s="49"/>
      <c r="DN650" s="49"/>
      <c r="DO650" s="49"/>
      <c r="DP650" s="49"/>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c r="IW650"/>
      <c r="IX650"/>
      <c r="IY650"/>
      <c r="IZ650"/>
      <c r="JA650"/>
      <c r="JB650"/>
      <c r="JC650"/>
      <c r="JD650"/>
      <c r="JE650"/>
      <c r="JF650"/>
      <c r="JG650"/>
      <c r="JH650"/>
      <c r="JI650"/>
      <c r="JJ650"/>
      <c r="JK650"/>
      <c r="JL650"/>
      <c r="JM650"/>
      <c r="JN650"/>
      <c r="JO650"/>
      <c r="JP650"/>
      <c r="JQ650"/>
      <c r="JR650"/>
      <c r="JS650"/>
      <c r="JT650"/>
      <c r="JU650"/>
      <c r="JV650"/>
      <c r="JW650"/>
      <c r="JX650"/>
      <c r="JY650"/>
      <c r="JZ650"/>
      <c r="KA650"/>
      <c r="KB650"/>
      <c r="KC650"/>
      <c r="KD650"/>
      <c r="KE650"/>
      <c r="KF650"/>
      <c r="KG650"/>
      <c r="KH650"/>
      <c r="KI650"/>
      <c r="KJ650"/>
      <c r="KK650"/>
      <c r="KL650"/>
      <c r="KM650"/>
      <c r="KN650"/>
      <c r="KO650"/>
      <c r="KP650"/>
      <c r="KQ650"/>
      <c r="KR650"/>
      <c r="KS650"/>
      <c r="KT650"/>
      <c r="KU650"/>
      <c r="KV650"/>
      <c r="KW650"/>
      <c r="KX650"/>
      <c r="KY650"/>
      <c r="KZ650"/>
      <c r="LA650"/>
      <c r="LB650"/>
      <c r="LC650"/>
      <c r="LD650"/>
      <c r="LE650"/>
      <c r="LF650"/>
      <c r="LG650"/>
      <c r="LH650"/>
      <c r="LI650"/>
      <c r="LJ650"/>
      <c r="LK650"/>
      <c r="LL650"/>
      <c r="LM650"/>
      <c r="LN650"/>
      <c r="LO650"/>
      <c r="LP650"/>
      <c r="LQ650"/>
      <c r="LR650"/>
      <c r="LS650"/>
      <c r="LT650"/>
      <c r="LU650"/>
      <c r="LV650"/>
      <c r="LW650"/>
      <c r="LX650"/>
      <c r="LY650"/>
      <c r="LZ650"/>
      <c r="MA650"/>
      <c r="MB650"/>
      <c r="MC650"/>
      <c r="MD650"/>
      <c r="ME650"/>
      <c r="MF650"/>
      <c r="MG650"/>
      <c r="MH650"/>
      <c r="MI650"/>
      <c r="MJ650"/>
      <c r="MK650"/>
      <c r="ML650"/>
      <c r="MM650"/>
      <c r="MN650"/>
      <c r="MO650"/>
      <c r="MP650"/>
      <c r="MQ650"/>
      <c r="MR650"/>
      <c r="MS650"/>
      <c r="MT650"/>
      <c r="MU650"/>
      <c r="MV650"/>
      <c r="MW650"/>
      <c r="MX650"/>
      <c r="MY650"/>
      <c r="MZ650"/>
      <c r="NA650"/>
      <c r="NB650"/>
      <c r="NC650"/>
      <c r="ND650"/>
      <c r="NE650"/>
      <c r="NF650"/>
      <c r="NG650"/>
      <c r="NH650"/>
      <c r="NI650"/>
      <c r="NJ650"/>
      <c r="NK650"/>
      <c r="NL650"/>
      <c r="NM650"/>
      <c r="NN650"/>
      <c r="NO650"/>
      <c r="NP650"/>
      <c r="NQ650"/>
      <c r="NR650"/>
      <c r="NS650"/>
      <c r="NT650"/>
      <c r="NU650"/>
      <c r="NV650"/>
      <c r="NW650"/>
      <c r="NX650"/>
      <c r="NY650"/>
      <c r="NZ650"/>
      <c r="OA650"/>
      <c r="OB650"/>
      <c r="OC650"/>
      <c r="OD650"/>
      <c r="OE650"/>
      <c r="OF650"/>
      <c r="OG650"/>
      <c r="OH650"/>
      <c r="OI650"/>
      <c r="OJ650"/>
      <c r="OK650"/>
      <c r="OL650"/>
      <c r="OM650"/>
      <c r="ON650"/>
      <c r="OO650"/>
      <c r="OP650"/>
      <c r="OQ650"/>
      <c r="OR650"/>
      <c r="OS650"/>
      <c r="OT650"/>
      <c r="OU650"/>
      <c r="OV650"/>
      <c r="OW650"/>
      <c r="OX650"/>
      <c r="OY650"/>
      <c r="OZ650"/>
      <c r="PA650"/>
      <c r="PB650"/>
      <c r="PC650"/>
      <c r="PD650"/>
      <c r="PE650"/>
      <c r="PF650"/>
      <c r="PG650"/>
      <c r="PH650"/>
      <c r="PI650"/>
      <c r="PJ650"/>
      <c r="PK650"/>
      <c r="PL650"/>
      <c r="PM650"/>
      <c r="PN650"/>
      <c r="PO650"/>
      <c r="PP650"/>
      <c r="PQ650"/>
      <c r="PR650"/>
      <c r="PS650"/>
      <c r="PT650"/>
      <c r="PU650"/>
      <c r="PV650"/>
      <c r="PW650"/>
      <c r="PX650"/>
      <c r="PY650"/>
      <c r="PZ650"/>
      <c r="QA650"/>
      <c r="QB650"/>
      <c r="QC650"/>
      <c r="QD650"/>
      <c r="QE650"/>
      <c r="QF650"/>
      <c r="QG650"/>
      <c r="QH650"/>
      <c r="QI650"/>
      <c r="QJ650"/>
      <c r="QK650"/>
      <c r="QL650"/>
      <c r="QM650"/>
      <c r="QN650"/>
      <c r="QO650"/>
      <c r="QP650"/>
      <c r="QQ650"/>
      <c r="QR650"/>
      <c r="QS650"/>
      <c r="QT650"/>
      <c r="QU650"/>
      <c r="QV650"/>
      <c r="QW650"/>
      <c r="QX650"/>
      <c r="QY650"/>
      <c r="QZ650"/>
      <c r="RA650"/>
      <c r="RB650"/>
      <c r="RC650"/>
      <c r="RD650"/>
      <c r="RE650"/>
      <c r="RF650"/>
      <c r="RG650"/>
      <c r="RH650"/>
      <c r="RI650"/>
      <c r="RJ650"/>
      <c r="RK650"/>
      <c r="RL650"/>
      <c r="RM650"/>
      <c r="RN650"/>
      <c r="RO650"/>
      <c r="RP650"/>
      <c r="RQ650"/>
      <c r="RR650"/>
      <c r="RS650"/>
      <c r="RT650"/>
      <c r="RU650"/>
      <c r="RV650"/>
      <c r="RW650"/>
      <c r="RX650"/>
      <c r="RY650"/>
      <c r="RZ650"/>
      <c r="SA650"/>
      <c r="SB650"/>
      <c r="SC650"/>
      <c r="SD650"/>
      <c r="SE650"/>
      <c r="SF650"/>
      <c r="SG650"/>
      <c r="SH650"/>
      <c r="SI650"/>
      <c r="SJ650"/>
      <c r="SK650"/>
      <c r="SL650"/>
      <c r="SM650"/>
      <c r="SN650"/>
      <c r="SO650"/>
      <c r="SP650"/>
      <c r="SQ650"/>
      <c r="SR650"/>
      <c r="SS650"/>
      <c r="ST650"/>
      <c r="SU650"/>
      <c r="SV650"/>
      <c r="SW650"/>
      <c r="SX650"/>
      <c r="SY650"/>
      <c r="SZ650"/>
      <c r="TA650"/>
      <c r="TB650"/>
      <c r="TC650"/>
      <c r="TD650"/>
      <c r="TE650"/>
      <c r="TF650"/>
      <c r="TG650"/>
      <c r="TH650"/>
      <c r="TI650"/>
      <c r="TJ650"/>
      <c r="TK650"/>
      <c r="TL650"/>
      <c r="TM650"/>
      <c r="TN650"/>
      <c r="TO650"/>
      <c r="TP650"/>
      <c r="TQ650"/>
      <c r="TR650"/>
      <c r="TS650"/>
      <c r="TT650"/>
      <c r="TU650"/>
      <c r="TV650"/>
      <c r="TW650"/>
      <c r="TX650"/>
      <c r="TY650"/>
      <c r="TZ650"/>
      <c r="UA650"/>
      <c r="UB650"/>
      <c r="UC650"/>
      <c r="UD650"/>
      <c r="UE650"/>
      <c r="UF650"/>
      <c r="UG650"/>
      <c r="UH650"/>
      <c r="UI650"/>
      <c r="UJ650"/>
      <c r="UK650"/>
      <c r="UL650"/>
      <c r="UM650"/>
      <c r="UN650"/>
      <c r="UO650"/>
      <c r="UP650"/>
      <c r="UQ650"/>
      <c r="UR650"/>
      <c r="US650"/>
      <c r="UT650"/>
      <c r="UU650"/>
      <c r="UV650"/>
      <c r="UW650"/>
      <c r="UX650"/>
      <c r="UY650"/>
      <c r="UZ650"/>
      <c r="VA650"/>
      <c r="VB650"/>
      <c r="VC650"/>
      <c r="VD650"/>
      <c r="VE650"/>
      <c r="VF650"/>
      <c r="VG650"/>
      <c r="VH650"/>
      <c r="VI650"/>
      <c r="VJ650"/>
      <c r="VK650"/>
      <c r="VL650"/>
      <c r="VM650"/>
      <c r="VN650"/>
      <c r="VO650"/>
      <c r="VP650"/>
      <c r="VQ650"/>
      <c r="VR650"/>
      <c r="VS650"/>
      <c r="VT650"/>
      <c r="VU650"/>
      <c r="VV650"/>
      <c r="VW650"/>
      <c r="VX650"/>
      <c r="VY650"/>
      <c r="VZ650"/>
      <c r="WA650"/>
      <c r="WB650"/>
      <c r="WC650"/>
      <c r="WD650"/>
      <c r="WE650"/>
      <c r="WF650"/>
      <c r="WG650"/>
      <c r="WH650"/>
      <c r="WI650"/>
      <c r="WJ650"/>
      <c r="WK650"/>
      <c r="WL650"/>
      <c r="WM650"/>
      <c r="WN650"/>
      <c r="WO650"/>
      <c r="WP650"/>
      <c r="WQ650"/>
      <c r="WR650"/>
      <c r="WS650"/>
      <c r="WT650"/>
      <c r="WU650"/>
      <c r="WV650"/>
      <c r="WW650"/>
      <c r="WX650"/>
      <c r="WY650"/>
      <c r="WZ650"/>
      <c r="XA650"/>
      <c r="XB650"/>
      <c r="XC650"/>
      <c r="XD650"/>
      <c r="XE650"/>
      <c r="XF650"/>
      <c r="XG650"/>
      <c r="XH650"/>
      <c r="XI650"/>
      <c r="XJ650"/>
      <c r="XK650"/>
      <c r="XL650"/>
      <c r="XM650"/>
      <c r="XN650"/>
      <c r="XO650"/>
      <c r="XP650"/>
      <c r="XQ650"/>
      <c r="XR650"/>
      <c r="XS650"/>
      <c r="XT650"/>
      <c r="XU650"/>
      <c r="XV650"/>
      <c r="XW650"/>
      <c r="XX650"/>
      <c r="XY650"/>
      <c r="XZ650"/>
      <c r="YA650"/>
      <c r="YB650"/>
      <c r="YC650"/>
      <c r="YD650"/>
      <c r="YE650"/>
      <c r="YF650"/>
      <c r="YG650"/>
      <c r="YH650"/>
      <c r="YI650"/>
      <c r="YJ650"/>
      <c r="YK650"/>
      <c r="YL650"/>
      <c r="YM650"/>
      <c r="YN650"/>
      <c r="YO650"/>
      <c r="YP650"/>
      <c r="YQ650"/>
      <c r="YR650"/>
      <c r="YS650"/>
      <c r="YT650"/>
      <c r="YU650"/>
      <c r="YV650"/>
      <c r="YW650"/>
      <c r="YX650"/>
      <c r="YY650"/>
      <c r="YZ650"/>
      <c r="ZA650"/>
      <c r="ZB650"/>
      <c r="ZC650"/>
      <c r="ZD650"/>
      <c r="ZE650"/>
      <c r="ZF650"/>
      <c r="ZG650"/>
      <c r="ZH650"/>
      <c r="ZI650"/>
      <c r="ZJ650"/>
      <c r="ZK650"/>
      <c r="ZL650"/>
      <c r="ZM650"/>
      <c r="ZN650"/>
      <c r="ZO650"/>
      <c r="ZP650"/>
      <c r="ZQ650"/>
      <c r="ZR650"/>
      <c r="ZS650"/>
      <c r="ZT650"/>
      <c r="ZU650"/>
      <c r="ZV650"/>
      <c r="ZW650"/>
      <c r="ZX650"/>
      <c r="ZY650"/>
      <c r="ZZ650" s="52"/>
      <c r="AAA650" s="192"/>
      <c r="AAD650" s="90"/>
      <c r="AAE650" s="519">
        <v>1</v>
      </c>
      <c r="AAF650" s="190" t="s">
        <v>52</v>
      </c>
      <c r="AAG650" s="72"/>
      <c r="AAH650" s="72"/>
      <c r="AAI650" s="72"/>
      <c r="AAJ650" s="185"/>
      <c r="AAK650" s="56"/>
      <c r="AAL650" s="90"/>
    </row>
    <row r="651" spans="1:715" s="23" customFormat="1" ht="15" customHeight="1" outlineLevel="2">
      <c r="A651" s="171"/>
      <c r="B651" s="704" t="str">
        <f>AAK651</f>
        <v>- MargaretMGR for lead manager perspective</v>
      </c>
      <c r="C651" s="376" t="s">
        <v>0</v>
      </c>
      <c r="D651" s="423"/>
      <c r="E651" s="397">
        <f t="shared" ref="E651:E653" si="549">NETWORKDAYS(G651,H651,S.DDL_DEQClosed)</f>
        <v>70</v>
      </c>
      <c r="F651" s="457">
        <f t="shared" ref="F651:F653" ca="1" si="550">IF(YEAR(H651)&gt;2000,NETWORKDAYS(TODAY(),H651,S.DDL_DEQClosed),0)</f>
        <v>69</v>
      </c>
      <c r="G651" s="400">
        <f t="shared" ref="G651:G653" si="551">AAG651</f>
        <v>41572</v>
      </c>
      <c r="H651" s="400">
        <f t="shared" ref="H651:H653" si="552">AAH651</f>
        <v>41676</v>
      </c>
      <c r="I651" s="244"/>
      <c r="J651" s="194"/>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c r="BE651" s="49"/>
      <c r="BF651" s="49"/>
      <c r="BG651" s="49"/>
      <c r="BH651" s="49"/>
      <c r="BI651" s="49"/>
      <c r="BJ651" s="49"/>
      <c r="BK651" s="49"/>
      <c r="BL651" s="49"/>
      <c r="BM651" s="49"/>
      <c r="BN651" s="49"/>
      <c r="BO651" s="49"/>
      <c r="BP651" s="49"/>
      <c r="BQ651" s="49"/>
      <c r="BR651" s="49"/>
      <c r="BS651" s="49"/>
      <c r="BT651" s="49"/>
      <c r="BU651" s="49"/>
      <c r="BV651" s="49"/>
      <c r="BW651" s="49"/>
      <c r="BX651" s="49"/>
      <c r="BY651" s="49"/>
      <c r="BZ651" s="49"/>
      <c r="CA651" s="49"/>
      <c r="CB651" s="49"/>
      <c r="CC651" s="49"/>
      <c r="CD651" s="49"/>
      <c r="CE651" s="49"/>
      <c r="CF651" s="49"/>
      <c r="CG651" s="49"/>
      <c r="CH651" s="49"/>
      <c r="CI651" s="49"/>
      <c r="CJ651" s="49"/>
      <c r="CK651" s="49"/>
      <c r="CL651" s="49"/>
      <c r="CM651" s="49"/>
      <c r="CN651" s="49"/>
      <c r="CO651" s="49"/>
      <c r="CP651" s="49"/>
      <c r="CQ651" s="49"/>
      <c r="CR651" s="49"/>
      <c r="CS651" s="49"/>
      <c r="CT651" s="49"/>
      <c r="CU651" s="49"/>
      <c r="CV651" s="49"/>
      <c r="CW651" s="49"/>
      <c r="CX651" s="49"/>
      <c r="CY651" s="49"/>
      <c r="CZ651" s="49"/>
      <c r="DA651" s="49"/>
      <c r="DB651" s="49"/>
      <c r="DC651" s="49"/>
      <c r="DD651" s="49"/>
      <c r="DE651" s="49"/>
      <c r="DF651" s="49"/>
      <c r="DG651" s="49"/>
      <c r="DH651" s="49"/>
      <c r="DI651" s="49"/>
      <c r="DJ651" s="49"/>
      <c r="DK651" s="49"/>
      <c r="DL651" s="49"/>
      <c r="DM651" s="49"/>
      <c r="DN651" s="49"/>
      <c r="DO651" s="49"/>
      <c r="DP651" s="49"/>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c r="IW651"/>
      <c r="IX651"/>
      <c r="IY651"/>
      <c r="IZ651"/>
      <c r="JA651"/>
      <c r="JB651"/>
      <c r="JC651"/>
      <c r="JD651"/>
      <c r="JE651"/>
      <c r="JF651"/>
      <c r="JG651"/>
      <c r="JH651"/>
      <c r="JI651"/>
      <c r="JJ651"/>
      <c r="JK651"/>
      <c r="JL651"/>
      <c r="JM651"/>
      <c r="JN651"/>
      <c r="JO651"/>
      <c r="JP651"/>
      <c r="JQ651"/>
      <c r="JR651"/>
      <c r="JS651"/>
      <c r="JT651"/>
      <c r="JU651"/>
      <c r="JV651"/>
      <c r="JW651"/>
      <c r="JX651"/>
      <c r="JY651"/>
      <c r="JZ651"/>
      <c r="KA651"/>
      <c r="KB651"/>
      <c r="KC651"/>
      <c r="KD651"/>
      <c r="KE651"/>
      <c r="KF651"/>
      <c r="KG651"/>
      <c r="KH651"/>
      <c r="KI651"/>
      <c r="KJ651"/>
      <c r="KK651"/>
      <c r="KL651"/>
      <c r="KM651"/>
      <c r="KN651"/>
      <c r="KO651"/>
      <c r="KP651"/>
      <c r="KQ651"/>
      <c r="KR651"/>
      <c r="KS651"/>
      <c r="KT651"/>
      <c r="KU651"/>
      <c r="KV651"/>
      <c r="KW651"/>
      <c r="KX651"/>
      <c r="KY651"/>
      <c r="KZ651"/>
      <c r="LA651"/>
      <c r="LB651"/>
      <c r="LC651"/>
      <c r="LD651"/>
      <c r="LE651"/>
      <c r="LF651"/>
      <c r="LG651"/>
      <c r="LH651"/>
      <c r="LI651"/>
      <c r="LJ651"/>
      <c r="LK651"/>
      <c r="LL651"/>
      <c r="LM651"/>
      <c r="LN651"/>
      <c r="LO651"/>
      <c r="LP651"/>
      <c r="LQ651"/>
      <c r="LR651"/>
      <c r="LS651"/>
      <c r="LT651"/>
      <c r="LU651"/>
      <c r="LV651"/>
      <c r="LW651"/>
      <c r="LX651"/>
      <c r="LY651"/>
      <c r="LZ651"/>
      <c r="MA651"/>
      <c r="MB651"/>
      <c r="MC651"/>
      <c r="MD651"/>
      <c r="ME651"/>
      <c r="MF651"/>
      <c r="MG651"/>
      <c r="MH651"/>
      <c r="MI651"/>
      <c r="MJ651"/>
      <c r="MK651"/>
      <c r="ML651"/>
      <c r="MM651"/>
      <c r="MN651"/>
      <c r="MO651"/>
      <c r="MP651"/>
      <c r="MQ651"/>
      <c r="MR651"/>
      <c r="MS651"/>
      <c r="MT651"/>
      <c r="MU651"/>
      <c r="MV651"/>
      <c r="MW651"/>
      <c r="MX651"/>
      <c r="MY651"/>
      <c r="MZ651"/>
      <c r="NA651"/>
      <c r="NB651"/>
      <c r="NC651"/>
      <c r="ND651"/>
      <c r="NE651"/>
      <c r="NF651"/>
      <c r="NG651"/>
      <c r="NH651"/>
      <c r="NI651"/>
      <c r="NJ651"/>
      <c r="NK651"/>
      <c r="NL651"/>
      <c r="NM651"/>
      <c r="NN651"/>
      <c r="NO651"/>
      <c r="NP651"/>
      <c r="NQ651"/>
      <c r="NR651"/>
      <c r="NS651"/>
      <c r="NT651"/>
      <c r="NU651"/>
      <c r="NV651"/>
      <c r="NW651"/>
      <c r="NX651"/>
      <c r="NY651"/>
      <c r="NZ651"/>
      <c r="OA651"/>
      <c r="OB651"/>
      <c r="OC651"/>
      <c r="OD651"/>
      <c r="OE651"/>
      <c r="OF651"/>
      <c r="OG651"/>
      <c r="OH651"/>
      <c r="OI651"/>
      <c r="OJ651"/>
      <c r="OK651"/>
      <c r="OL651"/>
      <c r="OM651"/>
      <c r="ON651"/>
      <c r="OO651"/>
      <c r="OP651"/>
      <c r="OQ651"/>
      <c r="OR651"/>
      <c r="OS651"/>
      <c r="OT651"/>
      <c r="OU651"/>
      <c r="OV651"/>
      <c r="OW651"/>
      <c r="OX651"/>
      <c r="OY651"/>
      <c r="OZ651"/>
      <c r="PA651"/>
      <c r="PB651"/>
      <c r="PC651"/>
      <c r="PD651"/>
      <c r="PE651"/>
      <c r="PF651"/>
      <c r="PG651"/>
      <c r="PH651"/>
      <c r="PI651"/>
      <c r="PJ651"/>
      <c r="PK651"/>
      <c r="PL651"/>
      <c r="PM651"/>
      <c r="PN651"/>
      <c r="PO651"/>
      <c r="PP651"/>
      <c r="PQ651"/>
      <c r="PR651"/>
      <c r="PS651"/>
      <c r="PT651"/>
      <c r="PU651"/>
      <c r="PV651"/>
      <c r="PW651"/>
      <c r="PX651"/>
      <c r="PY651"/>
      <c r="PZ651"/>
      <c r="QA651"/>
      <c r="QB651"/>
      <c r="QC651"/>
      <c r="QD651"/>
      <c r="QE651"/>
      <c r="QF651"/>
      <c r="QG651"/>
      <c r="QH651"/>
      <c r="QI651"/>
      <c r="QJ651"/>
      <c r="QK651"/>
      <c r="QL651"/>
      <c r="QM651"/>
      <c r="QN651"/>
      <c r="QO651"/>
      <c r="QP651"/>
      <c r="QQ651"/>
      <c r="QR651"/>
      <c r="QS651"/>
      <c r="QT651"/>
      <c r="QU651"/>
      <c r="QV651"/>
      <c r="QW651"/>
      <c r="QX651"/>
      <c r="QY651"/>
      <c r="QZ651"/>
      <c r="RA651"/>
      <c r="RB651"/>
      <c r="RC651"/>
      <c r="RD651"/>
      <c r="RE651"/>
      <c r="RF651"/>
      <c r="RG651"/>
      <c r="RH651"/>
      <c r="RI651"/>
      <c r="RJ651"/>
      <c r="RK651"/>
      <c r="RL651"/>
      <c r="RM651"/>
      <c r="RN651"/>
      <c r="RO651"/>
      <c r="RP651"/>
      <c r="RQ651"/>
      <c r="RR651"/>
      <c r="RS651"/>
      <c r="RT651"/>
      <c r="RU651"/>
      <c r="RV651"/>
      <c r="RW651"/>
      <c r="RX651"/>
      <c r="RY651"/>
      <c r="RZ651"/>
      <c r="SA651"/>
      <c r="SB651"/>
      <c r="SC651"/>
      <c r="SD651"/>
      <c r="SE651"/>
      <c r="SF651"/>
      <c r="SG651"/>
      <c r="SH651"/>
      <c r="SI651"/>
      <c r="SJ651"/>
      <c r="SK651"/>
      <c r="SL651"/>
      <c r="SM651"/>
      <c r="SN651"/>
      <c r="SO651"/>
      <c r="SP651"/>
      <c r="SQ651"/>
      <c r="SR651"/>
      <c r="SS651"/>
      <c r="ST651"/>
      <c r="SU651"/>
      <c r="SV651"/>
      <c r="SW651"/>
      <c r="SX651"/>
      <c r="SY651"/>
      <c r="SZ651"/>
      <c r="TA651"/>
      <c r="TB651"/>
      <c r="TC651"/>
      <c r="TD651"/>
      <c r="TE651"/>
      <c r="TF651"/>
      <c r="TG651"/>
      <c r="TH651"/>
      <c r="TI651"/>
      <c r="TJ651"/>
      <c r="TK651"/>
      <c r="TL651"/>
      <c r="TM651"/>
      <c r="TN651"/>
      <c r="TO651"/>
      <c r="TP651"/>
      <c r="TQ651"/>
      <c r="TR651"/>
      <c r="TS651"/>
      <c r="TT651"/>
      <c r="TU651"/>
      <c r="TV651"/>
      <c r="TW651"/>
      <c r="TX651"/>
      <c r="TY651"/>
      <c r="TZ651"/>
      <c r="UA651"/>
      <c r="UB651"/>
      <c r="UC651"/>
      <c r="UD651"/>
      <c r="UE651"/>
      <c r="UF651"/>
      <c r="UG651"/>
      <c r="UH651"/>
      <c r="UI651"/>
      <c r="UJ651"/>
      <c r="UK651"/>
      <c r="UL651"/>
      <c r="UM651"/>
      <c r="UN651"/>
      <c r="UO651"/>
      <c r="UP651"/>
      <c r="UQ651"/>
      <c r="UR651"/>
      <c r="US651"/>
      <c r="UT651"/>
      <c r="UU651"/>
      <c r="UV651"/>
      <c r="UW651"/>
      <c r="UX651"/>
      <c r="UY651"/>
      <c r="UZ651"/>
      <c r="VA651"/>
      <c r="VB651"/>
      <c r="VC651"/>
      <c r="VD651"/>
      <c r="VE651"/>
      <c r="VF651"/>
      <c r="VG651"/>
      <c r="VH651"/>
      <c r="VI651"/>
      <c r="VJ651"/>
      <c r="VK651"/>
      <c r="VL651"/>
      <c r="VM651"/>
      <c r="VN651"/>
      <c r="VO651"/>
      <c r="VP651"/>
      <c r="VQ651"/>
      <c r="VR651"/>
      <c r="VS651"/>
      <c r="VT651"/>
      <c r="VU651"/>
      <c r="VV651"/>
      <c r="VW651"/>
      <c r="VX651"/>
      <c r="VY651"/>
      <c r="VZ651"/>
      <c r="WA651"/>
      <c r="WB651"/>
      <c r="WC651"/>
      <c r="WD651"/>
      <c r="WE651"/>
      <c r="WF651"/>
      <c r="WG651"/>
      <c r="WH651"/>
      <c r="WI651"/>
      <c r="WJ651"/>
      <c r="WK651"/>
      <c r="WL651"/>
      <c r="WM651"/>
      <c r="WN651"/>
      <c r="WO651"/>
      <c r="WP651"/>
      <c r="WQ651"/>
      <c r="WR651"/>
      <c r="WS651"/>
      <c r="WT651"/>
      <c r="WU651"/>
      <c r="WV651"/>
      <c r="WW651"/>
      <c r="WX651"/>
      <c r="WY651"/>
      <c r="WZ651"/>
      <c r="XA651"/>
      <c r="XB651"/>
      <c r="XC651"/>
      <c r="XD651"/>
      <c r="XE651"/>
      <c r="XF651"/>
      <c r="XG651"/>
      <c r="XH651"/>
      <c r="XI651"/>
      <c r="XJ651"/>
      <c r="XK651"/>
      <c r="XL651"/>
      <c r="XM651"/>
      <c r="XN651"/>
      <c r="XO651"/>
      <c r="XP651"/>
      <c r="XQ651"/>
      <c r="XR651"/>
      <c r="XS651"/>
      <c r="XT651"/>
      <c r="XU651"/>
      <c r="XV651"/>
      <c r="XW651"/>
      <c r="XX651"/>
      <c r="XY651"/>
      <c r="XZ651"/>
      <c r="YA651"/>
      <c r="YB651"/>
      <c r="YC651"/>
      <c r="YD651"/>
      <c r="YE651"/>
      <c r="YF651"/>
      <c r="YG651"/>
      <c r="YH651"/>
      <c r="YI651"/>
      <c r="YJ651"/>
      <c r="YK651"/>
      <c r="YL651"/>
      <c r="YM651"/>
      <c r="YN651"/>
      <c r="YO651"/>
      <c r="YP651"/>
      <c r="YQ651"/>
      <c r="YR651"/>
      <c r="YS651"/>
      <c r="YT651"/>
      <c r="YU651"/>
      <c r="YV651"/>
      <c r="YW651"/>
      <c r="YX651"/>
      <c r="YY651"/>
      <c r="YZ651"/>
      <c r="ZA651"/>
      <c r="ZB651"/>
      <c r="ZC651"/>
      <c r="ZD651"/>
      <c r="ZE651"/>
      <c r="ZF651"/>
      <c r="ZG651"/>
      <c r="ZH651"/>
      <c r="ZI651"/>
      <c r="ZJ651"/>
      <c r="ZK651"/>
      <c r="ZL651"/>
      <c r="ZM651"/>
      <c r="ZN651"/>
      <c r="ZO651"/>
      <c r="ZP651"/>
      <c r="ZQ651"/>
      <c r="ZR651"/>
      <c r="ZS651"/>
      <c r="ZT651"/>
      <c r="ZU651"/>
      <c r="ZV651"/>
      <c r="ZW651"/>
      <c r="ZX651"/>
      <c r="ZY651"/>
      <c r="ZZ651" s="52"/>
      <c r="AAA651" s="192"/>
      <c r="AAD651" s="90"/>
      <c r="AAE651" s="519">
        <v>1</v>
      </c>
      <c r="AAF651" s="90"/>
      <c r="AAG651" s="73">
        <f>S.EQC.BANNER.Begin</f>
        <v>41572</v>
      </c>
      <c r="AAH651" s="73">
        <f t="shared" si="545"/>
        <v>41676</v>
      </c>
      <c r="AAI651" s="72"/>
      <c r="AAJ651" s="185"/>
      <c r="AAK651" s="80" t="str">
        <f>"- "&amp;S.Staff.Mgr&amp;" for lead manager perspective"</f>
        <v>- MargaretMGR for lead manager perspective</v>
      </c>
      <c r="AAL651" s="90"/>
    </row>
    <row r="652" spans="1:715" s="23" customFormat="1" ht="15" customHeight="1" outlineLevel="2">
      <c r="A652" s="171"/>
      <c r="B652" s="705" t="str">
        <f>AAK652</f>
        <v>- LarryK, if needed</v>
      </c>
      <c r="C652" s="376" t="s">
        <v>0</v>
      </c>
      <c r="D652" s="423"/>
      <c r="E652" s="397">
        <f t="shared" si="549"/>
        <v>70</v>
      </c>
      <c r="F652" s="457">
        <f t="shared" ca="1" si="550"/>
        <v>69</v>
      </c>
      <c r="G652" s="400">
        <f t="shared" si="551"/>
        <v>41572</v>
      </c>
      <c r="H652" s="400">
        <f t="shared" si="552"/>
        <v>41676</v>
      </c>
      <c r="I652" s="244"/>
      <c r="J652" s="194"/>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c r="BE652" s="49"/>
      <c r="BF652" s="49"/>
      <c r="BG652" s="49"/>
      <c r="BH652" s="49"/>
      <c r="BI652" s="49"/>
      <c r="BJ652" s="49"/>
      <c r="BK652" s="49"/>
      <c r="BL652" s="49"/>
      <c r="BM652" s="49"/>
      <c r="BN652" s="49"/>
      <c r="BO652" s="49"/>
      <c r="BP652" s="49"/>
      <c r="BQ652" s="49"/>
      <c r="BR652" s="49"/>
      <c r="BS652" s="49"/>
      <c r="BT652" s="49"/>
      <c r="BU652" s="49"/>
      <c r="BV652" s="49"/>
      <c r="BW652" s="49"/>
      <c r="BX652" s="49"/>
      <c r="BY652" s="49"/>
      <c r="BZ652" s="49"/>
      <c r="CA652" s="49"/>
      <c r="CB652" s="49"/>
      <c r="CC652" s="49"/>
      <c r="CD652" s="49"/>
      <c r="CE652" s="49"/>
      <c r="CF652" s="49"/>
      <c r="CG652" s="49"/>
      <c r="CH652" s="49"/>
      <c r="CI652" s="49"/>
      <c r="CJ652" s="49"/>
      <c r="CK652" s="49"/>
      <c r="CL652" s="49"/>
      <c r="CM652" s="49"/>
      <c r="CN652" s="49"/>
      <c r="CO652" s="49"/>
      <c r="CP652" s="49"/>
      <c r="CQ652" s="49"/>
      <c r="CR652" s="49"/>
      <c r="CS652" s="49"/>
      <c r="CT652" s="49"/>
      <c r="CU652" s="49"/>
      <c r="CV652" s="49"/>
      <c r="CW652" s="49"/>
      <c r="CX652" s="49"/>
      <c r="CY652" s="49"/>
      <c r="CZ652" s="49"/>
      <c r="DA652" s="49"/>
      <c r="DB652" s="49"/>
      <c r="DC652" s="49"/>
      <c r="DD652" s="49"/>
      <c r="DE652" s="49"/>
      <c r="DF652" s="49"/>
      <c r="DG652" s="49"/>
      <c r="DH652" s="49"/>
      <c r="DI652" s="49"/>
      <c r="DJ652" s="49"/>
      <c r="DK652" s="49"/>
      <c r="DL652" s="49"/>
      <c r="DM652" s="49"/>
      <c r="DN652" s="49"/>
      <c r="DO652" s="49"/>
      <c r="DP652" s="49"/>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c r="IW652"/>
      <c r="IX652"/>
      <c r="IY652"/>
      <c r="IZ652"/>
      <c r="JA652"/>
      <c r="JB652"/>
      <c r="JC652"/>
      <c r="JD652"/>
      <c r="JE652"/>
      <c r="JF652"/>
      <c r="JG652"/>
      <c r="JH652"/>
      <c r="JI652"/>
      <c r="JJ652"/>
      <c r="JK652"/>
      <c r="JL652"/>
      <c r="JM652"/>
      <c r="JN652"/>
      <c r="JO652"/>
      <c r="JP652"/>
      <c r="JQ652"/>
      <c r="JR652"/>
      <c r="JS652"/>
      <c r="JT652"/>
      <c r="JU652"/>
      <c r="JV652"/>
      <c r="JW652"/>
      <c r="JX652"/>
      <c r="JY652"/>
      <c r="JZ652"/>
      <c r="KA652"/>
      <c r="KB652"/>
      <c r="KC652"/>
      <c r="KD652"/>
      <c r="KE652"/>
      <c r="KF652"/>
      <c r="KG652"/>
      <c r="KH652"/>
      <c r="KI652"/>
      <c r="KJ652"/>
      <c r="KK652"/>
      <c r="KL652"/>
      <c r="KM652"/>
      <c r="KN652"/>
      <c r="KO652"/>
      <c r="KP652"/>
      <c r="KQ652"/>
      <c r="KR652"/>
      <c r="KS652"/>
      <c r="KT652"/>
      <c r="KU652"/>
      <c r="KV652"/>
      <c r="KW652"/>
      <c r="KX652"/>
      <c r="KY652"/>
      <c r="KZ652"/>
      <c r="LA652"/>
      <c r="LB652"/>
      <c r="LC652"/>
      <c r="LD652"/>
      <c r="LE652"/>
      <c r="LF652"/>
      <c r="LG652"/>
      <c r="LH652"/>
      <c r="LI652"/>
      <c r="LJ652"/>
      <c r="LK652"/>
      <c r="LL652"/>
      <c r="LM652"/>
      <c r="LN652"/>
      <c r="LO652"/>
      <c r="LP652"/>
      <c r="LQ652"/>
      <c r="LR652"/>
      <c r="LS652"/>
      <c r="LT652"/>
      <c r="LU652"/>
      <c r="LV652"/>
      <c r="LW652"/>
      <c r="LX652"/>
      <c r="LY652"/>
      <c r="LZ652"/>
      <c r="MA652"/>
      <c r="MB652"/>
      <c r="MC652"/>
      <c r="MD652"/>
      <c r="ME652"/>
      <c r="MF652"/>
      <c r="MG652"/>
      <c r="MH652"/>
      <c r="MI652"/>
      <c r="MJ652"/>
      <c r="MK652"/>
      <c r="ML652"/>
      <c r="MM652"/>
      <c r="MN652"/>
      <c r="MO652"/>
      <c r="MP652"/>
      <c r="MQ652"/>
      <c r="MR652"/>
      <c r="MS652"/>
      <c r="MT652"/>
      <c r="MU652"/>
      <c r="MV652"/>
      <c r="MW652"/>
      <c r="MX652"/>
      <c r="MY652"/>
      <c r="MZ652"/>
      <c r="NA652"/>
      <c r="NB652"/>
      <c r="NC652"/>
      <c r="ND652"/>
      <c r="NE652"/>
      <c r="NF652"/>
      <c r="NG652"/>
      <c r="NH652"/>
      <c r="NI652"/>
      <c r="NJ652"/>
      <c r="NK652"/>
      <c r="NL652"/>
      <c r="NM652"/>
      <c r="NN652"/>
      <c r="NO652"/>
      <c r="NP652"/>
      <c r="NQ652"/>
      <c r="NR652"/>
      <c r="NS652"/>
      <c r="NT652"/>
      <c r="NU652"/>
      <c r="NV652"/>
      <c r="NW652"/>
      <c r="NX652"/>
      <c r="NY652"/>
      <c r="NZ652"/>
      <c r="OA652"/>
      <c r="OB652"/>
      <c r="OC652"/>
      <c r="OD652"/>
      <c r="OE652"/>
      <c r="OF652"/>
      <c r="OG652"/>
      <c r="OH652"/>
      <c r="OI652"/>
      <c r="OJ652"/>
      <c r="OK652"/>
      <c r="OL652"/>
      <c r="OM652"/>
      <c r="ON652"/>
      <c r="OO652"/>
      <c r="OP652"/>
      <c r="OQ652"/>
      <c r="OR652"/>
      <c r="OS652"/>
      <c r="OT652"/>
      <c r="OU652"/>
      <c r="OV652"/>
      <c r="OW652"/>
      <c r="OX652"/>
      <c r="OY652"/>
      <c r="OZ652"/>
      <c r="PA652"/>
      <c r="PB652"/>
      <c r="PC652"/>
      <c r="PD652"/>
      <c r="PE652"/>
      <c r="PF652"/>
      <c r="PG652"/>
      <c r="PH652"/>
      <c r="PI652"/>
      <c r="PJ652"/>
      <c r="PK652"/>
      <c r="PL652"/>
      <c r="PM652"/>
      <c r="PN652"/>
      <c r="PO652"/>
      <c r="PP652"/>
      <c r="PQ652"/>
      <c r="PR652"/>
      <c r="PS652"/>
      <c r="PT652"/>
      <c r="PU652"/>
      <c r="PV652"/>
      <c r="PW652"/>
      <c r="PX652"/>
      <c r="PY652"/>
      <c r="PZ652"/>
      <c r="QA652"/>
      <c r="QB652"/>
      <c r="QC652"/>
      <c r="QD652"/>
      <c r="QE652"/>
      <c r="QF652"/>
      <c r="QG652"/>
      <c r="QH652"/>
      <c r="QI652"/>
      <c r="QJ652"/>
      <c r="QK652"/>
      <c r="QL652"/>
      <c r="QM652"/>
      <c r="QN652"/>
      <c r="QO652"/>
      <c r="QP652"/>
      <c r="QQ652"/>
      <c r="QR652"/>
      <c r="QS652"/>
      <c r="QT652"/>
      <c r="QU652"/>
      <c r="QV652"/>
      <c r="QW652"/>
      <c r="QX652"/>
      <c r="QY652"/>
      <c r="QZ652"/>
      <c r="RA652"/>
      <c r="RB652"/>
      <c r="RC652"/>
      <c r="RD652"/>
      <c r="RE652"/>
      <c r="RF652"/>
      <c r="RG652"/>
      <c r="RH652"/>
      <c r="RI652"/>
      <c r="RJ652"/>
      <c r="RK652"/>
      <c r="RL652"/>
      <c r="RM652"/>
      <c r="RN652"/>
      <c r="RO652"/>
      <c r="RP652"/>
      <c r="RQ652"/>
      <c r="RR652"/>
      <c r="RS652"/>
      <c r="RT652"/>
      <c r="RU652"/>
      <c r="RV652"/>
      <c r="RW652"/>
      <c r="RX652"/>
      <c r="RY652"/>
      <c r="RZ652"/>
      <c r="SA652"/>
      <c r="SB652"/>
      <c r="SC652"/>
      <c r="SD652"/>
      <c r="SE652"/>
      <c r="SF652"/>
      <c r="SG652"/>
      <c r="SH652"/>
      <c r="SI652"/>
      <c r="SJ652"/>
      <c r="SK652"/>
      <c r="SL652"/>
      <c r="SM652"/>
      <c r="SN652"/>
      <c r="SO652"/>
      <c r="SP652"/>
      <c r="SQ652"/>
      <c r="SR652"/>
      <c r="SS652"/>
      <c r="ST652"/>
      <c r="SU652"/>
      <c r="SV652"/>
      <c r="SW652"/>
      <c r="SX652"/>
      <c r="SY652"/>
      <c r="SZ652"/>
      <c r="TA652"/>
      <c r="TB652"/>
      <c r="TC652"/>
      <c r="TD652"/>
      <c r="TE652"/>
      <c r="TF652"/>
      <c r="TG652"/>
      <c r="TH652"/>
      <c r="TI652"/>
      <c r="TJ652"/>
      <c r="TK652"/>
      <c r="TL652"/>
      <c r="TM652"/>
      <c r="TN652"/>
      <c r="TO652"/>
      <c r="TP652"/>
      <c r="TQ652"/>
      <c r="TR652"/>
      <c r="TS652"/>
      <c r="TT652"/>
      <c r="TU652"/>
      <c r="TV652"/>
      <c r="TW652"/>
      <c r="TX652"/>
      <c r="TY652"/>
      <c r="TZ652"/>
      <c r="UA652"/>
      <c r="UB652"/>
      <c r="UC652"/>
      <c r="UD652"/>
      <c r="UE652"/>
      <c r="UF652"/>
      <c r="UG652"/>
      <c r="UH652"/>
      <c r="UI652"/>
      <c r="UJ652"/>
      <c r="UK652"/>
      <c r="UL652"/>
      <c r="UM652"/>
      <c r="UN652"/>
      <c r="UO652"/>
      <c r="UP652"/>
      <c r="UQ652"/>
      <c r="UR652"/>
      <c r="US652"/>
      <c r="UT652"/>
      <c r="UU652"/>
      <c r="UV652"/>
      <c r="UW652"/>
      <c r="UX652"/>
      <c r="UY652"/>
      <c r="UZ652"/>
      <c r="VA652"/>
      <c r="VB652"/>
      <c r="VC652"/>
      <c r="VD652"/>
      <c r="VE652"/>
      <c r="VF652"/>
      <c r="VG652"/>
      <c r="VH652"/>
      <c r="VI652"/>
      <c r="VJ652"/>
      <c r="VK652"/>
      <c r="VL652"/>
      <c r="VM652"/>
      <c r="VN652"/>
      <c r="VO652"/>
      <c r="VP652"/>
      <c r="VQ652"/>
      <c r="VR652"/>
      <c r="VS652"/>
      <c r="VT652"/>
      <c r="VU652"/>
      <c r="VV652"/>
      <c r="VW652"/>
      <c r="VX652"/>
      <c r="VY652"/>
      <c r="VZ652"/>
      <c r="WA652"/>
      <c r="WB652"/>
      <c r="WC652"/>
      <c r="WD652"/>
      <c r="WE652"/>
      <c r="WF652"/>
      <c r="WG652"/>
      <c r="WH652"/>
      <c r="WI652"/>
      <c r="WJ652"/>
      <c r="WK652"/>
      <c r="WL652"/>
      <c r="WM652"/>
      <c r="WN652"/>
      <c r="WO652"/>
      <c r="WP652"/>
      <c r="WQ652"/>
      <c r="WR652"/>
      <c r="WS652"/>
      <c r="WT652"/>
      <c r="WU652"/>
      <c r="WV652"/>
      <c r="WW652"/>
      <c r="WX652"/>
      <c r="WY652"/>
      <c r="WZ652"/>
      <c r="XA652"/>
      <c r="XB652"/>
      <c r="XC652"/>
      <c r="XD652"/>
      <c r="XE652"/>
      <c r="XF652"/>
      <c r="XG652"/>
      <c r="XH652"/>
      <c r="XI652"/>
      <c r="XJ652"/>
      <c r="XK652"/>
      <c r="XL652"/>
      <c r="XM652"/>
      <c r="XN652"/>
      <c r="XO652"/>
      <c r="XP652"/>
      <c r="XQ652"/>
      <c r="XR652"/>
      <c r="XS652"/>
      <c r="XT652"/>
      <c r="XU652"/>
      <c r="XV652"/>
      <c r="XW652"/>
      <c r="XX652"/>
      <c r="XY652"/>
      <c r="XZ652"/>
      <c r="YA652"/>
      <c r="YB652"/>
      <c r="YC652"/>
      <c r="YD652"/>
      <c r="YE652"/>
      <c r="YF652"/>
      <c r="YG652"/>
      <c r="YH652"/>
      <c r="YI652"/>
      <c r="YJ652"/>
      <c r="YK652"/>
      <c r="YL652"/>
      <c r="YM652"/>
      <c r="YN652"/>
      <c r="YO652"/>
      <c r="YP652"/>
      <c r="YQ652"/>
      <c r="YR652"/>
      <c r="YS652"/>
      <c r="YT652"/>
      <c r="YU652"/>
      <c r="YV652"/>
      <c r="YW652"/>
      <c r="YX652"/>
      <c r="YY652"/>
      <c r="YZ652"/>
      <c r="ZA652"/>
      <c r="ZB652"/>
      <c r="ZC652"/>
      <c r="ZD652"/>
      <c r="ZE652"/>
      <c r="ZF652"/>
      <c r="ZG652"/>
      <c r="ZH652"/>
      <c r="ZI652"/>
      <c r="ZJ652"/>
      <c r="ZK652"/>
      <c r="ZL652"/>
      <c r="ZM652"/>
      <c r="ZN652"/>
      <c r="ZO652"/>
      <c r="ZP652"/>
      <c r="ZQ652"/>
      <c r="ZR652"/>
      <c r="ZS652"/>
      <c r="ZT652"/>
      <c r="ZU652"/>
      <c r="ZV652"/>
      <c r="ZW652"/>
      <c r="ZX652"/>
      <c r="ZY652"/>
      <c r="ZZ652" s="52"/>
      <c r="AAA652" s="192"/>
      <c r="AAD652" s="90"/>
      <c r="AAE652" s="519">
        <v>1</v>
      </c>
      <c r="AAF652" s="90"/>
      <c r="AAG652" s="73">
        <f>S.EQC.BANNER.Begin</f>
        <v>41572</v>
      </c>
      <c r="AAH652" s="73">
        <f t="shared" si="545"/>
        <v>41676</v>
      </c>
      <c r="AAI652" s="72"/>
      <c r="AAJ652" s="185"/>
      <c r="AAK652" s="80" t="str">
        <f>"- "&amp; S.Staff.AAG&amp;", if needed"</f>
        <v>- LarryK, if needed</v>
      </c>
      <c r="AAL652" s="90"/>
    </row>
    <row r="653" spans="1:715" s="23" customFormat="1" ht="15" customHeight="1" outlineLevel="2">
      <c r="A653" s="171"/>
      <c r="B653" s="705" t="str">
        <f>AAK653</f>
        <v>- AndreaSIP for SIP review</v>
      </c>
      <c r="C653" s="376" t="s">
        <v>0</v>
      </c>
      <c r="D653" s="423"/>
      <c r="E653" s="397">
        <f t="shared" si="549"/>
        <v>70</v>
      </c>
      <c r="F653" s="457">
        <f t="shared" ca="1" si="550"/>
        <v>69</v>
      </c>
      <c r="G653" s="400">
        <f t="shared" si="551"/>
        <v>41572</v>
      </c>
      <c r="H653" s="400">
        <f t="shared" si="552"/>
        <v>41676</v>
      </c>
      <c r="I653" s="244"/>
      <c r="J653" s="194"/>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c r="BE653" s="49"/>
      <c r="BF653" s="49"/>
      <c r="BG653" s="49"/>
      <c r="BH653" s="49"/>
      <c r="BI653" s="49"/>
      <c r="BJ653" s="49"/>
      <c r="BK653" s="49"/>
      <c r="BL653" s="49"/>
      <c r="BM653" s="49"/>
      <c r="BN653" s="49"/>
      <c r="BO653" s="49"/>
      <c r="BP653" s="49"/>
      <c r="BQ653" s="49"/>
      <c r="BR653" s="49"/>
      <c r="BS653" s="49"/>
      <c r="BT653" s="49"/>
      <c r="BU653" s="49"/>
      <c r="BV653" s="49"/>
      <c r="BW653" s="49"/>
      <c r="BX653" s="49"/>
      <c r="BY653" s="49"/>
      <c r="BZ653" s="49"/>
      <c r="CA653" s="49"/>
      <c r="CB653" s="49"/>
      <c r="CC653" s="49"/>
      <c r="CD653" s="49"/>
      <c r="CE653" s="49"/>
      <c r="CF653" s="49"/>
      <c r="CG653" s="49"/>
      <c r="CH653" s="49"/>
      <c r="CI653" s="49"/>
      <c r="CJ653" s="49"/>
      <c r="CK653" s="49"/>
      <c r="CL653" s="49"/>
      <c r="CM653" s="49"/>
      <c r="CN653" s="49"/>
      <c r="CO653" s="49"/>
      <c r="CP653" s="49"/>
      <c r="CQ653" s="49"/>
      <c r="CR653" s="49"/>
      <c r="CS653" s="49"/>
      <c r="CT653" s="49"/>
      <c r="CU653" s="49"/>
      <c r="CV653" s="49"/>
      <c r="CW653" s="49"/>
      <c r="CX653" s="49"/>
      <c r="CY653" s="49"/>
      <c r="CZ653" s="49"/>
      <c r="DA653" s="49"/>
      <c r="DB653" s="49"/>
      <c r="DC653" s="49"/>
      <c r="DD653" s="49"/>
      <c r="DE653" s="49"/>
      <c r="DF653" s="49"/>
      <c r="DG653" s="49"/>
      <c r="DH653" s="49"/>
      <c r="DI653" s="49"/>
      <c r="DJ653" s="49"/>
      <c r="DK653" s="49"/>
      <c r="DL653" s="49"/>
      <c r="DM653" s="49"/>
      <c r="DN653" s="49"/>
      <c r="DO653" s="49"/>
      <c r="DP653" s="49"/>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c r="IW653"/>
      <c r="IX653"/>
      <c r="IY653"/>
      <c r="IZ653"/>
      <c r="JA653"/>
      <c r="JB653"/>
      <c r="JC653"/>
      <c r="JD653"/>
      <c r="JE653"/>
      <c r="JF653"/>
      <c r="JG653"/>
      <c r="JH653"/>
      <c r="JI653"/>
      <c r="JJ653"/>
      <c r="JK653"/>
      <c r="JL653"/>
      <c r="JM653"/>
      <c r="JN653"/>
      <c r="JO653"/>
      <c r="JP653"/>
      <c r="JQ653"/>
      <c r="JR653"/>
      <c r="JS653"/>
      <c r="JT653"/>
      <c r="JU653"/>
      <c r="JV653"/>
      <c r="JW653"/>
      <c r="JX653"/>
      <c r="JY653"/>
      <c r="JZ653"/>
      <c r="KA653"/>
      <c r="KB653"/>
      <c r="KC653"/>
      <c r="KD653"/>
      <c r="KE653"/>
      <c r="KF653"/>
      <c r="KG653"/>
      <c r="KH653"/>
      <c r="KI653"/>
      <c r="KJ653"/>
      <c r="KK653"/>
      <c r="KL653"/>
      <c r="KM653"/>
      <c r="KN653"/>
      <c r="KO653"/>
      <c r="KP653"/>
      <c r="KQ653"/>
      <c r="KR653"/>
      <c r="KS653"/>
      <c r="KT653"/>
      <c r="KU653"/>
      <c r="KV653"/>
      <c r="KW653"/>
      <c r="KX653"/>
      <c r="KY653"/>
      <c r="KZ653"/>
      <c r="LA653"/>
      <c r="LB653"/>
      <c r="LC653"/>
      <c r="LD653"/>
      <c r="LE653"/>
      <c r="LF653"/>
      <c r="LG653"/>
      <c r="LH653"/>
      <c r="LI653"/>
      <c r="LJ653"/>
      <c r="LK653"/>
      <c r="LL653"/>
      <c r="LM653"/>
      <c r="LN653"/>
      <c r="LO653"/>
      <c r="LP653"/>
      <c r="LQ653"/>
      <c r="LR653"/>
      <c r="LS653"/>
      <c r="LT653"/>
      <c r="LU653"/>
      <c r="LV653"/>
      <c r="LW653"/>
      <c r="LX653"/>
      <c r="LY653"/>
      <c r="LZ653"/>
      <c r="MA653"/>
      <c r="MB653"/>
      <c r="MC653"/>
      <c r="MD653"/>
      <c r="ME653"/>
      <c r="MF653"/>
      <c r="MG653"/>
      <c r="MH653"/>
      <c r="MI653"/>
      <c r="MJ653"/>
      <c r="MK653"/>
      <c r="ML653"/>
      <c r="MM653"/>
      <c r="MN653"/>
      <c r="MO653"/>
      <c r="MP653"/>
      <c r="MQ653"/>
      <c r="MR653"/>
      <c r="MS653"/>
      <c r="MT653"/>
      <c r="MU653"/>
      <c r="MV653"/>
      <c r="MW653"/>
      <c r="MX653"/>
      <c r="MY653"/>
      <c r="MZ653"/>
      <c r="NA653"/>
      <c r="NB653"/>
      <c r="NC653"/>
      <c r="ND653"/>
      <c r="NE653"/>
      <c r="NF653"/>
      <c r="NG653"/>
      <c r="NH653"/>
      <c r="NI653"/>
      <c r="NJ653"/>
      <c r="NK653"/>
      <c r="NL653"/>
      <c r="NM653"/>
      <c r="NN653"/>
      <c r="NO653"/>
      <c r="NP653"/>
      <c r="NQ653"/>
      <c r="NR653"/>
      <c r="NS653"/>
      <c r="NT653"/>
      <c r="NU653"/>
      <c r="NV653"/>
      <c r="NW653"/>
      <c r="NX653"/>
      <c r="NY653"/>
      <c r="NZ653"/>
      <c r="OA653"/>
      <c r="OB653"/>
      <c r="OC653"/>
      <c r="OD653"/>
      <c r="OE653"/>
      <c r="OF653"/>
      <c r="OG653"/>
      <c r="OH653"/>
      <c r="OI653"/>
      <c r="OJ653"/>
      <c r="OK653"/>
      <c r="OL653"/>
      <c r="OM653"/>
      <c r="ON653"/>
      <c r="OO653"/>
      <c r="OP653"/>
      <c r="OQ653"/>
      <c r="OR653"/>
      <c r="OS653"/>
      <c r="OT653"/>
      <c r="OU653"/>
      <c r="OV653"/>
      <c r="OW653"/>
      <c r="OX653"/>
      <c r="OY653"/>
      <c r="OZ653"/>
      <c r="PA653"/>
      <c r="PB653"/>
      <c r="PC653"/>
      <c r="PD653"/>
      <c r="PE653"/>
      <c r="PF653"/>
      <c r="PG653"/>
      <c r="PH653"/>
      <c r="PI653"/>
      <c r="PJ653"/>
      <c r="PK653"/>
      <c r="PL653"/>
      <c r="PM653"/>
      <c r="PN653"/>
      <c r="PO653"/>
      <c r="PP653"/>
      <c r="PQ653"/>
      <c r="PR653"/>
      <c r="PS653"/>
      <c r="PT653"/>
      <c r="PU653"/>
      <c r="PV653"/>
      <c r="PW653"/>
      <c r="PX653"/>
      <c r="PY653"/>
      <c r="PZ653"/>
      <c r="QA653"/>
      <c r="QB653"/>
      <c r="QC653"/>
      <c r="QD653"/>
      <c r="QE653"/>
      <c r="QF653"/>
      <c r="QG653"/>
      <c r="QH653"/>
      <c r="QI653"/>
      <c r="QJ653"/>
      <c r="QK653"/>
      <c r="QL653"/>
      <c r="QM653"/>
      <c r="QN653"/>
      <c r="QO653"/>
      <c r="QP653"/>
      <c r="QQ653"/>
      <c r="QR653"/>
      <c r="QS653"/>
      <c r="QT653"/>
      <c r="QU653"/>
      <c r="QV653"/>
      <c r="QW653"/>
      <c r="QX653"/>
      <c r="QY653"/>
      <c r="QZ653"/>
      <c r="RA653"/>
      <c r="RB653"/>
      <c r="RC653"/>
      <c r="RD653"/>
      <c r="RE653"/>
      <c r="RF653"/>
      <c r="RG653"/>
      <c r="RH653"/>
      <c r="RI653"/>
      <c r="RJ653"/>
      <c r="RK653"/>
      <c r="RL653"/>
      <c r="RM653"/>
      <c r="RN653"/>
      <c r="RO653"/>
      <c r="RP653"/>
      <c r="RQ653"/>
      <c r="RR653"/>
      <c r="RS653"/>
      <c r="RT653"/>
      <c r="RU653"/>
      <c r="RV653"/>
      <c r="RW653"/>
      <c r="RX653"/>
      <c r="RY653"/>
      <c r="RZ653"/>
      <c r="SA653"/>
      <c r="SB653"/>
      <c r="SC653"/>
      <c r="SD653"/>
      <c r="SE653"/>
      <c r="SF653"/>
      <c r="SG653"/>
      <c r="SH653"/>
      <c r="SI653"/>
      <c r="SJ653"/>
      <c r="SK653"/>
      <c r="SL653"/>
      <c r="SM653"/>
      <c r="SN653"/>
      <c r="SO653"/>
      <c r="SP653"/>
      <c r="SQ653"/>
      <c r="SR653"/>
      <c r="SS653"/>
      <c r="ST653"/>
      <c r="SU653"/>
      <c r="SV653"/>
      <c r="SW653"/>
      <c r="SX653"/>
      <c r="SY653"/>
      <c r="SZ653"/>
      <c r="TA653"/>
      <c r="TB653"/>
      <c r="TC653"/>
      <c r="TD653"/>
      <c r="TE653"/>
      <c r="TF653"/>
      <c r="TG653"/>
      <c r="TH653"/>
      <c r="TI653"/>
      <c r="TJ653"/>
      <c r="TK653"/>
      <c r="TL653"/>
      <c r="TM653"/>
      <c r="TN653"/>
      <c r="TO653"/>
      <c r="TP653"/>
      <c r="TQ653"/>
      <c r="TR653"/>
      <c r="TS653"/>
      <c r="TT653"/>
      <c r="TU653"/>
      <c r="TV653"/>
      <c r="TW653"/>
      <c r="TX653"/>
      <c r="TY653"/>
      <c r="TZ653"/>
      <c r="UA653"/>
      <c r="UB653"/>
      <c r="UC653"/>
      <c r="UD653"/>
      <c r="UE653"/>
      <c r="UF653"/>
      <c r="UG653"/>
      <c r="UH653"/>
      <c r="UI653"/>
      <c r="UJ653"/>
      <c r="UK653"/>
      <c r="UL653"/>
      <c r="UM653"/>
      <c r="UN653"/>
      <c r="UO653"/>
      <c r="UP653"/>
      <c r="UQ653"/>
      <c r="UR653"/>
      <c r="US653"/>
      <c r="UT653"/>
      <c r="UU653"/>
      <c r="UV653"/>
      <c r="UW653"/>
      <c r="UX653"/>
      <c r="UY653"/>
      <c r="UZ653"/>
      <c r="VA653"/>
      <c r="VB653"/>
      <c r="VC653"/>
      <c r="VD653"/>
      <c r="VE653"/>
      <c r="VF653"/>
      <c r="VG653"/>
      <c r="VH653"/>
      <c r="VI653"/>
      <c r="VJ653"/>
      <c r="VK653"/>
      <c r="VL653"/>
      <c r="VM653"/>
      <c r="VN653"/>
      <c r="VO653"/>
      <c r="VP653"/>
      <c r="VQ653"/>
      <c r="VR653"/>
      <c r="VS653"/>
      <c r="VT653"/>
      <c r="VU653"/>
      <c r="VV653"/>
      <c r="VW653"/>
      <c r="VX653"/>
      <c r="VY653"/>
      <c r="VZ653"/>
      <c r="WA653"/>
      <c r="WB653"/>
      <c r="WC653"/>
      <c r="WD653"/>
      <c r="WE653"/>
      <c r="WF653"/>
      <c r="WG653"/>
      <c r="WH653"/>
      <c r="WI653"/>
      <c r="WJ653"/>
      <c r="WK653"/>
      <c r="WL653"/>
      <c r="WM653"/>
      <c r="WN653"/>
      <c r="WO653"/>
      <c r="WP653"/>
      <c r="WQ653"/>
      <c r="WR653"/>
      <c r="WS653"/>
      <c r="WT653"/>
      <c r="WU653"/>
      <c r="WV653"/>
      <c r="WW653"/>
      <c r="WX653"/>
      <c r="WY653"/>
      <c r="WZ653"/>
      <c r="XA653"/>
      <c r="XB653"/>
      <c r="XC653"/>
      <c r="XD653"/>
      <c r="XE653"/>
      <c r="XF653"/>
      <c r="XG653"/>
      <c r="XH653"/>
      <c r="XI653"/>
      <c r="XJ653"/>
      <c r="XK653"/>
      <c r="XL653"/>
      <c r="XM653"/>
      <c r="XN653"/>
      <c r="XO653"/>
      <c r="XP653"/>
      <c r="XQ653"/>
      <c r="XR653"/>
      <c r="XS653"/>
      <c r="XT653"/>
      <c r="XU653"/>
      <c r="XV653"/>
      <c r="XW653"/>
      <c r="XX653"/>
      <c r="XY653"/>
      <c r="XZ653"/>
      <c r="YA653"/>
      <c r="YB653"/>
      <c r="YC653"/>
      <c r="YD653"/>
      <c r="YE653"/>
      <c r="YF653"/>
      <c r="YG653"/>
      <c r="YH653"/>
      <c r="YI653"/>
      <c r="YJ653"/>
      <c r="YK653"/>
      <c r="YL653"/>
      <c r="YM653"/>
      <c r="YN653"/>
      <c r="YO653"/>
      <c r="YP653"/>
      <c r="YQ653"/>
      <c r="YR653"/>
      <c r="YS653"/>
      <c r="YT653"/>
      <c r="YU653"/>
      <c r="YV653"/>
      <c r="YW653"/>
      <c r="YX653"/>
      <c r="YY653"/>
      <c r="YZ653"/>
      <c r="ZA653"/>
      <c r="ZB653"/>
      <c r="ZC653"/>
      <c r="ZD653"/>
      <c r="ZE653"/>
      <c r="ZF653"/>
      <c r="ZG653"/>
      <c r="ZH653"/>
      <c r="ZI653"/>
      <c r="ZJ653"/>
      <c r="ZK653"/>
      <c r="ZL653"/>
      <c r="ZM653"/>
      <c r="ZN653"/>
      <c r="ZO653"/>
      <c r="ZP653"/>
      <c r="ZQ653"/>
      <c r="ZR653"/>
      <c r="ZS653"/>
      <c r="ZT653"/>
      <c r="ZU653"/>
      <c r="ZV653"/>
      <c r="ZW653"/>
      <c r="ZX653"/>
      <c r="ZY653"/>
      <c r="ZZ653" s="52"/>
      <c r="AAA653" s="192"/>
      <c r="AAD653" s="90"/>
      <c r="AAE653" s="519">
        <f>IF(S.SIP.Involved="Y",1,0)</f>
        <v>1</v>
      </c>
      <c r="AAF653" s="90"/>
      <c r="AAG653" s="73">
        <f>IF(AAE653=0,,S.EQC.BANNER.Begin)</f>
        <v>41572</v>
      </c>
      <c r="AAH653" s="73">
        <f t="shared" si="545"/>
        <v>41676</v>
      </c>
      <c r="AAI653" s="72"/>
      <c r="AAJ653" s="185"/>
      <c r="AAK653" s="80" t="str">
        <f>IF(S.SIP.Involved="Y","- "&amp; S.Staff.SIPCo&amp;" for SIP review","- no SIP involved")</f>
        <v>- AndreaSIP for SIP review</v>
      </c>
      <c r="AAL653" s="90"/>
    </row>
    <row r="654" spans="1:715" s="23" customFormat="1" ht="15" customHeight="1" outlineLevel="2">
      <c r="A654" s="171"/>
      <c r="B654" s="705" t="str">
        <f>AAK654</f>
        <v>- AndreaDRC for division continuity</v>
      </c>
      <c r="C654" s="376" t="s">
        <v>0</v>
      </c>
      <c r="D654" s="423"/>
      <c r="E654" s="397">
        <f t="shared" ref="E654:E655" si="553">NETWORKDAYS(G654,H654,S.DDL_DEQClosed)</f>
        <v>70</v>
      </c>
      <c r="F654" s="457">
        <f t="shared" ref="F654:F655" ca="1" si="554">IF(YEAR(H654)&gt;2000,NETWORKDAYS(TODAY(),H654,S.DDL_DEQClosed),0)</f>
        <v>69</v>
      </c>
      <c r="G654" s="400">
        <f t="shared" ref="G654:G655" si="555">AAG654</f>
        <v>41572</v>
      </c>
      <c r="H654" s="400">
        <f t="shared" ref="H654:H655" si="556">AAH654</f>
        <v>41676</v>
      </c>
      <c r="I654" s="244"/>
      <c r="J654" s="194"/>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c r="BE654" s="49"/>
      <c r="BF654" s="49"/>
      <c r="BG654" s="49"/>
      <c r="BH654" s="49"/>
      <c r="BI654" s="49"/>
      <c r="BJ654" s="49"/>
      <c r="BK654" s="49"/>
      <c r="BL654" s="49"/>
      <c r="BM654" s="49"/>
      <c r="BN654" s="49"/>
      <c r="BO654" s="49"/>
      <c r="BP654" s="49"/>
      <c r="BQ654" s="49"/>
      <c r="BR654" s="49"/>
      <c r="BS654" s="49"/>
      <c r="BT654" s="49"/>
      <c r="BU654" s="49"/>
      <c r="BV654" s="49"/>
      <c r="BW654" s="49"/>
      <c r="BX654" s="49"/>
      <c r="BY654" s="49"/>
      <c r="BZ654" s="49"/>
      <c r="CA654" s="49"/>
      <c r="CB654" s="49"/>
      <c r="CC654" s="49"/>
      <c r="CD654" s="49"/>
      <c r="CE654" s="49"/>
      <c r="CF654" s="49"/>
      <c r="CG654" s="49"/>
      <c r="CH654" s="49"/>
      <c r="CI654" s="49"/>
      <c r="CJ654" s="49"/>
      <c r="CK654" s="49"/>
      <c r="CL654" s="49"/>
      <c r="CM654" s="49"/>
      <c r="CN654" s="49"/>
      <c r="CO654" s="49"/>
      <c r="CP654" s="49"/>
      <c r="CQ654" s="49"/>
      <c r="CR654" s="49"/>
      <c r="CS654" s="49"/>
      <c r="CT654" s="49"/>
      <c r="CU654" s="49"/>
      <c r="CV654" s="49"/>
      <c r="CW654" s="49"/>
      <c r="CX654" s="49"/>
      <c r="CY654" s="49"/>
      <c r="CZ654" s="49"/>
      <c r="DA654" s="49"/>
      <c r="DB654" s="49"/>
      <c r="DC654" s="49"/>
      <c r="DD654" s="49"/>
      <c r="DE654" s="49"/>
      <c r="DF654" s="49"/>
      <c r="DG654" s="49"/>
      <c r="DH654" s="49"/>
      <c r="DI654" s="49"/>
      <c r="DJ654" s="49"/>
      <c r="DK654" s="49"/>
      <c r="DL654" s="49"/>
      <c r="DM654" s="49"/>
      <c r="DN654" s="49"/>
      <c r="DO654" s="49"/>
      <c r="DP654" s="49"/>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c r="IW654"/>
      <c r="IX654"/>
      <c r="IY654"/>
      <c r="IZ654"/>
      <c r="JA654"/>
      <c r="JB654"/>
      <c r="JC654"/>
      <c r="JD654"/>
      <c r="JE654"/>
      <c r="JF654"/>
      <c r="JG654"/>
      <c r="JH654"/>
      <c r="JI654"/>
      <c r="JJ654"/>
      <c r="JK654"/>
      <c r="JL654"/>
      <c r="JM654"/>
      <c r="JN654"/>
      <c r="JO654"/>
      <c r="JP654"/>
      <c r="JQ654"/>
      <c r="JR654"/>
      <c r="JS654"/>
      <c r="JT654"/>
      <c r="JU654"/>
      <c r="JV654"/>
      <c r="JW654"/>
      <c r="JX654"/>
      <c r="JY654"/>
      <c r="JZ654"/>
      <c r="KA654"/>
      <c r="KB654"/>
      <c r="KC654"/>
      <c r="KD654"/>
      <c r="KE654"/>
      <c r="KF654"/>
      <c r="KG654"/>
      <c r="KH654"/>
      <c r="KI654"/>
      <c r="KJ654"/>
      <c r="KK654"/>
      <c r="KL654"/>
      <c r="KM654"/>
      <c r="KN654"/>
      <c r="KO654"/>
      <c r="KP654"/>
      <c r="KQ654"/>
      <c r="KR654"/>
      <c r="KS654"/>
      <c r="KT654"/>
      <c r="KU654"/>
      <c r="KV654"/>
      <c r="KW654"/>
      <c r="KX654"/>
      <c r="KY654"/>
      <c r="KZ654"/>
      <c r="LA654"/>
      <c r="LB654"/>
      <c r="LC654"/>
      <c r="LD654"/>
      <c r="LE654"/>
      <c r="LF654"/>
      <c r="LG654"/>
      <c r="LH654"/>
      <c r="LI654"/>
      <c r="LJ654"/>
      <c r="LK654"/>
      <c r="LL654"/>
      <c r="LM654"/>
      <c r="LN654"/>
      <c r="LO654"/>
      <c r="LP654"/>
      <c r="LQ654"/>
      <c r="LR654"/>
      <c r="LS654"/>
      <c r="LT654"/>
      <c r="LU654"/>
      <c r="LV654"/>
      <c r="LW654"/>
      <c r="LX654"/>
      <c r="LY654"/>
      <c r="LZ654"/>
      <c r="MA654"/>
      <c r="MB654"/>
      <c r="MC654"/>
      <c r="MD654"/>
      <c r="ME654"/>
      <c r="MF654"/>
      <c r="MG654"/>
      <c r="MH654"/>
      <c r="MI654"/>
      <c r="MJ654"/>
      <c r="MK654"/>
      <c r="ML654"/>
      <c r="MM654"/>
      <c r="MN654"/>
      <c r="MO654"/>
      <c r="MP654"/>
      <c r="MQ654"/>
      <c r="MR654"/>
      <c r="MS654"/>
      <c r="MT654"/>
      <c r="MU654"/>
      <c r="MV654"/>
      <c r="MW654"/>
      <c r="MX654"/>
      <c r="MY654"/>
      <c r="MZ654"/>
      <c r="NA654"/>
      <c r="NB654"/>
      <c r="NC654"/>
      <c r="ND654"/>
      <c r="NE654"/>
      <c r="NF654"/>
      <c r="NG654"/>
      <c r="NH654"/>
      <c r="NI654"/>
      <c r="NJ654"/>
      <c r="NK654"/>
      <c r="NL654"/>
      <c r="NM654"/>
      <c r="NN654"/>
      <c r="NO654"/>
      <c r="NP654"/>
      <c r="NQ654"/>
      <c r="NR654"/>
      <c r="NS654"/>
      <c r="NT654"/>
      <c r="NU654"/>
      <c r="NV654"/>
      <c r="NW654"/>
      <c r="NX654"/>
      <c r="NY654"/>
      <c r="NZ654"/>
      <c r="OA654"/>
      <c r="OB654"/>
      <c r="OC654"/>
      <c r="OD654"/>
      <c r="OE654"/>
      <c r="OF654"/>
      <c r="OG654"/>
      <c r="OH654"/>
      <c r="OI654"/>
      <c r="OJ654"/>
      <c r="OK654"/>
      <c r="OL654"/>
      <c r="OM654"/>
      <c r="ON654"/>
      <c r="OO654"/>
      <c r="OP654"/>
      <c r="OQ654"/>
      <c r="OR654"/>
      <c r="OS654"/>
      <c r="OT654"/>
      <c r="OU654"/>
      <c r="OV654"/>
      <c r="OW654"/>
      <c r="OX654"/>
      <c r="OY654"/>
      <c r="OZ654"/>
      <c r="PA654"/>
      <c r="PB654"/>
      <c r="PC654"/>
      <c r="PD654"/>
      <c r="PE654"/>
      <c r="PF654"/>
      <c r="PG654"/>
      <c r="PH654"/>
      <c r="PI654"/>
      <c r="PJ654"/>
      <c r="PK654"/>
      <c r="PL654"/>
      <c r="PM654"/>
      <c r="PN654"/>
      <c r="PO654"/>
      <c r="PP654"/>
      <c r="PQ654"/>
      <c r="PR654"/>
      <c r="PS654"/>
      <c r="PT654"/>
      <c r="PU654"/>
      <c r="PV654"/>
      <c r="PW654"/>
      <c r="PX654"/>
      <c r="PY654"/>
      <c r="PZ654"/>
      <c r="QA654"/>
      <c r="QB654"/>
      <c r="QC654"/>
      <c r="QD654"/>
      <c r="QE654"/>
      <c r="QF654"/>
      <c r="QG654"/>
      <c r="QH654"/>
      <c r="QI654"/>
      <c r="QJ654"/>
      <c r="QK654"/>
      <c r="QL654"/>
      <c r="QM654"/>
      <c r="QN654"/>
      <c r="QO654"/>
      <c r="QP654"/>
      <c r="QQ654"/>
      <c r="QR654"/>
      <c r="QS654"/>
      <c r="QT654"/>
      <c r="QU654"/>
      <c r="QV654"/>
      <c r="QW654"/>
      <c r="QX654"/>
      <c r="QY654"/>
      <c r="QZ654"/>
      <c r="RA654"/>
      <c r="RB654"/>
      <c r="RC654"/>
      <c r="RD654"/>
      <c r="RE654"/>
      <c r="RF654"/>
      <c r="RG654"/>
      <c r="RH654"/>
      <c r="RI654"/>
      <c r="RJ654"/>
      <c r="RK654"/>
      <c r="RL654"/>
      <c r="RM654"/>
      <c r="RN654"/>
      <c r="RO654"/>
      <c r="RP654"/>
      <c r="RQ654"/>
      <c r="RR654"/>
      <c r="RS654"/>
      <c r="RT654"/>
      <c r="RU654"/>
      <c r="RV654"/>
      <c r="RW654"/>
      <c r="RX654"/>
      <c r="RY654"/>
      <c r="RZ654"/>
      <c r="SA654"/>
      <c r="SB654"/>
      <c r="SC654"/>
      <c r="SD654"/>
      <c r="SE654"/>
      <c r="SF654"/>
      <c r="SG654"/>
      <c r="SH654"/>
      <c r="SI654"/>
      <c r="SJ654"/>
      <c r="SK654"/>
      <c r="SL654"/>
      <c r="SM654"/>
      <c r="SN654"/>
      <c r="SO654"/>
      <c r="SP654"/>
      <c r="SQ654"/>
      <c r="SR654"/>
      <c r="SS654"/>
      <c r="ST654"/>
      <c r="SU654"/>
      <c r="SV654"/>
      <c r="SW654"/>
      <c r="SX654"/>
      <c r="SY654"/>
      <c r="SZ654"/>
      <c r="TA654"/>
      <c r="TB654"/>
      <c r="TC654"/>
      <c r="TD654"/>
      <c r="TE654"/>
      <c r="TF654"/>
      <c r="TG654"/>
      <c r="TH654"/>
      <c r="TI654"/>
      <c r="TJ654"/>
      <c r="TK654"/>
      <c r="TL654"/>
      <c r="TM654"/>
      <c r="TN654"/>
      <c r="TO654"/>
      <c r="TP654"/>
      <c r="TQ654"/>
      <c r="TR654"/>
      <c r="TS654"/>
      <c r="TT654"/>
      <c r="TU654"/>
      <c r="TV654"/>
      <c r="TW654"/>
      <c r="TX654"/>
      <c r="TY654"/>
      <c r="TZ654"/>
      <c r="UA654"/>
      <c r="UB654"/>
      <c r="UC654"/>
      <c r="UD654"/>
      <c r="UE654"/>
      <c r="UF654"/>
      <c r="UG654"/>
      <c r="UH654"/>
      <c r="UI654"/>
      <c r="UJ654"/>
      <c r="UK654"/>
      <c r="UL654"/>
      <c r="UM654"/>
      <c r="UN654"/>
      <c r="UO654"/>
      <c r="UP654"/>
      <c r="UQ654"/>
      <c r="UR654"/>
      <c r="US654"/>
      <c r="UT654"/>
      <c r="UU654"/>
      <c r="UV654"/>
      <c r="UW654"/>
      <c r="UX654"/>
      <c r="UY654"/>
      <c r="UZ654"/>
      <c r="VA654"/>
      <c r="VB654"/>
      <c r="VC654"/>
      <c r="VD654"/>
      <c r="VE654"/>
      <c r="VF654"/>
      <c r="VG654"/>
      <c r="VH654"/>
      <c r="VI654"/>
      <c r="VJ654"/>
      <c r="VK654"/>
      <c r="VL654"/>
      <c r="VM654"/>
      <c r="VN654"/>
      <c r="VO654"/>
      <c r="VP654"/>
      <c r="VQ654"/>
      <c r="VR654"/>
      <c r="VS654"/>
      <c r="VT654"/>
      <c r="VU654"/>
      <c r="VV654"/>
      <c r="VW654"/>
      <c r="VX654"/>
      <c r="VY654"/>
      <c r="VZ654"/>
      <c r="WA654"/>
      <c r="WB654"/>
      <c r="WC654"/>
      <c r="WD654"/>
      <c r="WE654"/>
      <c r="WF654"/>
      <c r="WG654"/>
      <c r="WH654"/>
      <c r="WI654"/>
      <c r="WJ654"/>
      <c r="WK654"/>
      <c r="WL654"/>
      <c r="WM654"/>
      <c r="WN654"/>
      <c r="WO654"/>
      <c r="WP654"/>
      <c r="WQ654"/>
      <c r="WR654"/>
      <c r="WS654"/>
      <c r="WT654"/>
      <c r="WU654"/>
      <c r="WV654"/>
      <c r="WW654"/>
      <c r="WX654"/>
      <c r="WY654"/>
      <c r="WZ654"/>
      <c r="XA654"/>
      <c r="XB654"/>
      <c r="XC654"/>
      <c r="XD654"/>
      <c r="XE654"/>
      <c r="XF654"/>
      <c r="XG654"/>
      <c r="XH654"/>
      <c r="XI654"/>
      <c r="XJ654"/>
      <c r="XK654"/>
      <c r="XL654"/>
      <c r="XM654"/>
      <c r="XN654"/>
      <c r="XO654"/>
      <c r="XP654"/>
      <c r="XQ654"/>
      <c r="XR654"/>
      <c r="XS654"/>
      <c r="XT654"/>
      <c r="XU654"/>
      <c r="XV654"/>
      <c r="XW654"/>
      <c r="XX654"/>
      <c r="XY654"/>
      <c r="XZ654"/>
      <c r="YA654"/>
      <c r="YB654"/>
      <c r="YC654"/>
      <c r="YD654"/>
      <c r="YE654"/>
      <c r="YF654"/>
      <c r="YG654"/>
      <c r="YH654"/>
      <c r="YI654"/>
      <c r="YJ654"/>
      <c r="YK654"/>
      <c r="YL654"/>
      <c r="YM654"/>
      <c r="YN654"/>
      <c r="YO654"/>
      <c r="YP654"/>
      <c r="YQ654"/>
      <c r="YR654"/>
      <c r="YS654"/>
      <c r="YT654"/>
      <c r="YU654"/>
      <c r="YV654"/>
      <c r="YW654"/>
      <c r="YX654"/>
      <c r="YY654"/>
      <c r="YZ654"/>
      <c r="ZA654"/>
      <c r="ZB654"/>
      <c r="ZC654"/>
      <c r="ZD654"/>
      <c r="ZE654"/>
      <c r="ZF654"/>
      <c r="ZG654"/>
      <c r="ZH654"/>
      <c r="ZI654"/>
      <c r="ZJ654"/>
      <c r="ZK654"/>
      <c r="ZL654"/>
      <c r="ZM654"/>
      <c r="ZN654"/>
      <c r="ZO654"/>
      <c r="ZP654"/>
      <c r="ZQ654"/>
      <c r="ZR654"/>
      <c r="ZS654"/>
      <c r="ZT654"/>
      <c r="ZU654"/>
      <c r="ZV654"/>
      <c r="ZW654"/>
      <c r="ZX654"/>
      <c r="ZY654"/>
      <c r="ZZ654" s="52"/>
      <c r="AAA654" s="192"/>
      <c r="AAD654" s="90"/>
      <c r="AAE654" s="519">
        <v>1</v>
      </c>
      <c r="AAF654" s="90"/>
      <c r="AAG654" s="73">
        <f>S.EQC.BANNER.Begin</f>
        <v>41572</v>
      </c>
      <c r="AAH654" s="73">
        <f t="shared" si="545"/>
        <v>41676</v>
      </c>
      <c r="AAI654" s="72"/>
      <c r="AAJ654" s="185"/>
      <c r="AAK654" s="80" t="str">
        <f>"- "&amp;S.Staff.DivisionRulesCoordinator&amp;" for division continuity"</f>
        <v>- AndreaDRC for division continuity</v>
      </c>
      <c r="AAL654" s="90"/>
    </row>
    <row r="655" spans="1:715" s="23" customFormat="1" ht="15" hidden="1" customHeight="1" outlineLevel="3">
      <c r="A655" s="171"/>
      <c r="B655" s="707" t="s">
        <v>375</v>
      </c>
      <c r="C655" s="376" t="s">
        <v>0</v>
      </c>
      <c r="D655" s="423"/>
      <c r="E655" s="397">
        <f t="shared" si="553"/>
        <v>70</v>
      </c>
      <c r="F655" s="457">
        <f t="shared" ca="1" si="554"/>
        <v>69</v>
      </c>
      <c r="G655" s="400">
        <f t="shared" si="555"/>
        <v>41572</v>
      </c>
      <c r="H655" s="400">
        <f t="shared" si="556"/>
        <v>41676</v>
      </c>
      <c r="I655" s="244"/>
      <c r="J655" s="194"/>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49"/>
      <c r="BF655" s="49"/>
      <c r="BG655" s="49"/>
      <c r="BH655" s="49"/>
      <c r="BI655" s="49"/>
      <c r="BJ655" s="49"/>
      <c r="BK655" s="49"/>
      <c r="BL655" s="49"/>
      <c r="BM655" s="49"/>
      <c r="BN655" s="49"/>
      <c r="BO655" s="49"/>
      <c r="BP655" s="49"/>
      <c r="BQ655" s="49"/>
      <c r="BR655" s="49"/>
      <c r="BS655" s="49"/>
      <c r="BT655" s="49"/>
      <c r="BU655" s="49"/>
      <c r="BV655" s="49"/>
      <c r="BW655" s="49"/>
      <c r="BX655" s="49"/>
      <c r="BY655" s="49"/>
      <c r="BZ655" s="49"/>
      <c r="CA655" s="49"/>
      <c r="CB655" s="49"/>
      <c r="CC655" s="49"/>
      <c r="CD655" s="49"/>
      <c r="CE655" s="49"/>
      <c r="CF655" s="49"/>
      <c r="CG655" s="49"/>
      <c r="CH655" s="49"/>
      <c r="CI655" s="49"/>
      <c r="CJ655" s="49"/>
      <c r="CK655" s="49"/>
      <c r="CL655" s="49"/>
      <c r="CM655" s="49"/>
      <c r="CN655" s="49"/>
      <c r="CO655" s="49"/>
      <c r="CP655" s="49"/>
      <c r="CQ655" s="49"/>
      <c r="CR655" s="49"/>
      <c r="CS655" s="49"/>
      <c r="CT655" s="49"/>
      <c r="CU655" s="49"/>
      <c r="CV655" s="49"/>
      <c r="CW655" s="49"/>
      <c r="CX655" s="49"/>
      <c r="CY655" s="49"/>
      <c r="CZ655" s="49"/>
      <c r="DA655" s="49"/>
      <c r="DB655" s="49"/>
      <c r="DC655" s="49"/>
      <c r="DD655" s="49"/>
      <c r="DE655" s="49"/>
      <c r="DF655" s="49"/>
      <c r="DG655" s="49"/>
      <c r="DH655" s="49"/>
      <c r="DI655" s="49"/>
      <c r="DJ655" s="49"/>
      <c r="DK655" s="49"/>
      <c r="DL655" s="49"/>
      <c r="DM655" s="49"/>
      <c r="DN655" s="49"/>
      <c r="DO655" s="49"/>
      <c r="DP655" s="49"/>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c r="IW655"/>
      <c r="IX655"/>
      <c r="IY655"/>
      <c r="IZ655"/>
      <c r="JA655"/>
      <c r="JB655"/>
      <c r="JC655"/>
      <c r="JD655"/>
      <c r="JE655"/>
      <c r="JF655"/>
      <c r="JG655"/>
      <c r="JH655"/>
      <c r="JI655"/>
      <c r="JJ655"/>
      <c r="JK655"/>
      <c r="JL655"/>
      <c r="JM655"/>
      <c r="JN655"/>
      <c r="JO655"/>
      <c r="JP655"/>
      <c r="JQ655"/>
      <c r="JR655"/>
      <c r="JS655"/>
      <c r="JT655"/>
      <c r="JU655"/>
      <c r="JV655"/>
      <c r="JW655"/>
      <c r="JX655"/>
      <c r="JY655"/>
      <c r="JZ655"/>
      <c r="KA655"/>
      <c r="KB655"/>
      <c r="KC655"/>
      <c r="KD655"/>
      <c r="KE655"/>
      <c r="KF655"/>
      <c r="KG655"/>
      <c r="KH655"/>
      <c r="KI655"/>
      <c r="KJ655"/>
      <c r="KK655"/>
      <c r="KL655"/>
      <c r="KM655"/>
      <c r="KN655"/>
      <c r="KO655"/>
      <c r="KP655"/>
      <c r="KQ655"/>
      <c r="KR655"/>
      <c r="KS655"/>
      <c r="KT655"/>
      <c r="KU655"/>
      <c r="KV655"/>
      <c r="KW655"/>
      <c r="KX655"/>
      <c r="KY655"/>
      <c r="KZ655"/>
      <c r="LA655"/>
      <c r="LB655"/>
      <c r="LC655"/>
      <c r="LD655"/>
      <c r="LE655"/>
      <c r="LF655"/>
      <c r="LG655"/>
      <c r="LH655"/>
      <c r="LI655"/>
      <c r="LJ655"/>
      <c r="LK655"/>
      <c r="LL655"/>
      <c r="LM655"/>
      <c r="LN655"/>
      <c r="LO655"/>
      <c r="LP655"/>
      <c r="LQ655"/>
      <c r="LR655"/>
      <c r="LS655"/>
      <c r="LT655"/>
      <c r="LU655"/>
      <c r="LV655"/>
      <c r="LW655"/>
      <c r="LX655"/>
      <c r="LY655"/>
      <c r="LZ655"/>
      <c r="MA655"/>
      <c r="MB655"/>
      <c r="MC655"/>
      <c r="MD655"/>
      <c r="ME655"/>
      <c r="MF655"/>
      <c r="MG655"/>
      <c r="MH655"/>
      <c r="MI655"/>
      <c r="MJ655"/>
      <c r="MK655"/>
      <c r="ML655"/>
      <c r="MM655"/>
      <c r="MN655"/>
      <c r="MO655"/>
      <c r="MP655"/>
      <c r="MQ655"/>
      <c r="MR655"/>
      <c r="MS655"/>
      <c r="MT655"/>
      <c r="MU655"/>
      <c r="MV655"/>
      <c r="MW655"/>
      <c r="MX655"/>
      <c r="MY655"/>
      <c r="MZ655"/>
      <c r="NA655"/>
      <c r="NB655"/>
      <c r="NC655"/>
      <c r="ND655"/>
      <c r="NE655"/>
      <c r="NF655"/>
      <c r="NG655"/>
      <c r="NH655"/>
      <c r="NI655"/>
      <c r="NJ655"/>
      <c r="NK655"/>
      <c r="NL655"/>
      <c r="NM655"/>
      <c r="NN655"/>
      <c r="NO655"/>
      <c r="NP655"/>
      <c r="NQ655"/>
      <c r="NR655"/>
      <c r="NS655"/>
      <c r="NT655"/>
      <c r="NU655"/>
      <c r="NV655"/>
      <c r="NW655"/>
      <c r="NX655"/>
      <c r="NY655"/>
      <c r="NZ655"/>
      <c r="OA655"/>
      <c r="OB655"/>
      <c r="OC655"/>
      <c r="OD655"/>
      <c r="OE655"/>
      <c r="OF655"/>
      <c r="OG655"/>
      <c r="OH655"/>
      <c r="OI655"/>
      <c r="OJ655"/>
      <c r="OK655"/>
      <c r="OL655"/>
      <c r="OM655"/>
      <c r="ON655"/>
      <c r="OO655"/>
      <c r="OP655"/>
      <c r="OQ655"/>
      <c r="OR655"/>
      <c r="OS655"/>
      <c r="OT655"/>
      <c r="OU655"/>
      <c r="OV655"/>
      <c r="OW655"/>
      <c r="OX655"/>
      <c r="OY655"/>
      <c r="OZ655"/>
      <c r="PA655"/>
      <c r="PB655"/>
      <c r="PC655"/>
      <c r="PD655"/>
      <c r="PE655"/>
      <c r="PF655"/>
      <c r="PG655"/>
      <c r="PH655"/>
      <c r="PI655"/>
      <c r="PJ655"/>
      <c r="PK655"/>
      <c r="PL655"/>
      <c r="PM655"/>
      <c r="PN655"/>
      <c r="PO655"/>
      <c r="PP655"/>
      <c r="PQ655"/>
      <c r="PR655"/>
      <c r="PS655"/>
      <c r="PT655"/>
      <c r="PU655"/>
      <c r="PV655"/>
      <c r="PW655"/>
      <c r="PX655"/>
      <c r="PY655"/>
      <c r="PZ655"/>
      <c r="QA655"/>
      <c r="QB655"/>
      <c r="QC655"/>
      <c r="QD655"/>
      <c r="QE655"/>
      <c r="QF655"/>
      <c r="QG655"/>
      <c r="QH655"/>
      <c r="QI655"/>
      <c r="QJ655"/>
      <c r="QK655"/>
      <c r="QL655"/>
      <c r="QM655"/>
      <c r="QN655"/>
      <c r="QO655"/>
      <c r="QP655"/>
      <c r="QQ655"/>
      <c r="QR655"/>
      <c r="QS655"/>
      <c r="QT655"/>
      <c r="QU655"/>
      <c r="QV655"/>
      <c r="QW655"/>
      <c r="QX655"/>
      <c r="QY655"/>
      <c r="QZ655"/>
      <c r="RA655"/>
      <c r="RB655"/>
      <c r="RC655"/>
      <c r="RD655"/>
      <c r="RE655"/>
      <c r="RF655"/>
      <c r="RG655"/>
      <c r="RH655"/>
      <c r="RI655"/>
      <c r="RJ655"/>
      <c r="RK655"/>
      <c r="RL655"/>
      <c r="RM655"/>
      <c r="RN655"/>
      <c r="RO655"/>
      <c r="RP655"/>
      <c r="RQ655"/>
      <c r="RR655"/>
      <c r="RS655"/>
      <c r="RT655"/>
      <c r="RU655"/>
      <c r="RV655"/>
      <c r="RW655"/>
      <c r="RX655"/>
      <c r="RY655"/>
      <c r="RZ655"/>
      <c r="SA655"/>
      <c r="SB655"/>
      <c r="SC655"/>
      <c r="SD655"/>
      <c r="SE655"/>
      <c r="SF655"/>
      <c r="SG655"/>
      <c r="SH655"/>
      <c r="SI655"/>
      <c r="SJ655"/>
      <c r="SK655"/>
      <c r="SL655"/>
      <c r="SM655"/>
      <c r="SN655"/>
      <c r="SO655"/>
      <c r="SP655"/>
      <c r="SQ655"/>
      <c r="SR655"/>
      <c r="SS655"/>
      <c r="ST655"/>
      <c r="SU655"/>
      <c r="SV655"/>
      <c r="SW655"/>
      <c r="SX655"/>
      <c r="SY655"/>
      <c r="SZ655"/>
      <c r="TA655"/>
      <c r="TB655"/>
      <c r="TC655"/>
      <c r="TD655"/>
      <c r="TE655"/>
      <c r="TF655"/>
      <c r="TG655"/>
      <c r="TH655"/>
      <c r="TI655"/>
      <c r="TJ655"/>
      <c r="TK655"/>
      <c r="TL655"/>
      <c r="TM655"/>
      <c r="TN655"/>
      <c r="TO655"/>
      <c r="TP655"/>
      <c r="TQ655"/>
      <c r="TR655"/>
      <c r="TS655"/>
      <c r="TT655"/>
      <c r="TU655"/>
      <c r="TV655"/>
      <c r="TW655"/>
      <c r="TX655"/>
      <c r="TY655"/>
      <c r="TZ655"/>
      <c r="UA655"/>
      <c r="UB655"/>
      <c r="UC655"/>
      <c r="UD655"/>
      <c r="UE655"/>
      <c r="UF655"/>
      <c r="UG655"/>
      <c r="UH655"/>
      <c r="UI655"/>
      <c r="UJ655"/>
      <c r="UK655"/>
      <c r="UL655"/>
      <c r="UM655"/>
      <c r="UN655"/>
      <c r="UO655"/>
      <c r="UP655"/>
      <c r="UQ655"/>
      <c r="UR655"/>
      <c r="US655"/>
      <c r="UT655"/>
      <c r="UU655"/>
      <c r="UV655"/>
      <c r="UW655"/>
      <c r="UX655"/>
      <c r="UY655"/>
      <c r="UZ655"/>
      <c r="VA655"/>
      <c r="VB655"/>
      <c r="VC655"/>
      <c r="VD655"/>
      <c r="VE655"/>
      <c r="VF655"/>
      <c r="VG655"/>
      <c r="VH655"/>
      <c r="VI655"/>
      <c r="VJ655"/>
      <c r="VK655"/>
      <c r="VL655"/>
      <c r="VM655"/>
      <c r="VN655"/>
      <c r="VO655"/>
      <c r="VP655"/>
      <c r="VQ655"/>
      <c r="VR655"/>
      <c r="VS655"/>
      <c r="VT655"/>
      <c r="VU655"/>
      <c r="VV655"/>
      <c r="VW655"/>
      <c r="VX655"/>
      <c r="VY655"/>
      <c r="VZ655"/>
      <c r="WA655"/>
      <c r="WB655"/>
      <c r="WC655"/>
      <c r="WD655"/>
      <c r="WE655"/>
      <c r="WF655"/>
      <c r="WG655"/>
      <c r="WH655"/>
      <c r="WI655"/>
      <c r="WJ655"/>
      <c r="WK655"/>
      <c r="WL655"/>
      <c r="WM655"/>
      <c r="WN655"/>
      <c r="WO655"/>
      <c r="WP655"/>
      <c r="WQ655"/>
      <c r="WR655"/>
      <c r="WS655"/>
      <c r="WT655"/>
      <c r="WU655"/>
      <c r="WV655"/>
      <c r="WW655"/>
      <c r="WX655"/>
      <c r="WY655"/>
      <c r="WZ655"/>
      <c r="XA655"/>
      <c r="XB655"/>
      <c r="XC655"/>
      <c r="XD655"/>
      <c r="XE655"/>
      <c r="XF655"/>
      <c r="XG655"/>
      <c r="XH655"/>
      <c r="XI655"/>
      <c r="XJ655"/>
      <c r="XK655"/>
      <c r="XL655"/>
      <c r="XM655"/>
      <c r="XN655"/>
      <c r="XO655"/>
      <c r="XP655"/>
      <c r="XQ655"/>
      <c r="XR655"/>
      <c r="XS655"/>
      <c r="XT655"/>
      <c r="XU655"/>
      <c r="XV655"/>
      <c r="XW655"/>
      <c r="XX655"/>
      <c r="XY655"/>
      <c r="XZ655"/>
      <c r="YA655"/>
      <c r="YB655"/>
      <c r="YC655"/>
      <c r="YD655"/>
      <c r="YE655"/>
      <c r="YF655"/>
      <c r="YG655"/>
      <c r="YH655"/>
      <c r="YI655"/>
      <c r="YJ655"/>
      <c r="YK655"/>
      <c r="YL655"/>
      <c r="YM655"/>
      <c r="YN655"/>
      <c r="YO655"/>
      <c r="YP655"/>
      <c r="YQ655"/>
      <c r="YR655"/>
      <c r="YS655"/>
      <c r="YT655"/>
      <c r="YU655"/>
      <c r="YV655"/>
      <c r="YW655"/>
      <c r="YX655"/>
      <c r="YY655"/>
      <c r="YZ655"/>
      <c r="ZA655"/>
      <c r="ZB655"/>
      <c r="ZC655"/>
      <c r="ZD655"/>
      <c r="ZE655"/>
      <c r="ZF655"/>
      <c r="ZG655"/>
      <c r="ZH655"/>
      <c r="ZI655"/>
      <c r="ZJ655"/>
      <c r="ZK655"/>
      <c r="ZL655"/>
      <c r="ZM655"/>
      <c r="ZN655"/>
      <c r="ZO655"/>
      <c r="ZP655"/>
      <c r="ZQ655"/>
      <c r="ZR655"/>
      <c r="ZS655"/>
      <c r="ZT655"/>
      <c r="ZU655"/>
      <c r="ZV655"/>
      <c r="ZW655"/>
      <c r="ZX655"/>
      <c r="ZY655"/>
      <c r="ZZ655" s="52"/>
      <c r="AAA655" s="192"/>
      <c r="AAD655" s="90"/>
      <c r="AAE655" s="519">
        <v>1</v>
      </c>
      <c r="AAF655" s="90"/>
      <c r="AAG655" s="73">
        <f>S.EQC.BANNER.Begin</f>
        <v>41572</v>
      </c>
      <c r="AAH655" s="73">
        <f t="shared" si="545"/>
        <v>41676</v>
      </c>
      <c r="AAI655" s="72"/>
      <c r="AAJ655" s="185"/>
      <c r="AAK655" s="56"/>
      <c r="AAL655" s="90"/>
    </row>
    <row r="656" spans="1:715" s="23" customFormat="1" ht="15" hidden="1" customHeight="1" outlineLevel="3">
      <c r="A656" s="171"/>
      <c r="B656" s="707" t="s">
        <v>375</v>
      </c>
      <c r="C656" s="376" t="s">
        <v>0</v>
      </c>
      <c r="D656" s="423"/>
      <c r="E656" s="397">
        <f t="shared" ref="E656" si="557">NETWORKDAYS(G656,H656,S.DDL_DEQClosed)</f>
        <v>70</v>
      </c>
      <c r="F656" s="457">
        <f t="shared" ca="1" si="543"/>
        <v>69</v>
      </c>
      <c r="G656" s="400">
        <f t="shared" ref="G656" si="558">AAG656</f>
        <v>41572</v>
      </c>
      <c r="H656" s="400">
        <f t="shared" ref="H656" si="559">AAH656</f>
        <v>41676</v>
      </c>
      <c r="I656" s="244"/>
      <c r="J656" s="194"/>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49"/>
      <c r="AY656" s="49"/>
      <c r="AZ656" s="49"/>
      <c r="BA656" s="49"/>
      <c r="BB656" s="49"/>
      <c r="BC656" s="49"/>
      <c r="BD656" s="49"/>
      <c r="BE656" s="49"/>
      <c r="BF656" s="49"/>
      <c r="BG656" s="49"/>
      <c r="BH656" s="49"/>
      <c r="BI656" s="49"/>
      <c r="BJ656" s="49"/>
      <c r="BK656" s="49"/>
      <c r="BL656" s="49"/>
      <c r="BM656" s="49"/>
      <c r="BN656" s="49"/>
      <c r="BO656" s="49"/>
      <c r="BP656" s="49"/>
      <c r="BQ656" s="49"/>
      <c r="BR656" s="49"/>
      <c r="BS656" s="49"/>
      <c r="BT656" s="49"/>
      <c r="BU656" s="49"/>
      <c r="BV656" s="49"/>
      <c r="BW656" s="49"/>
      <c r="BX656" s="49"/>
      <c r="BY656" s="49"/>
      <c r="BZ656" s="49"/>
      <c r="CA656" s="49"/>
      <c r="CB656" s="49"/>
      <c r="CC656" s="49"/>
      <c r="CD656" s="49"/>
      <c r="CE656" s="49"/>
      <c r="CF656" s="49"/>
      <c r="CG656" s="49"/>
      <c r="CH656" s="49"/>
      <c r="CI656" s="49"/>
      <c r="CJ656" s="49"/>
      <c r="CK656" s="49"/>
      <c r="CL656" s="49"/>
      <c r="CM656" s="49"/>
      <c r="CN656" s="49"/>
      <c r="CO656" s="49"/>
      <c r="CP656" s="49"/>
      <c r="CQ656" s="49"/>
      <c r="CR656" s="49"/>
      <c r="CS656" s="49"/>
      <c r="CT656" s="49"/>
      <c r="CU656" s="49"/>
      <c r="CV656" s="49"/>
      <c r="CW656" s="49"/>
      <c r="CX656" s="49"/>
      <c r="CY656" s="49"/>
      <c r="CZ656" s="49"/>
      <c r="DA656" s="49"/>
      <c r="DB656" s="49"/>
      <c r="DC656" s="49"/>
      <c r="DD656" s="49"/>
      <c r="DE656" s="49"/>
      <c r="DF656" s="49"/>
      <c r="DG656" s="49"/>
      <c r="DH656" s="49"/>
      <c r="DI656" s="49"/>
      <c r="DJ656" s="49"/>
      <c r="DK656" s="49"/>
      <c r="DL656" s="49"/>
      <c r="DM656" s="49"/>
      <c r="DN656" s="49"/>
      <c r="DO656" s="49"/>
      <c r="DP656" s="49"/>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c r="IW656"/>
      <c r="IX656"/>
      <c r="IY656"/>
      <c r="IZ656"/>
      <c r="JA656"/>
      <c r="JB656"/>
      <c r="JC656"/>
      <c r="JD656"/>
      <c r="JE656"/>
      <c r="JF656"/>
      <c r="JG656"/>
      <c r="JH656"/>
      <c r="JI656"/>
      <c r="JJ656"/>
      <c r="JK656"/>
      <c r="JL656"/>
      <c r="JM656"/>
      <c r="JN656"/>
      <c r="JO656"/>
      <c r="JP656"/>
      <c r="JQ656"/>
      <c r="JR656"/>
      <c r="JS656"/>
      <c r="JT656"/>
      <c r="JU656"/>
      <c r="JV656"/>
      <c r="JW656"/>
      <c r="JX656"/>
      <c r="JY656"/>
      <c r="JZ656"/>
      <c r="KA656"/>
      <c r="KB656"/>
      <c r="KC656"/>
      <c r="KD656"/>
      <c r="KE656"/>
      <c r="KF656"/>
      <c r="KG656"/>
      <c r="KH656"/>
      <c r="KI656"/>
      <c r="KJ656"/>
      <c r="KK656"/>
      <c r="KL656"/>
      <c r="KM656"/>
      <c r="KN656"/>
      <c r="KO656"/>
      <c r="KP656"/>
      <c r="KQ656"/>
      <c r="KR656"/>
      <c r="KS656"/>
      <c r="KT656"/>
      <c r="KU656"/>
      <c r="KV656"/>
      <c r="KW656"/>
      <c r="KX656"/>
      <c r="KY656"/>
      <c r="KZ656"/>
      <c r="LA656"/>
      <c r="LB656"/>
      <c r="LC656"/>
      <c r="LD656"/>
      <c r="LE656"/>
      <c r="LF656"/>
      <c r="LG656"/>
      <c r="LH656"/>
      <c r="LI656"/>
      <c r="LJ656"/>
      <c r="LK656"/>
      <c r="LL656"/>
      <c r="LM656"/>
      <c r="LN656"/>
      <c r="LO656"/>
      <c r="LP656"/>
      <c r="LQ656"/>
      <c r="LR656"/>
      <c r="LS656"/>
      <c r="LT656"/>
      <c r="LU656"/>
      <c r="LV656"/>
      <c r="LW656"/>
      <c r="LX656"/>
      <c r="LY656"/>
      <c r="LZ656"/>
      <c r="MA656"/>
      <c r="MB656"/>
      <c r="MC656"/>
      <c r="MD656"/>
      <c r="ME656"/>
      <c r="MF656"/>
      <c r="MG656"/>
      <c r="MH656"/>
      <c r="MI656"/>
      <c r="MJ656"/>
      <c r="MK656"/>
      <c r="ML656"/>
      <c r="MM656"/>
      <c r="MN656"/>
      <c r="MO656"/>
      <c r="MP656"/>
      <c r="MQ656"/>
      <c r="MR656"/>
      <c r="MS656"/>
      <c r="MT656"/>
      <c r="MU656"/>
      <c r="MV656"/>
      <c r="MW656"/>
      <c r="MX656"/>
      <c r="MY656"/>
      <c r="MZ656"/>
      <c r="NA656"/>
      <c r="NB656"/>
      <c r="NC656"/>
      <c r="ND656"/>
      <c r="NE656"/>
      <c r="NF656"/>
      <c r="NG656"/>
      <c r="NH656"/>
      <c r="NI656"/>
      <c r="NJ656"/>
      <c r="NK656"/>
      <c r="NL656"/>
      <c r="NM656"/>
      <c r="NN656"/>
      <c r="NO656"/>
      <c r="NP656"/>
      <c r="NQ656"/>
      <c r="NR656"/>
      <c r="NS656"/>
      <c r="NT656"/>
      <c r="NU656"/>
      <c r="NV656"/>
      <c r="NW656"/>
      <c r="NX656"/>
      <c r="NY656"/>
      <c r="NZ656"/>
      <c r="OA656"/>
      <c r="OB656"/>
      <c r="OC656"/>
      <c r="OD656"/>
      <c r="OE656"/>
      <c r="OF656"/>
      <c r="OG656"/>
      <c r="OH656"/>
      <c r="OI656"/>
      <c r="OJ656"/>
      <c r="OK656"/>
      <c r="OL656"/>
      <c r="OM656"/>
      <c r="ON656"/>
      <c r="OO656"/>
      <c r="OP656"/>
      <c r="OQ656"/>
      <c r="OR656"/>
      <c r="OS656"/>
      <c r="OT656"/>
      <c r="OU656"/>
      <c r="OV656"/>
      <c r="OW656"/>
      <c r="OX656"/>
      <c r="OY656"/>
      <c r="OZ656"/>
      <c r="PA656"/>
      <c r="PB656"/>
      <c r="PC656"/>
      <c r="PD656"/>
      <c r="PE656"/>
      <c r="PF656"/>
      <c r="PG656"/>
      <c r="PH656"/>
      <c r="PI656"/>
      <c r="PJ656"/>
      <c r="PK656"/>
      <c r="PL656"/>
      <c r="PM656"/>
      <c r="PN656"/>
      <c r="PO656"/>
      <c r="PP656"/>
      <c r="PQ656"/>
      <c r="PR656"/>
      <c r="PS656"/>
      <c r="PT656"/>
      <c r="PU656"/>
      <c r="PV656"/>
      <c r="PW656"/>
      <c r="PX656"/>
      <c r="PY656"/>
      <c r="PZ656"/>
      <c r="QA656"/>
      <c r="QB656"/>
      <c r="QC656"/>
      <c r="QD656"/>
      <c r="QE656"/>
      <c r="QF656"/>
      <c r="QG656"/>
      <c r="QH656"/>
      <c r="QI656"/>
      <c r="QJ656"/>
      <c r="QK656"/>
      <c r="QL656"/>
      <c r="QM656"/>
      <c r="QN656"/>
      <c r="QO656"/>
      <c r="QP656"/>
      <c r="QQ656"/>
      <c r="QR656"/>
      <c r="QS656"/>
      <c r="QT656"/>
      <c r="QU656"/>
      <c r="QV656"/>
      <c r="QW656"/>
      <c r="QX656"/>
      <c r="QY656"/>
      <c r="QZ656"/>
      <c r="RA656"/>
      <c r="RB656"/>
      <c r="RC656"/>
      <c r="RD656"/>
      <c r="RE656"/>
      <c r="RF656"/>
      <c r="RG656"/>
      <c r="RH656"/>
      <c r="RI656"/>
      <c r="RJ656"/>
      <c r="RK656"/>
      <c r="RL656"/>
      <c r="RM656"/>
      <c r="RN656"/>
      <c r="RO656"/>
      <c r="RP656"/>
      <c r="RQ656"/>
      <c r="RR656"/>
      <c r="RS656"/>
      <c r="RT656"/>
      <c r="RU656"/>
      <c r="RV656"/>
      <c r="RW656"/>
      <c r="RX656"/>
      <c r="RY656"/>
      <c r="RZ656"/>
      <c r="SA656"/>
      <c r="SB656"/>
      <c r="SC656"/>
      <c r="SD656"/>
      <c r="SE656"/>
      <c r="SF656"/>
      <c r="SG656"/>
      <c r="SH656"/>
      <c r="SI656"/>
      <c r="SJ656"/>
      <c r="SK656"/>
      <c r="SL656"/>
      <c r="SM656"/>
      <c r="SN656"/>
      <c r="SO656"/>
      <c r="SP656"/>
      <c r="SQ656"/>
      <c r="SR656"/>
      <c r="SS656"/>
      <c r="ST656"/>
      <c r="SU656"/>
      <c r="SV656"/>
      <c r="SW656"/>
      <c r="SX656"/>
      <c r="SY656"/>
      <c r="SZ656"/>
      <c r="TA656"/>
      <c r="TB656"/>
      <c r="TC656"/>
      <c r="TD656"/>
      <c r="TE656"/>
      <c r="TF656"/>
      <c r="TG656"/>
      <c r="TH656"/>
      <c r="TI656"/>
      <c r="TJ656"/>
      <c r="TK656"/>
      <c r="TL656"/>
      <c r="TM656"/>
      <c r="TN656"/>
      <c r="TO656"/>
      <c r="TP656"/>
      <c r="TQ656"/>
      <c r="TR656"/>
      <c r="TS656"/>
      <c r="TT656"/>
      <c r="TU656"/>
      <c r="TV656"/>
      <c r="TW656"/>
      <c r="TX656"/>
      <c r="TY656"/>
      <c r="TZ656"/>
      <c r="UA656"/>
      <c r="UB656"/>
      <c r="UC656"/>
      <c r="UD656"/>
      <c r="UE656"/>
      <c r="UF656"/>
      <c r="UG656"/>
      <c r="UH656"/>
      <c r="UI656"/>
      <c r="UJ656"/>
      <c r="UK656"/>
      <c r="UL656"/>
      <c r="UM656"/>
      <c r="UN656"/>
      <c r="UO656"/>
      <c r="UP656"/>
      <c r="UQ656"/>
      <c r="UR656"/>
      <c r="US656"/>
      <c r="UT656"/>
      <c r="UU656"/>
      <c r="UV656"/>
      <c r="UW656"/>
      <c r="UX656"/>
      <c r="UY656"/>
      <c r="UZ656"/>
      <c r="VA656"/>
      <c r="VB656"/>
      <c r="VC656"/>
      <c r="VD656"/>
      <c r="VE656"/>
      <c r="VF656"/>
      <c r="VG656"/>
      <c r="VH656"/>
      <c r="VI656"/>
      <c r="VJ656"/>
      <c r="VK656"/>
      <c r="VL656"/>
      <c r="VM656"/>
      <c r="VN656"/>
      <c r="VO656"/>
      <c r="VP656"/>
      <c r="VQ656"/>
      <c r="VR656"/>
      <c r="VS656"/>
      <c r="VT656"/>
      <c r="VU656"/>
      <c r="VV656"/>
      <c r="VW656"/>
      <c r="VX656"/>
      <c r="VY656"/>
      <c r="VZ656"/>
      <c r="WA656"/>
      <c r="WB656"/>
      <c r="WC656"/>
      <c r="WD656"/>
      <c r="WE656"/>
      <c r="WF656"/>
      <c r="WG656"/>
      <c r="WH656"/>
      <c r="WI656"/>
      <c r="WJ656"/>
      <c r="WK656"/>
      <c r="WL656"/>
      <c r="WM656"/>
      <c r="WN656"/>
      <c r="WO656"/>
      <c r="WP656"/>
      <c r="WQ656"/>
      <c r="WR656"/>
      <c r="WS656"/>
      <c r="WT656"/>
      <c r="WU656"/>
      <c r="WV656"/>
      <c r="WW656"/>
      <c r="WX656"/>
      <c r="WY656"/>
      <c r="WZ656"/>
      <c r="XA656"/>
      <c r="XB656"/>
      <c r="XC656"/>
      <c r="XD656"/>
      <c r="XE656"/>
      <c r="XF656"/>
      <c r="XG656"/>
      <c r="XH656"/>
      <c r="XI656"/>
      <c r="XJ656"/>
      <c r="XK656"/>
      <c r="XL656"/>
      <c r="XM656"/>
      <c r="XN656"/>
      <c r="XO656"/>
      <c r="XP656"/>
      <c r="XQ656"/>
      <c r="XR656"/>
      <c r="XS656"/>
      <c r="XT656"/>
      <c r="XU656"/>
      <c r="XV656"/>
      <c r="XW656"/>
      <c r="XX656"/>
      <c r="XY656"/>
      <c r="XZ656"/>
      <c r="YA656"/>
      <c r="YB656"/>
      <c r="YC656"/>
      <c r="YD656"/>
      <c r="YE656"/>
      <c r="YF656"/>
      <c r="YG656"/>
      <c r="YH656"/>
      <c r="YI656"/>
      <c r="YJ656"/>
      <c r="YK656"/>
      <c r="YL656"/>
      <c r="YM656"/>
      <c r="YN656"/>
      <c r="YO656"/>
      <c r="YP656"/>
      <c r="YQ656"/>
      <c r="YR656"/>
      <c r="YS656"/>
      <c r="YT656"/>
      <c r="YU656"/>
      <c r="YV656"/>
      <c r="YW656"/>
      <c r="YX656"/>
      <c r="YY656"/>
      <c r="YZ656"/>
      <c r="ZA656"/>
      <c r="ZB656"/>
      <c r="ZC656"/>
      <c r="ZD656"/>
      <c r="ZE656"/>
      <c r="ZF656"/>
      <c r="ZG656"/>
      <c r="ZH656"/>
      <c r="ZI656"/>
      <c r="ZJ656"/>
      <c r="ZK656"/>
      <c r="ZL656"/>
      <c r="ZM656"/>
      <c r="ZN656"/>
      <c r="ZO656"/>
      <c r="ZP656"/>
      <c r="ZQ656"/>
      <c r="ZR656"/>
      <c r="ZS656"/>
      <c r="ZT656"/>
      <c r="ZU656"/>
      <c r="ZV656"/>
      <c r="ZW656"/>
      <c r="ZX656"/>
      <c r="ZY656"/>
      <c r="ZZ656" s="52"/>
      <c r="AAA656" s="192"/>
      <c r="AAD656" s="90"/>
      <c r="AAE656" s="519">
        <v>1</v>
      </c>
      <c r="AAF656" s="90"/>
      <c r="AAG656" s="73">
        <f>S.EQC.BANNER.Begin</f>
        <v>41572</v>
      </c>
      <c r="AAH656" s="73">
        <f t="shared" si="545"/>
        <v>41676</v>
      </c>
      <c r="AAI656" s="72"/>
      <c r="AAJ656" s="185"/>
      <c r="AAK656" s="56"/>
      <c r="AAL656" s="90"/>
    </row>
    <row r="657" spans="1:715" s="23" customFormat="1" ht="15" hidden="1" customHeight="1" outlineLevel="3" thickBot="1">
      <c r="A657" s="171"/>
      <c r="B657" s="707" t="s">
        <v>374</v>
      </c>
      <c r="C657" s="376" t="s">
        <v>0</v>
      </c>
      <c r="D657" s="423"/>
      <c r="E657" s="397">
        <f t="shared" ref="E657" si="560">NETWORKDAYS(G657,H657,S.DDL_DEQClosed)</f>
        <v>70</v>
      </c>
      <c r="F657" s="457">
        <f t="shared" ref="F657" ca="1" si="561">IF(YEAR(H657)&gt;2000,NETWORKDAYS(TODAY(),H657,S.DDL_DEQClosed),0)</f>
        <v>69</v>
      </c>
      <c r="G657" s="400">
        <f t="shared" ref="G657" si="562">AAG657</f>
        <v>41572</v>
      </c>
      <c r="H657" s="400">
        <f t="shared" ref="H657" si="563">AAH657</f>
        <v>41676</v>
      </c>
      <c r="I657" s="244"/>
      <c r="J657" s="194"/>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c r="BE657" s="49"/>
      <c r="BF657" s="49"/>
      <c r="BG657" s="49"/>
      <c r="BH657" s="49"/>
      <c r="BI657" s="49"/>
      <c r="BJ657" s="49"/>
      <c r="BK657" s="49"/>
      <c r="BL657" s="49"/>
      <c r="BM657" s="49"/>
      <c r="BN657" s="49"/>
      <c r="BO657" s="49"/>
      <c r="BP657" s="49"/>
      <c r="BQ657" s="49"/>
      <c r="BR657" s="49"/>
      <c r="BS657" s="49"/>
      <c r="BT657" s="49"/>
      <c r="BU657" s="49"/>
      <c r="BV657" s="49"/>
      <c r="BW657" s="49"/>
      <c r="BX657" s="49"/>
      <c r="BY657" s="49"/>
      <c r="BZ657" s="49"/>
      <c r="CA657" s="49"/>
      <c r="CB657" s="49"/>
      <c r="CC657" s="49"/>
      <c r="CD657" s="49"/>
      <c r="CE657" s="49"/>
      <c r="CF657" s="49"/>
      <c r="CG657" s="49"/>
      <c r="CH657" s="49"/>
      <c r="CI657" s="49"/>
      <c r="CJ657" s="49"/>
      <c r="CK657" s="49"/>
      <c r="CL657" s="49"/>
      <c r="CM657" s="49"/>
      <c r="CN657" s="49"/>
      <c r="CO657" s="49"/>
      <c r="CP657" s="49"/>
      <c r="CQ657" s="49"/>
      <c r="CR657" s="49"/>
      <c r="CS657" s="49"/>
      <c r="CT657" s="49"/>
      <c r="CU657" s="49"/>
      <c r="CV657" s="49"/>
      <c r="CW657" s="49"/>
      <c r="CX657" s="49"/>
      <c r="CY657" s="49"/>
      <c r="CZ657" s="49"/>
      <c r="DA657" s="49"/>
      <c r="DB657" s="49"/>
      <c r="DC657" s="49"/>
      <c r="DD657" s="49"/>
      <c r="DE657" s="49"/>
      <c r="DF657" s="49"/>
      <c r="DG657" s="49"/>
      <c r="DH657" s="49"/>
      <c r="DI657" s="49"/>
      <c r="DJ657" s="49"/>
      <c r="DK657" s="49"/>
      <c r="DL657" s="49"/>
      <c r="DM657" s="49"/>
      <c r="DN657" s="49"/>
      <c r="DO657" s="49"/>
      <c r="DP657" s="49"/>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c r="IW657"/>
      <c r="IX657"/>
      <c r="IY657"/>
      <c r="IZ657"/>
      <c r="JA657"/>
      <c r="JB657"/>
      <c r="JC657"/>
      <c r="JD657"/>
      <c r="JE657"/>
      <c r="JF657"/>
      <c r="JG657"/>
      <c r="JH657"/>
      <c r="JI657"/>
      <c r="JJ657"/>
      <c r="JK657"/>
      <c r="JL657"/>
      <c r="JM657"/>
      <c r="JN657"/>
      <c r="JO657"/>
      <c r="JP657"/>
      <c r="JQ657"/>
      <c r="JR657"/>
      <c r="JS657"/>
      <c r="JT657"/>
      <c r="JU657"/>
      <c r="JV657"/>
      <c r="JW657"/>
      <c r="JX657"/>
      <c r="JY657"/>
      <c r="JZ657"/>
      <c r="KA657"/>
      <c r="KB657"/>
      <c r="KC657"/>
      <c r="KD657"/>
      <c r="KE657"/>
      <c r="KF657"/>
      <c r="KG657"/>
      <c r="KH657"/>
      <c r="KI657"/>
      <c r="KJ657"/>
      <c r="KK657"/>
      <c r="KL657"/>
      <c r="KM657"/>
      <c r="KN657"/>
      <c r="KO657"/>
      <c r="KP657"/>
      <c r="KQ657"/>
      <c r="KR657"/>
      <c r="KS657"/>
      <c r="KT657"/>
      <c r="KU657"/>
      <c r="KV657"/>
      <c r="KW657"/>
      <c r="KX657"/>
      <c r="KY657"/>
      <c r="KZ657"/>
      <c r="LA657"/>
      <c r="LB657"/>
      <c r="LC657"/>
      <c r="LD657"/>
      <c r="LE657"/>
      <c r="LF657"/>
      <c r="LG657"/>
      <c r="LH657"/>
      <c r="LI657"/>
      <c r="LJ657"/>
      <c r="LK657"/>
      <c r="LL657"/>
      <c r="LM657"/>
      <c r="LN657"/>
      <c r="LO657"/>
      <c r="LP657"/>
      <c r="LQ657"/>
      <c r="LR657"/>
      <c r="LS657"/>
      <c r="LT657"/>
      <c r="LU657"/>
      <c r="LV657"/>
      <c r="LW657"/>
      <c r="LX657"/>
      <c r="LY657"/>
      <c r="LZ657"/>
      <c r="MA657"/>
      <c r="MB657"/>
      <c r="MC657"/>
      <c r="MD657"/>
      <c r="ME657"/>
      <c r="MF657"/>
      <c r="MG657"/>
      <c r="MH657"/>
      <c r="MI657"/>
      <c r="MJ657"/>
      <c r="MK657"/>
      <c r="ML657"/>
      <c r="MM657"/>
      <c r="MN657"/>
      <c r="MO657"/>
      <c r="MP657"/>
      <c r="MQ657"/>
      <c r="MR657"/>
      <c r="MS657"/>
      <c r="MT657"/>
      <c r="MU657"/>
      <c r="MV657"/>
      <c r="MW657"/>
      <c r="MX657"/>
      <c r="MY657"/>
      <c r="MZ657"/>
      <c r="NA657"/>
      <c r="NB657"/>
      <c r="NC657"/>
      <c r="ND657"/>
      <c r="NE657"/>
      <c r="NF657"/>
      <c r="NG657"/>
      <c r="NH657"/>
      <c r="NI657"/>
      <c r="NJ657"/>
      <c r="NK657"/>
      <c r="NL657"/>
      <c r="NM657"/>
      <c r="NN657"/>
      <c r="NO657"/>
      <c r="NP657"/>
      <c r="NQ657"/>
      <c r="NR657"/>
      <c r="NS657"/>
      <c r="NT657"/>
      <c r="NU657"/>
      <c r="NV657"/>
      <c r="NW657"/>
      <c r="NX657"/>
      <c r="NY657"/>
      <c r="NZ657"/>
      <c r="OA657"/>
      <c r="OB657"/>
      <c r="OC657"/>
      <c r="OD657"/>
      <c r="OE657"/>
      <c r="OF657"/>
      <c r="OG657"/>
      <c r="OH657"/>
      <c r="OI657"/>
      <c r="OJ657"/>
      <c r="OK657"/>
      <c r="OL657"/>
      <c r="OM657"/>
      <c r="ON657"/>
      <c r="OO657"/>
      <c r="OP657"/>
      <c r="OQ657"/>
      <c r="OR657"/>
      <c r="OS657"/>
      <c r="OT657"/>
      <c r="OU657"/>
      <c r="OV657"/>
      <c r="OW657"/>
      <c r="OX657"/>
      <c r="OY657"/>
      <c r="OZ657"/>
      <c r="PA657"/>
      <c r="PB657"/>
      <c r="PC657"/>
      <c r="PD657"/>
      <c r="PE657"/>
      <c r="PF657"/>
      <c r="PG657"/>
      <c r="PH657"/>
      <c r="PI657"/>
      <c r="PJ657"/>
      <c r="PK657"/>
      <c r="PL657"/>
      <c r="PM657"/>
      <c r="PN657"/>
      <c r="PO657"/>
      <c r="PP657"/>
      <c r="PQ657"/>
      <c r="PR657"/>
      <c r="PS657"/>
      <c r="PT657"/>
      <c r="PU657"/>
      <c r="PV657"/>
      <c r="PW657"/>
      <c r="PX657"/>
      <c r="PY657"/>
      <c r="PZ657"/>
      <c r="QA657"/>
      <c r="QB657"/>
      <c r="QC657"/>
      <c r="QD657"/>
      <c r="QE657"/>
      <c r="QF657"/>
      <c r="QG657"/>
      <c r="QH657"/>
      <c r="QI657"/>
      <c r="QJ657"/>
      <c r="QK657"/>
      <c r="QL657"/>
      <c r="QM657"/>
      <c r="QN657"/>
      <c r="QO657"/>
      <c r="QP657"/>
      <c r="QQ657"/>
      <c r="QR657"/>
      <c r="QS657"/>
      <c r="QT657"/>
      <c r="QU657"/>
      <c r="QV657"/>
      <c r="QW657"/>
      <c r="QX657"/>
      <c r="QY657"/>
      <c r="QZ657"/>
      <c r="RA657"/>
      <c r="RB657"/>
      <c r="RC657"/>
      <c r="RD657"/>
      <c r="RE657"/>
      <c r="RF657"/>
      <c r="RG657"/>
      <c r="RH657"/>
      <c r="RI657"/>
      <c r="RJ657"/>
      <c r="RK657"/>
      <c r="RL657"/>
      <c r="RM657"/>
      <c r="RN657"/>
      <c r="RO657"/>
      <c r="RP657"/>
      <c r="RQ657"/>
      <c r="RR657"/>
      <c r="RS657"/>
      <c r="RT657"/>
      <c r="RU657"/>
      <c r="RV657"/>
      <c r="RW657"/>
      <c r="RX657"/>
      <c r="RY657"/>
      <c r="RZ657"/>
      <c r="SA657"/>
      <c r="SB657"/>
      <c r="SC657"/>
      <c r="SD657"/>
      <c r="SE657"/>
      <c r="SF657"/>
      <c r="SG657"/>
      <c r="SH657"/>
      <c r="SI657"/>
      <c r="SJ657"/>
      <c r="SK657"/>
      <c r="SL657"/>
      <c r="SM657"/>
      <c r="SN657"/>
      <c r="SO657"/>
      <c r="SP657"/>
      <c r="SQ657"/>
      <c r="SR657"/>
      <c r="SS657"/>
      <c r="ST657"/>
      <c r="SU657"/>
      <c r="SV657"/>
      <c r="SW657"/>
      <c r="SX657"/>
      <c r="SY657"/>
      <c r="SZ657"/>
      <c r="TA657"/>
      <c r="TB657"/>
      <c r="TC657"/>
      <c r="TD657"/>
      <c r="TE657"/>
      <c r="TF657"/>
      <c r="TG657"/>
      <c r="TH657"/>
      <c r="TI657"/>
      <c r="TJ657"/>
      <c r="TK657"/>
      <c r="TL657"/>
      <c r="TM657"/>
      <c r="TN657"/>
      <c r="TO657"/>
      <c r="TP657"/>
      <c r="TQ657"/>
      <c r="TR657"/>
      <c r="TS657"/>
      <c r="TT657"/>
      <c r="TU657"/>
      <c r="TV657"/>
      <c r="TW657"/>
      <c r="TX657"/>
      <c r="TY657"/>
      <c r="TZ657"/>
      <c r="UA657"/>
      <c r="UB657"/>
      <c r="UC657"/>
      <c r="UD657"/>
      <c r="UE657"/>
      <c r="UF657"/>
      <c r="UG657"/>
      <c r="UH657"/>
      <c r="UI657"/>
      <c r="UJ657"/>
      <c r="UK657"/>
      <c r="UL657"/>
      <c r="UM657"/>
      <c r="UN657"/>
      <c r="UO657"/>
      <c r="UP657"/>
      <c r="UQ657"/>
      <c r="UR657"/>
      <c r="US657"/>
      <c r="UT657"/>
      <c r="UU657"/>
      <c r="UV657"/>
      <c r="UW657"/>
      <c r="UX657"/>
      <c r="UY657"/>
      <c r="UZ657"/>
      <c r="VA657"/>
      <c r="VB657"/>
      <c r="VC657"/>
      <c r="VD657"/>
      <c r="VE657"/>
      <c r="VF657"/>
      <c r="VG657"/>
      <c r="VH657"/>
      <c r="VI657"/>
      <c r="VJ657"/>
      <c r="VK657"/>
      <c r="VL657"/>
      <c r="VM657"/>
      <c r="VN657"/>
      <c r="VO657"/>
      <c r="VP657"/>
      <c r="VQ657"/>
      <c r="VR657"/>
      <c r="VS657"/>
      <c r="VT657"/>
      <c r="VU657"/>
      <c r="VV657"/>
      <c r="VW657"/>
      <c r="VX657"/>
      <c r="VY657"/>
      <c r="VZ657"/>
      <c r="WA657"/>
      <c r="WB657"/>
      <c r="WC657"/>
      <c r="WD657"/>
      <c r="WE657"/>
      <c r="WF657"/>
      <c r="WG657"/>
      <c r="WH657"/>
      <c r="WI657"/>
      <c r="WJ657"/>
      <c r="WK657"/>
      <c r="WL657"/>
      <c r="WM657"/>
      <c r="WN657"/>
      <c r="WO657"/>
      <c r="WP657"/>
      <c r="WQ657"/>
      <c r="WR657"/>
      <c r="WS657"/>
      <c r="WT657"/>
      <c r="WU657"/>
      <c r="WV657"/>
      <c r="WW657"/>
      <c r="WX657"/>
      <c r="WY657"/>
      <c r="WZ657"/>
      <c r="XA657"/>
      <c r="XB657"/>
      <c r="XC657"/>
      <c r="XD657"/>
      <c r="XE657"/>
      <c r="XF657"/>
      <c r="XG657"/>
      <c r="XH657"/>
      <c r="XI657"/>
      <c r="XJ657"/>
      <c r="XK657"/>
      <c r="XL657"/>
      <c r="XM657"/>
      <c r="XN657"/>
      <c r="XO657"/>
      <c r="XP657"/>
      <c r="XQ657"/>
      <c r="XR657"/>
      <c r="XS657"/>
      <c r="XT657"/>
      <c r="XU657"/>
      <c r="XV657"/>
      <c r="XW657"/>
      <c r="XX657"/>
      <c r="XY657"/>
      <c r="XZ657"/>
      <c r="YA657"/>
      <c r="YB657"/>
      <c r="YC657"/>
      <c r="YD657"/>
      <c r="YE657"/>
      <c r="YF657"/>
      <c r="YG657"/>
      <c r="YH657"/>
      <c r="YI657"/>
      <c r="YJ657"/>
      <c r="YK657"/>
      <c r="YL657"/>
      <c r="YM657"/>
      <c r="YN657"/>
      <c r="YO657"/>
      <c r="YP657"/>
      <c r="YQ657"/>
      <c r="YR657"/>
      <c r="YS657"/>
      <c r="YT657"/>
      <c r="YU657"/>
      <c r="YV657"/>
      <c r="YW657"/>
      <c r="YX657"/>
      <c r="YY657"/>
      <c r="YZ657"/>
      <c r="ZA657"/>
      <c r="ZB657"/>
      <c r="ZC657"/>
      <c r="ZD657"/>
      <c r="ZE657"/>
      <c r="ZF657"/>
      <c r="ZG657"/>
      <c r="ZH657"/>
      <c r="ZI657"/>
      <c r="ZJ657"/>
      <c r="ZK657"/>
      <c r="ZL657"/>
      <c r="ZM657"/>
      <c r="ZN657"/>
      <c r="ZO657"/>
      <c r="ZP657"/>
      <c r="ZQ657"/>
      <c r="ZR657"/>
      <c r="ZS657"/>
      <c r="ZT657"/>
      <c r="ZU657"/>
      <c r="ZV657"/>
      <c r="ZW657"/>
      <c r="ZX657"/>
      <c r="ZY657"/>
      <c r="ZZ657" s="52"/>
      <c r="AAA657" s="192"/>
      <c r="AAD657" s="90"/>
      <c r="AAE657" s="519">
        <v>1</v>
      </c>
      <c r="AAF657" s="90"/>
      <c r="AAG657" s="73">
        <f>S.EQC.BANNER.Begin</f>
        <v>41572</v>
      </c>
      <c r="AAH657" s="73">
        <f t="shared" si="545"/>
        <v>41676</v>
      </c>
      <c r="AAI657" s="72"/>
      <c r="AAJ657" s="185"/>
      <c r="AAK657" s="56"/>
      <c r="AAL657" s="90"/>
    </row>
    <row r="658" spans="1:715" ht="15" hidden="1" customHeight="1" outlineLevel="3" thickBot="1">
      <c r="A658" s="171"/>
      <c r="B658" s="706" t="s">
        <v>378</v>
      </c>
      <c r="C658" s="611" t="s">
        <v>17</v>
      </c>
      <c r="D658" s="380"/>
      <c r="E658" s="342">
        <f>NETWORKDAYS(G658,H658,S.DDL_DEQClosed)</f>
        <v>1</v>
      </c>
      <c r="F658" s="457">
        <f t="shared" ca="1" si="543"/>
        <v>69</v>
      </c>
      <c r="G658" s="400">
        <f t="shared" ref="G658:H671" si="564">AAG658</f>
        <v>41676</v>
      </c>
      <c r="H658" s="400">
        <f t="shared" si="564"/>
        <v>41676</v>
      </c>
      <c r="I658" s="244"/>
      <c r="J658" s="194"/>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c r="AY658" s="49"/>
      <c r="AZ658" s="49"/>
      <c r="BA658" s="49"/>
      <c r="BB658" s="49"/>
      <c r="BC658" s="49"/>
      <c r="BD658" s="49"/>
      <c r="BE658" s="49"/>
      <c r="BF658" s="49"/>
      <c r="BG658" s="49"/>
      <c r="BH658" s="49"/>
      <c r="BI658" s="49"/>
      <c r="BJ658" s="49"/>
      <c r="BK658" s="49"/>
      <c r="BL658" s="49"/>
      <c r="BM658" s="49"/>
      <c r="BN658" s="49"/>
      <c r="BO658" s="49"/>
      <c r="BP658" s="49"/>
      <c r="BQ658" s="49"/>
      <c r="BR658" s="49"/>
      <c r="BS658" s="49"/>
      <c r="BT658" s="49"/>
      <c r="BU658" s="49"/>
      <c r="BV658" s="49"/>
      <c r="BW658" s="49"/>
      <c r="BX658" s="49"/>
      <c r="BY658" s="49"/>
      <c r="BZ658" s="49"/>
      <c r="CA658" s="49"/>
      <c r="CB658" s="49"/>
      <c r="CC658" s="49"/>
      <c r="CD658" s="49"/>
      <c r="CE658" s="49"/>
      <c r="CF658" s="49"/>
      <c r="CG658" s="49"/>
      <c r="CH658" s="49"/>
      <c r="CI658" s="49"/>
      <c r="CJ658" s="49"/>
      <c r="CK658" s="49"/>
      <c r="CL658" s="49"/>
      <c r="CM658" s="49"/>
      <c r="CN658" s="49"/>
      <c r="CO658" s="49"/>
      <c r="CP658" s="49"/>
      <c r="CQ658" s="49"/>
      <c r="CR658" s="49"/>
      <c r="CS658" s="49"/>
      <c r="CT658" s="49"/>
      <c r="CU658" s="49"/>
      <c r="CV658" s="49"/>
      <c r="CW658" s="49"/>
      <c r="CX658" s="49"/>
      <c r="CY658" s="49"/>
      <c r="CZ658" s="49"/>
      <c r="DA658" s="49"/>
      <c r="DB658" s="49"/>
      <c r="DC658" s="49"/>
      <c r="DD658" s="49"/>
      <c r="DE658" s="49"/>
      <c r="DF658" s="49"/>
      <c r="DG658" s="49"/>
      <c r="DH658" s="49"/>
      <c r="DI658" s="49"/>
      <c r="DJ658" s="49"/>
      <c r="DK658" s="49"/>
      <c r="DL658" s="49"/>
      <c r="DM658" s="49"/>
      <c r="DN658" s="49"/>
      <c r="DO658" s="49"/>
      <c r="DP658" s="49"/>
      <c r="AAA658" s="192"/>
      <c r="AAD658" s="90"/>
      <c r="AAE658" s="519">
        <f>IF(S.EQC.ApprovePacketLoop1="Y",1,0)</f>
        <v>1</v>
      </c>
      <c r="AAF658" s="90"/>
      <c r="AAG658" s="73">
        <f>IF(AAE658=0,,H647)</f>
        <v>41676</v>
      </c>
      <c r="AAH658" s="73">
        <f t="shared" ref="AAH658:AAH669" si="565">IF(AAE658=0,,S.EQC.PacketBeginReview)</f>
        <v>41676</v>
      </c>
      <c r="AAI658" s="72"/>
      <c r="AAJ658" s="56"/>
      <c r="AAK658" s="56"/>
      <c r="AAL658" s="90"/>
      <c r="AAM658"/>
    </row>
    <row r="659" spans="1:715" s="23" customFormat="1" ht="15" hidden="1" customHeight="1" outlineLevel="3">
      <c r="A659" s="171"/>
      <c r="B659" s="708" t="s">
        <v>376</v>
      </c>
      <c r="C659" s="376" t="s">
        <v>0</v>
      </c>
      <c r="D659" s="423"/>
      <c r="E659" s="397">
        <f t="shared" ref="E659" si="566">NETWORKDAYS(G659,H659,S.DDL_DEQClosed)</f>
        <v>1</v>
      </c>
      <c r="F659" s="457">
        <f t="shared" ca="1" si="543"/>
        <v>69</v>
      </c>
      <c r="G659" s="400">
        <f t="shared" si="564"/>
        <v>41676</v>
      </c>
      <c r="H659" s="400">
        <f t="shared" si="564"/>
        <v>41676</v>
      </c>
      <c r="I659" s="244"/>
      <c r="J659" s="194"/>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49"/>
      <c r="AY659" s="49"/>
      <c r="AZ659" s="49"/>
      <c r="BA659" s="49"/>
      <c r="BB659" s="49"/>
      <c r="BC659" s="49"/>
      <c r="BD659" s="49"/>
      <c r="BE659" s="49"/>
      <c r="BF659" s="49"/>
      <c r="BG659" s="49"/>
      <c r="BH659" s="49"/>
      <c r="BI659" s="49"/>
      <c r="BJ659" s="49"/>
      <c r="BK659" s="49"/>
      <c r="BL659" s="49"/>
      <c r="BM659" s="49"/>
      <c r="BN659" s="49"/>
      <c r="BO659" s="49"/>
      <c r="BP659" s="49"/>
      <c r="BQ659" s="49"/>
      <c r="BR659" s="49"/>
      <c r="BS659" s="49"/>
      <c r="BT659" s="49"/>
      <c r="BU659" s="49"/>
      <c r="BV659" s="49"/>
      <c r="BW659" s="49"/>
      <c r="BX659" s="49"/>
      <c r="BY659" s="49"/>
      <c r="BZ659" s="49"/>
      <c r="CA659" s="49"/>
      <c r="CB659" s="49"/>
      <c r="CC659" s="49"/>
      <c r="CD659" s="49"/>
      <c r="CE659" s="49"/>
      <c r="CF659" s="49"/>
      <c r="CG659" s="49"/>
      <c r="CH659" s="49"/>
      <c r="CI659" s="49"/>
      <c r="CJ659" s="49"/>
      <c r="CK659" s="49"/>
      <c r="CL659" s="49"/>
      <c r="CM659" s="49"/>
      <c r="CN659" s="49"/>
      <c r="CO659" s="49"/>
      <c r="CP659" s="49"/>
      <c r="CQ659" s="49"/>
      <c r="CR659" s="49"/>
      <c r="CS659" s="49"/>
      <c r="CT659" s="49"/>
      <c r="CU659" s="49"/>
      <c r="CV659" s="49"/>
      <c r="CW659" s="49"/>
      <c r="CX659" s="49"/>
      <c r="CY659" s="49"/>
      <c r="CZ659" s="49"/>
      <c r="DA659" s="49"/>
      <c r="DB659" s="49"/>
      <c r="DC659" s="49"/>
      <c r="DD659" s="49"/>
      <c r="DE659" s="49"/>
      <c r="DF659" s="49"/>
      <c r="DG659" s="49"/>
      <c r="DH659" s="49"/>
      <c r="DI659" s="49"/>
      <c r="DJ659" s="49"/>
      <c r="DK659" s="49"/>
      <c r="DL659" s="49"/>
      <c r="DM659" s="49"/>
      <c r="DN659" s="49"/>
      <c r="DO659" s="49"/>
      <c r="DP659" s="4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c r="IW659"/>
      <c r="IX659"/>
      <c r="IY659"/>
      <c r="IZ659"/>
      <c r="JA659"/>
      <c r="JB659"/>
      <c r="JC659"/>
      <c r="JD659"/>
      <c r="JE659"/>
      <c r="JF659"/>
      <c r="JG659"/>
      <c r="JH659"/>
      <c r="JI659"/>
      <c r="JJ659"/>
      <c r="JK659"/>
      <c r="JL659"/>
      <c r="JM659"/>
      <c r="JN659"/>
      <c r="JO659"/>
      <c r="JP659"/>
      <c r="JQ659"/>
      <c r="JR659"/>
      <c r="JS659"/>
      <c r="JT659"/>
      <c r="JU659"/>
      <c r="JV659"/>
      <c r="JW659"/>
      <c r="JX659"/>
      <c r="JY659"/>
      <c r="JZ659"/>
      <c r="KA659"/>
      <c r="KB659"/>
      <c r="KC659"/>
      <c r="KD659"/>
      <c r="KE659"/>
      <c r="KF659"/>
      <c r="KG659"/>
      <c r="KH659"/>
      <c r="KI659"/>
      <c r="KJ659"/>
      <c r="KK659"/>
      <c r="KL659"/>
      <c r="KM659"/>
      <c r="KN659"/>
      <c r="KO659"/>
      <c r="KP659"/>
      <c r="KQ659"/>
      <c r="KR659"/>
      <c r="KS659"/>
      <c r="KT659"/>
      <c r="KU659"/>
      <c r="KV659"/>
      <c r="KW659"/>
      <c r="KX659"/>
      <c r="KY659"/>
      <c r="KZ659"/>
      <c r="LA659"/>
      <c r="LB659"/>
      <c r="LC659"/>
      <c r="LD659"/>
      <c r="LE659"/>
      <c r="LF659"/>
      <c r="LG659"/>
      <c r="LH659"/>
      <c r="LI659"/>
      <c r="LJ659"/>
      <c r="LK659"/>
      <c r="LL659"/>
      <c r="LM659"/>
      <c r="LN659"/>
      <c r="LO659"/>
      <c r="LP659"/>
      <c r="LQ659"/>
      <c r="LR659"/>
      <c r="LS659"/>
      <c r="LT659"/>
      <c r="LU659"/>
      <c r="LV659"/>
      <c r="LW659"/>
      <c r="LX659"/>
      <c r="LY659"/>
      <c r="LZ659"/>
      <c r="MA659"/>
      <c r="MB659"/>
      <c r="MC659"/>
      <c r="MD659"/>
      <c r="ME659"/>
      <c r="MF659"/>
      <c r="MG659"/>
      <c r="MH659"/>
      <c r="MI659"/>
      <c r="MJ659"/>
      <c r="MK659"/>
      <c r="ML659"/>
      <c r="MM659"/>
      <c r="MN659"/>
      <c r="MO659"/>
      <c r="MP659"/>
      <c r="MQ659"/>
      <c r="MR659"/>
      <c r="MS659"/>
      <c r="MT659"/>
      <c r="MU659"/>
      <c r="MV659"/>
      <c r="MW659"/>
      <c r="MX659"/>
      <c r="MY659"/>
      <c r="MZ659"/>
      <c r="NA659"/>
      <c r="NB659"/>
      <c r="NC659"/>
      <c r="ND659"/>
      <c r="NE659"/>
      <c r="NF659"/>
      <c r="NG659"/>
      <c r="NH659"/>
      <c r="NI659"/>
      <c r="NJ659"/>
      <c r="NK659"/>
      <c r="NL659"/>
      <c r="NM659"/>
      <c r="NN659"/>
      <c r="NO659"/>
      <c r="NP659"/>
      <c r="NQ659"/>
      <c r="NR659"/>
      <c r="NS659"/>
      <c r="NT659"/>
      <c r="NU659"/>
      <c r="NV659"/>
      <c r="NW659"/>
      <c r="NX659"/>
      <c r="NY659"/>
      <c r="NZ659"/>
      <c r="OA659"/>
      <c r="OB659"/>
      <c r="OC659"/>
      <c r="OD659"/>
      <c r="OE659"/>
      <c r="OF659"/>
      <c r="OG659"/>
      <c r="OH659"/>
      <c r="OI659"/>
      <c r="OJ659"/>
      <c r="OK659"/>
      <c r="OL659"/>
      <c r="OM659"/>
      <c r="ON659"/>
      <c r="OO659"/>
      <c r="OP659"/>
      <c r="OQ659"/>
      <c r="OR659"/>
      <c r="OS659"/>
      <c r="OT659"/>
      <c r="OU659"/>
      <c r="OV659"/>
      <c r="OW659"/>
      <c r="OX659"/>
      <c r="OY659"/>
      <c r="OZ659"/>
      <c r="PA659"/>
      <c r="PB659"/>
      <c r="PC659"/>
      <c r="PD659"/>
      <c r="PE659"/>
      <c r="PF659"/>
      <c r="PG659"/>
      <c r="PH659"/>
      <c r="PI659"/>
      <c r="PJ659"/>
      <c r="PK659"/>
      <c r="PL659"/>
      <c r="PM659"/>
      <c r="PN659"/>
      <c r="PO659"/>
      <c r="PP659"/>
      <c r="PQ659"/>
      <c r="PR659"/>
      <c r="PS659"/>
      <c r="PT659"/>
      <c r="PU659"/>
      <c r="PV659"/>
      <c r="PW659"/>
      <c r="PX659"/>
      <c r="PY659"/>
      <c r="PZ659"/>
      <c r="QA659"/>
      <c r="QB659"/>
      <c r="QC659"/>
      <c r="QD659"/>
      <c r="QE659"/>
      <c r="QF659"/>
      <c r="QG659"/>
      <c r="QH659"/>
      <c r="QI659"/>
      <c r="QJ659"/>
      <c r="QK659"/>
      <c r="QL659"/>
      <c r="QM659"/>
      <c r="QN659"/>
      <c r="QO659"/>
      <c r="QP659"/>
      <c r="QQ659"/>
      <c r="QR659"/>
      <c r="QS659"/>
      <c r="QT659"/>
      <c r="QU659"/>
      <c r="QV659"/>
      <c r="QW659"/>
      <c r="QX659"/>
      <c r="QY659"/>
      <c r="QZ659"/>
      <c r="RA659"/>
      <c r="RB659"/>
      <c r="RC659"/>
      <c r="RD659"/>
      <c r="RE659"/>
      <c r="RF659"/>
      <c r="RG659"/>
      <c r="RH659"/>
      <c r="RI659"/>
      <c r="RJ659"/>
      <c r="RK659"/>
      <c r="RL659"/>
      <c r="RM659"/>
      <c r="RN659"/>
      <c r="RO659"/>
      <c r="RP659"/>
      <c r="RQ659"/>
      <c r="RR659"/>
      <c r="RS659"/>
      <c r="RT659"/>
      <c r="RU659"/>
      <c r="RV659"/>
      <c r="RW659"/>
      <c r="RX659"/>
      <c r="RY659"/>
      <c r="RZ659"/>
      <c r="SA659"/>
      <c r="SB659"/>
      <c r="SC659"/>
      <c r="SD659"/>
      <c r="SE659"/>
      <c r="SF659"/>
      <c r="SG659"/>
      <c r="SH659"/>
      <c r="SI659"/>
      <c r="SJ659"/>
      <c r="SK659"/>
      <c r="SL659"/>
      <c r="SM659"/>
      <c r="SN659"/>
      <c r="SO659"/>
      <c r="SP659"/>
      <c r="SQ659"/>
      <c r="SR659"/>
      <c r="SS659"/>
      <c r="ST659"/>
      <c r="SU659"/>
      <c r="SV659"/>
      <c r="SW659"/>
      <c r="SX659"/>
      <c r="SY659"/>
      <c r="SZ659"/>
      <c r="TA659"/>
      <c r="TB659"/>
      <c r="TC659"/>
      <c r="TD659"/>
      <c r="TE659"/>
      <c r="TF659"/>
      <c r="TG659"/>
      <c r="TH659"/>
      <c r="TI659"/>
      <c r="TJ659"/>
      <c r="TK659"/>
      <c r="TL659"/>
      <c r="TM659"/>
      <c r="TN659"/>
      <c r="TO659"/>
      <c r="TP659"/>
      <c r="TQ659"/>
      <c r="TR659"/>
      <c r="TS659"/>
      <c r="TT659"/>
      <c r="TU659"/>
      <c r="TV659"/>
      <c r="TW659"/>
      <c r="TX659"/>
      <c r="TY659"/>
      <c r="TZ659"/>
      <c r="UA659"/>
      <c r="UB659"/>
      <c r="UC659"/>
      <c r="UD659"/>
      <c r="UE659"/>
      <c r="UF659"/>
      <c r="UG659"/>
      <c r="UH659"/>
      <c r="UI659"/>
      <c r="UJ659"/>
      <c r="UK659"/>
      <c r="UL659"/>
      <c r="UM659"/>
      <c r="UN659"/>
      <c r="UO659"/>
      <c r="UP659"/>
      <c r="UQ659"/>
      <c r="UR659"/>
      <c r="US659"/>
      <c r="UT659"/>
      <c r="UU659"/>
      <c r="UV659"/>
      <c r="UW659"/>
      <c r="UX659"/>
      <c r="UY659"/>
      <c r="UZ659"/>
      <c r="VA659"/>
      <c r="VB659"/>
      <c r="VC659"/>
      <c r="VD659"/>
      <c r="VE659"/>
      <c r="VF659"/>
      <c r="VG659"/>
      <c r="VH659"/>
      <c r="VI659"/>
      <c r="VJ659"/>
      <c r="VK659"/>
      <c r="VL659"/>
      <c r="VM659"/>
      <c r="VN659"/>
      <c r="VO659"/>
      <c r="VP659"/>
      <c r="VQ659"/>
      <c r="VR659"/>
      <c r="VS659"/>
      <c r="VT659"/>
      <c r="VU659"/>
      <c r="VV659"/>
      <c r="VW659"/>
      <c r="VX659"/>
      <c r="VY659"/>
      <c r="VZ659"/>
      <c r="WA659"/>
      <c r="WB659"/>
      <c r="WC659"/>
      <c r="WD659"/>
      <c r="WE659"/>
      <c r="WF659"/>
      <c r="WG659"/>
      <c r="WH659"/>
      <c r="WI659"/>
      <c r="WJ659"/>
      <c r="WK659"/>
      <c r="WL659"/>
      <c r="WM659"/>
      <c r="WN659"/>
      <c r="WO659"/>
      <c r="WP659"/>
      <c r="WQ659"/>
      <c r="WR659"/>
      <c r="WS659"/>
      <c r="WT659"/>
      <c r="WU659"/>
      <c r="WV659"/>
      <c r="WW659"/>
      <c r="WX659"/>
      <c r="WY659"/>
      <c r="WZ659"/>
      <c r="XA659"/>
      <c r="XB659"/>
      <c r="XC659"/>
      <c r="XD659"/>
      <c r="XE659"/>
      <c r="XF659"/>
      <c r="XG659"/>
      <c r="XH659"/>
      <c r="XI659"/>
      <c r="XJ659"/>
      <c r="XK659"/>
      <c r="XL659"/>
      <c r="XM659"/>
      <c r="XN659"/>
      <c r="XO659"/>
      <c r="XP659"/>
      <c r="XQ659"/>
      <c r="XR659"/>
      <c r="XS659"/>
      <c r="XT659"/>
      <c r="XU659"/>
      <c r="XV659"/>
      <c r="XW659"/>
      <c r="XX659"/>
      <c r="XY659"/>
      <c r="XZ659"/>
      <c r="YA659"/>
      <c r="YB659"/>
      <c r="YC659"/>
      <c r="YD659"/>
      <c r="YE659"/>
      <c r="YF659"/>
      <c r="YG659"/>
      <c r="YH659"/>
      <c r="YI659"/>
      <c r="YJ659"/>
      <c r="YK659"/>
      <c r="YL659"/>
      <c r="YM659"/>
      <c r="YN659"/>
      <c r="YO659"/>
      <c r="YP659"/>
      <c r="YQ659"/>
      <c r="YR659"/>
      <c r="YS659"/>
      <c r="YT659"/>
      <c r="YU659"/>
      <c r="YV659"/>
      <c r="YW659"/>
      <c r="YX659"/>
      <c r="YY659"/>
      <c r="YZ659"/>
      <c r="ZA659"/>
      <c r="ZB659"/>
      <c r="ZC659"/>
      <c r="ZD659"/>
      <c r="ZE659"/>
      <c r="ZF659"/>
      <c r="ZG659"/>
      <c r="ZH659"/>
      <c r="ZI659"/>
      <c r="ZJ659"/>
      <c r="ZK659"/>
      <c r="ZL659"/>
      <c r="ZM659"/>
      <c r="ZN659"/>
      <c r="ZO659"/>
      <c r="ZP659"/>
      <c r="ZQ659"/>
      <c r="ZR659"/>
      <c r="ZS659"/>
      <c r="ZT659"/>
      <c r="ZU659"/>
      <c r="ZV659"/>
      <c r="ZW659"/>
      <c r="ZX659"/>
      <c r="ZY659"/>
      <c r="ZZ659" s="52"/>
      <c r="AAA659" s="192"/>
      <c r="AAD659" s="90"/>
      <c r="AAE659" s="519">
        <f>IF(S.EQC.ApprovePacketLoop1="Y",1,0)</f>
        <v>1</v>
      </c>
      <c r="AAF659" s="90"/>
      <c r="AAG659" s="73">
        <f>IF(AAE659=0,,S.EQC.PacketBeginReview)</f>
        <v>41676</v>
      </c>
      <c r="AAH659" s="73">
        <f t="shared" si="565"/>
        <v>41676</v>
      </c>
      <c r="AAI659" s="72"/>
      <c r="AAJ659" s="185"/>
      <c r="AAK659" s="56"/>
      <c r="AAL659" s="90"/>
    </row>
    <row r="660" spans="1:715" s="23" customFormat="1" ht="15" hidden="1" customHeight="1" outlineLevel="3">
      <c r="A660" s="171"/>
      <c r="B660" s="708" t="s">
        <v>376</v>
      </c>
      <c r="C660" s="376" t="s">
        <v>0</v>
      </c>
      <c r="D660" s="423"/>
      <c r="E660" s="397">
        <f t="shared" ref="E660" si="567">NETWORKDAYS(G660,H660,S.DDL_DEQClosed)</f>
        <v>1</v>
      </c>
      <c r="F660" s="457">
        <f t="shared" ref="F660" ca="1" si="568">IF(YEAR(H660)&gt;2000,NETWORKDAYS(TODAY(),H660,S.DDL_DEQClosed),0)</f>
        <v>69</v>
      </c>
      <c r="G660" s="400">
        <f t="shared" ref="G660" si="569">AAG660</f>
        <v>41676</v>
      </c>
      <c r="H660" s="400">
        <f t="shared" ref="H660" si="570">AAH660</f>
        <v>41676</v>
      </c>
      <c r="I660" s="244"/>
      <c r="J660" s="194"/>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c r="BE660" s="49"/>
      <c r="BF660" s="49"/>
      <c r="BG660" s="49"/>
      <c r="BH660" s="49"/>
      <c r="BI660" s="49"/>
      <c r="BJ660" s="49"/>
      <c r="BK660" s="49"/>
      <c r="BL660" s="49"/>
      <c r="BM660" s="49"/>
      <c r="BN660" s="49"/>
      <c r="BO660" s="49"/>
      <c r="BP660" s="49"/>
      <c r="BQ660" s="49"/>
      <c r="BR660" s="49"/>
      <c r="BS660" s="49"/>
      <c r="BT660" s="49"/>
      <c r="BU660" s="49"/>
      <c r="BV660" s="49"/>
      <c r="BW660" s="49"/>
      <c r="BX660" s="49"/>
      <c r="BY660" s="49"/>
      <c r="BZ660" s="49"/>
      <c r="CA660" s="49"/>
      <c r="CB660" s="49"/>
      <c r="CC660" s="49"/>
      <c r="CD660" s="49"/>
      <c r="CE660" s="49"/>
      <c r="CF660" s="49"/>
      <c r="CG660" s="49"/>
      <c r="CH660" s="49"/>
      <c r="CI660" s="49"/>
      <c r="CJ660" s="49"/>
      <c r="CK660" s="49"/>
      <c r="CL660" s="49"/>
      <c r="CM660" s="49"/>
      <c r="CN660" s="49"/>
      <c r="CO660" s="49"/>
      <c r="CP660" s="49"/>
      <c r="CQ660" s="49"/>
      <c r="CR660" s="49"/>
      <c r="CS660" s="49"/>
      <c r="CT660" s="49"/>
      <c r="CU660" s="49"/>
      <c r="CV660" s="49"/>
      <c r="CW660" s="49"/>
      <c r="CX660" s="49"/>
      <c r="CY660" s="49"/>
      <c r="CZ660" s="49"/>
      <c r="DA660" s="49"/>
      <c r="DB660" s="49"/>
      <c r="DC660" s="49"/>
      <c r="DD660" s="49"/>
      <c r="DE660" s="49"/>
      <c r="DF660" s="49"/>
      <c r="DG660" s="49"/>
      <c r="DH660" s="49"/>
      <c r="DI660" s="49"/>
      <c r="DJ660" s="49"/>
      <c r="DK660" s="49"/>
      <c r="DL660" s="49"/>
      <c r="DM660" s="49"/>
      <c r="DN660" s="49"/>
      <c r="DO660" s="49"/>
      <c r="DP660" s="49"/>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c r="IW660"/>
      <c r="IX660"/>
      <c r="IY660"/>
      <c r="IZ660"/>
      <c r="JA660"/>
      <c r="JB660"/>
      <c r="JC660"/>
      <c r="JD660"/>
      <c r="JE660"/>
      <c r="JF660"/>
      <c r="JG660"/>
      <c r="JH660"/>
      <c r="JI660"/>
      <c r="JJ660"/>
      <c r="JK660"/>
      <c r="JL660"/>
      <c r="JM660"/>
      <c r="JN660"/>
      <c r="JO660"/>
      <c r="JP660"/>
      <c r="JQ660"/>
      <c r="JR660"/>
      <c r="JS660"/>
      <c r="JT660"/>
      <c r="JU660"/>
      <c r="JV660"/>
      <c r="JW660"/>
      <c r="JX660"/>
      <c r="JY660"/>
      <c r="JZ660"/>
      <c r="KA660"/>
      <c r="KB660"/>
      <c r="KC660"/>
      <c r="KD660"/>
      <c r="KE660"/>
      <c r="KF660"/>
      <c r="KG660"/>
      <c r="KH660"/>
      <c r="KI660"/>
      <c r="KJ660"/>
      <c r="KK660"/>
      <c r="KL660"/>
      <c r="KM660"/>
      <c r="KN660"/>
      <c r="KO660"/>
      <c r="KP660"/>
      <c r="KQ660"/>
      <c r="KR660"/>
      <c r="KS660"/>
      <c r="KT660"/>
      <c r="KU660"/>
      <c r="KV660"/>
      <c r="KW660"/>
      <c r="KX660"/>
      <c r="KY660"/>
      <c r="KZ660"/>
      <c r="LA660"/>
      <c r="LB660"/>
      <c r="LC660"/>
      <c r="LD660"/>
      <c r="LE660"/>
      <c r="LF660"/>
      <c r="LG660"/>
      <c r="LH660"/>
      <c r="LI660"/>
      <c r="LJ660"/>
      <c r="LK660"/>
      <c r="LL660"/>
      <c r="LM660"/>
      <c r="LN660"/>
      <c r="LO660"/>
      <c r="LP660"/>
      <c r="LQ660"/>
      <c r="LR660"/>
      <c r="LS660"/>
      <c r="LT660"/>
      <c r="LU660"/>
      <c r="LV660"/>
      <c r="LW660"/>
      <c r="LX660"/>
      <c r="LY660"/>
      <c r="LZ660"/>
      <c r="MA660"/>
      <c r="MB660"/>
      <c r="MC660"/>
      <c r="MD660"/>
      <c r="ME660"/>
      <c r="MF660"/>
      <c r="MG660"/>
      <c r="MH660"/>
      <c r="MI660"/>
      <c r="MJ660"/>
      <c r="MK660"/>
      <c r="ML660"/>
      <c r="MM660"/>
      <c r="MN660"/>
      <c r="MO660"/>
      <c r="MP660"/>
      <c r="MQ660"/>
      <c r="MR660"/>
      <c r="MS660"/>
      <c r="MT660"/>
      <c r="MU660"/>
      <c r="MV660"/>
      <c r="MW660"/>
      <c r="MX660"/>
      <c r="MY660"/>
      <c r="MZ660"/>
      <c r="NA660"/>
      <c r="NB660"/>
      <c r="NC660"/>
      <c r="ND660"/>
      <c r="NE660"/>
      <c r="NF660"/>
      <c r="NG660"/>
      <c r="NH660"/>
      <c r="NI660"/>
      <c r="NJ660"/>
      <c r="NK660"/>
      <c r="NL660"/>
      <c r="NM660"/>
      <c r="NN660"/>
      <c r="NO660"/>
      <c r="NP660"/>
      <c r="NQ660"/>
      <c r="NR660"/>
      <c r="NS660"/>
      <c r="NT660"/>
      <c r="NU660"/>
      <c r="NV660"/>
      <c r="NW660"/>
      <c r="NX660"/>
      <c r="NY660"/>
      <c r="NZ660"/>
      <c r="OA660"/>
      <c r="OB660"/>
      <c r="OC660"/>
      <c r="OD660"/>
      <c r="OE660"/>
      <c r="OF660"/>
      <c r="OG660"/>
      <c r="OH660"/>
      <c r="OI660"/>
      <c r="OJ660"/>
      <c r="OK660"/>
      <c r="OL660"/>
      <c r="OM660"/>
      <c r="ON660"/>
      <c r="OO660"/>
      <c r="OP660"/>
      <c r="OQ660"/>
      <c r="OR660"/>
      <c r="OS660"/>
      <c r="OT660"/>
      <c r="OU660"/>
      <c r="OV660"/>
      <c r="OW660"/>
      <c r="OX660"/>
      <c r="OY660"/>
      <c r="OZ660"/>
      <c r="PA660"/>
      <c r="PB660"/>
      <c r="PC660"/>
      <c r="PD660"/>
      <c r="PE660"/>
      <c r="PF660"/>
      <c r="PG660"/>
      <c r="PH660"/>
      <c r="PI660"/>
      <c r="PJ660"/>
      <c r="PK660"/>
      <c r="PL660"/>
      <c r="PM660"/>
      <c r="PN660"/>
      <c r="PO660"/>
      <c r="PP660"/>
      <c r="PQ660"/>
      <c r="PR660"/>
      <c r="PS660"/>
      <c r="PT660"/>
      <c r="PU660"/>
      <c r="PV660"/>
      <c r="PW660"/>
      <c r="PX660"/>
      <c r="PY660"/>
      <c r="PZ660"/>
      <c r="QA660"/>
      <c r="QB660"/>
      <c r="QC660"/>
      <c r="QD660"/>
      <c r="QE660"/>
      <c r="QF660"/>
      <c r="QG660"/>
      <c r="QH660"/>
      <c r="QI660"/>
      <c r="QJ660"/>
      <c r="QK660"/>
      <c r="QL660"/>
      <c r="QM660"/>
      <c r="QN660"/>
      <c r="QO660"/>
      <c r="QP660"/>
      <c r="QQ660"/>
      <c r="QR660"/>
      <c r="QS660"/>
      <c r="QT660"/>
      <c r="QU660"/>
      <c r="QV660"/>
      <c r="QW660"/>
      <c r="QX660"/>
      <c r="QY660"/>
      <c r="QZ660"/>
      <c r="RA660"/>
      <c r="RB660"/>
      <c r="RC660"/>
      <c r="RD660"/>
      <c r="RE660"/>
      <c r="RF660"/>
      <c r="RG660"/>
      <c r="RH660"/>
      <c r="RI660"/>
      <c r="RJ660"/>
      <c r="RK660"/>
      <c r="RL660"/>
      <c r="RM660"/>
      <c r="RN660"/>
      <c r="RO660"/>
      <c r="RP660"/>
      <c r="RQ660"/>
      <c r="RR660"/>
      <c r="RS660"/>
      <c r="RT660"/>
      <c r="RU660"/>
      <c r="RV660"/>
      <c r="RW660"/>
      <c r="RX660"/>
      <c r="RY660"/>
      <c r="RZ660"/>
      <c r="SA660"/>
      <c r="SB660"/>
      <c r="SC660"/>
      <c r="SD660"/>
      <c r="SE660"/>
      <c r="SF660"/>
      <c r="SG660"/>
      <c r="SH660"/>
      <c r="SI660"/>
      <c r="SJ660"/>
      <c r="SK660"/>
      <c r="SL660"/>
      <c r="SM660"/>
      <c r="SN660"/>
      <c r="SO660"/>
      <c r="SP660"/>
      <c r="SQ660"/>
      <c r="SR660"/>
      <c r="SS660"/>
      <c r="ST660"/>
      <c r="SU660"/>
      <c r="SV660"/>
      <c r="SW660"/>
      <c r="SX660"/>
      <c r="SY660"/>
      <c r="SZ660"/>
      <c r="TA660"/>
      <c r="TB660"/>
      <c r="TC660"/>
      <c r="TD660"/>
      <c r="TE660"/>
      <c r="TF660"/>
      <c r="TG660"/>
      <c r="TH660"/>
      <c r="TI660"/>
      <c r="TJ660"/>
      <c r="TK660"/>
      <c r="TL660"/>
      <c r="TM660"/>
      <c r="TN660"/>
      <c r="TO660"/>
      <c r="TP660"/>
      <c r="TQ660"/>
      <c r="TR660"/>
      <c r="TS660"/>
      <c r="TT660"/>
      <c r="TU660"/>
      <c r="TV660"/>
      <c r="TW660"/>
      <c r="TX660"/>
      <c r="TY660"/>
      <c r="TZ660"/>
      <c r="UA660"/>
      <c r="UB660"/>
      <c r="UC660"/>
      <c r="UD660"/>
      <c r="UE660"/>
      <c r="UF660"/>
      <c r="UG660"/>
      <c r="UH660"/>
      <c r="UI660"/>
      <c r="UJ660"/>
      <c r="UK660"/>
      <c r="UL660"/>
      <c r="UM660"/>
      <c r="UN660"/>
      <c r="UO660"/>
      <c r="UP660"/>
      <c r="UQ660"/>
      <c r="UR660"/>
      <c r="US660"/>
      <c r="UT660"/>
      <c r="UU660"/>
      <c r="UV660"/>
      <c r="UW660"/>
      <c r="UX660"/>
      <c r="UY660"/>
      <c r="UZ660"/>
      <c r="VA660"/>
      <c r="VB660"/>
      <c r="VC660"/>
      <c r="VD660"/>
      <c r="VE660"/>
      <c r="VF660"/>
      <c r="VG660"/>
      <c r="VH660"/>
      <c r="VI660"/>
      <c r="VJ660"/>
      <c r="VK660"/>
      <c r="VL660"/>
      <c r="VM660"/>
      <c r="VN660"/>
      <c r="VO660"/>
      <c r="VP660"/>
      <c r="VQ660"/>
      <c r="VR660"/>
      <c r="VS660"/>
      <c r="VT660"/>
      <c r="VU660"/>
      <c r="VV660"/>
      <c r="VW660"/>
      <c r="VX660"/>
      <c r="VY660"/>
      <c r="VZ660"/>
      <c r="WA660"/>
      <c r="WB660"/>
      <c r="WC660"/>
      <c r="WD660"/>
      <c r="WE660"/>
      <c r="WF660"/>
      <c r="WG660"/>
      <c r="WH660"/>
      <c r="WI660"/>
      <c r="WJ660"/>
      <c r="WK660"/>
      <c r="WL660"/>
      <c r="WM660"/>
      <c r="WN660"/>
      <c r="WO660"/>
      <c r="WP660"/>
      <c r="WQ660"/>
      <c r="WR660"/>
      <c r="WS660"/>
      <c r="WT660"/>
      <c r="WU660"/>
      <c r="WV660"/>
      <c r="WW660"/>
      <c r="WX660"/>
      <c r="WY660"/>
      <c r="WZ660"/>
      <c r="XA660"/>
      <c r="XB660"/>
      <c r="XC660"/>
      <c r="XD660"/>
      <c r="XE660"/>
      <c r="XF660"/>
      <c r="XG660"/>
      <c r="XH660"/>
      <c r="XI660"/>
      <c r="XJ660"/>
      <c r="XK660"/>
      <c r="XL660"/>
      <c r="XM660"/>
      <c r="XN660"/>
      <c r="XO660"/>
      <c r="XP660"/>
      <c r="XQ660"/>
      <c r="XR660"/>
      <c r="XS660"/>
      <c r="XT660"/>
      <c r="XU660"/>
      <c r="XV660"/>
      <c r="XW660"/>
      <c r="XX660"/>
      <c r="XY660"/>
      <c r="XZ660"/>
      <c r="YA660"/>
      <c r="YB660"/>
      <c r="YC660"/>
      <c r="YD660"/>
      <c r="YE660"/>
      <c r="YF660"/>
      <c r="YG660"/>
      <c r="YH660"/>
      <c r="YI660"/>
      <c r="YJ660"/>
      <c r="YK660"/>
      <c r="YL660"/>
      <c r="YM660"/>
      <c r="YN660"/>
      <c r="YO660"/>
      <c r="YP660"/>
      <c r="YQ660"/>
      <c r="YR660"/>
      <c r="YS660"/>
      <c r="YT660"/>
      <c r="YU660"/>
      <c r="YV660"/>
      <c r="YW660"/>
      <c r="YX660"/>
      <c r="YY660"/>
      <c r="YZ660"/>
      <c r="ZA660"/>
      <c r="ZB660"/>
      <c r="ZC660"/>
      <c r="ZD660"/>
      <c r="ZE660"/>
      <c r="ZF660"/>
      <c r="ZG660"/>
      <c r="ZH660"/>
      <c r="ZI660"/>
      <c r="ZJ660"/>
      <c r="ZK660"/>
      <c r="ZL660"/>
      <c r="ZM660"/>
      <c r="ZN660"/>
      <c r="ZO660"/>
      <c r="ZP660"/>
      <c r="ZQ660"/>
      <c r="ZR660"/>
      <c r="ZS660"/>
      <c r="ZT660"/>
      <c r="ZU660"/>
      <c r="ZV660"/>
      <c r="ZW660"/>
      <c r="ZX660"/>
      <c r="ZY660"/>
      <c r="ZZ660" s="52"/>
      <c r="AAA660" s="192"/>
      <c r="AAD660" s="90"/>
      <c r="AAE660" s="519">
        <f>IF(S.EQC.ApprovePacketLoop1="Y",1,0)</f>
        <v>1</v>
      </c>
      <c r="AAF660" s="90"/>
      <c r="AAG660" s="73">
        <f>IF(AAE660=0,,S.EQC.PacketBeginReview)</f>
        <v>41676</v>
      </c>
      <c r="AAH660" s="73">
        <f t="shared" si="565"/>
        <v>41676</v>
      </c>
      <c r="AAI660" s="72"/>
      <c r="AAJ660" s="185"/>
      <c r="AAK660" s="56"/>
      <c r="AAL660" s="90"/>
    </row>
    <row r="661" spans="1:715" s="23" customFormat="1" ht="15" hidden="1" customHeight="1" outlineLevel="3" thickBot="1">
      <c r="A661" s="171"/>
      <c r="B661" s="708" t="s">
        <v>376</v>
      </c>
      <c r="C661" s="376" t="s">
        <v>0</v>
      </c>
      <c r="D661" s="423"/>
      <c r="E661" s="397">
        <f t="shared" ref="E661" si="571">NETWORKDAYS(G661,H661,S.DDL_DEQClosed)</f>
        <v>1</v>
      </c>
      <c r="F661" s="457">
        <f t="shared" ref="F661" ca="1" si="572">IF(YEAR(H661)&gt;2000,NETWORKDAYS(TODAY(),H661,S.DDL_DEQClosed),0)</f>
        <v>69</v>
      </c>
      <c r="G661" s="400">
        <f t="shared" ref="G661" si="573">AAG661</f>
        <v>41676</v>
      </c>
      <c r="H661" s="400">
        <f t="shared" ref="H661" si="574">AAH661</f>
        <v>41676</v>
      </c>
      <c r="I661" s="244"/>
      <c r="J661" s="194"/>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49"/>
      <c r="AY661" s="49"/>
      <c r="AZ661" s="49"/>
      <c r="BA661" s="49"/>
      <c r="BB661" s="49"/>
      <c r="BC661" s="49"/>
      <c r="BD661" s="49"/>
      <c r="BE661" s="49"/>
      <c r="BF661" s="49"/>
      <c r="BG661" s="49"/>
      <c r="BH661" s="49"/>
      <c r="BI661" s="49"/>
      <c r="BJ661" s="49"/>
      <c r="BK661" s="49"/>
      <c r="BL661" s="49"/>
      <c r="BM661" s="49"/>
      <c r="BN661" s="49"/>
      <c r="BO661" s="49"/>
      <c r="BP661" s="49"/>
      <c r="BQ661" s="49"/>
      <c r="BR661" s="49"/>
      <c r="BS661" s="49"/>
      <c r="BT661" s="49"/>
      <c r="BU661" s="49"/>
      <c r="BV661" s="49"/>
      <c r="BW661" s="49"/>
      <c r="BX661" s="49"/>
      <c r="BY661" s="49"/>
      <c r="BZ661" s="49"/>
      <c r="CA661" s="49"/>
      <c r="CB661" s="49"/>
      <c r="CC661" s="49"/>
      <c r="CD661" s="49"/>
      <c r="CE661" s="49"/>
      <c r="CF661" s="49"/>
      <c r="CG661" s="49"/>
      <c r="CH661" s="49"/>
      <c r="CI661" s="49"/>
      <c r="CJ661" s="49"/>
      <c r="CK661" s="49"/>
      <c r="CL661" s="49"/>
      <c r="CM661" s="49"/>
      <c r="CN661" s="49"/>
      <c r="CO661" s="49"/>
      <c r="CP661" s="49"/>
      <c r="CQ661" s="49"/>
      <c r="CR661" s="49"/>
      <c r="CS661" s="49"/>
      <c r="CT661" s="49"/>
      <c r="CU661" s="49"/>
      <c r="CV661" s="49"/>
      <c r="CW661" s="49"/>
      <c r="CX661" s="49"/>
      <c r="CY661" s="49"/>
      <c r="CZ661" s="49"/>
      <c r="DA661" s="49"/>
      <c r="DB661" s="49"/>
      <c r="DC661" s="49"/>
      <c r="DD661" s="49"/>
      <c r="DE661" s="49"/>
      <c r="DF661" s="49"/>
      <c r="DG661" s="49"/>
      <c r="DH661" s="49"/>
      <c r="DI661" s="49"/>
      <c r="DJ661" s="49"/>
      <c r="DK661" s="49"/>
      <c r="DL661" s="49"/>
      <c r="DM661" s="49"/>
      <c r="DN661" s="49"/>
      <c r="DO661" s="49"/>
      <c r="DP661" s="49"/>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c r="IW661"/>
      <c r="IX661"/>
      <c r="IY661"/>
      <c r="IZ661"/>
      <c r="JA661"/>
      <c r="JB661"/>
      <c r="JC661"/>
      <c r="JD661"/>
      <c r="JE661"/>
      <c r="JF661"/>
      <c r="JG661"/>
      <c r="JH661"/>
      <c r="JI661"/>
      <c r="JJ661"/>
      <c r="JK661"/>
      <c r="JL661"/>
      <c r="JM661"/>
      <c r="JN661"/>
      <c r="JO661"/>
      <c r="JP661"/>
      <c r="JQ661"/>
      <c r="JR661"/>
      <c r="JS661"/>
      <c r="JT661"/>
      <c r="JU661"/>
      <c r="JV661"/>
      <c r="JW661"/>
      <c r="JX661"/>
      <c r="JY661"/>
      <c r="JZ661"/>
      <c r="KA661"/>
      <c r="KB661"/>
      <c r="KC661"/>
      <c r="KD661"/>
      <c r="KE661"/>
      <c r="KF661"/>
      <c r="KG661"/>
      <c r="KH661"/>
      <c r="KI661"/>
      <c r="KJ661"/>
      <c r="KK661"/>
      <c r="KL661"/>
      <c r="KM661"/>
      <c r="KN661"/>
      <c r="KO661"/>
      <c r="KP661"/>
      <c r="KQ661"/>
      <c r="KR661"/>
      <c r="KS661"/>
      <c r="KT661"/>
      <c r="KU661"/>
      <c r="KV661"/>
      <c r="KW661"/>
      <c r="KX661"/>
      <c r="KY661"/>
      <c r="KZ661"/>
      <c r="LA661"/>
      <c r="LB661"/>
      <c r="LC661"/>
      <c r="LD661"/>
      <c r="LE661"/>
      <c r="LF661"/>
      <c r="LG661"/>
      <c r="LH661"/>
      <c r="LI661"/>
      <c r="LJ661"/>
      <c r="LK661"/>
      <c r="LL661"/>
      <c r="LM661"/>
      <c r="LN661"/>
      <c r="LO661"/>
      <c r="LP661"/>
      <c r="LQ661"/>
      <c r="LR661"/>
      <c r="LS661"/>
      <c r="LT661"/>
      <c r="LU661"/>
      <c r="LV661"/>
      <c r="LW661"/>
      <c r="LX661"/>
      <c r="LY661"/>
      <c r="LZ661"/>
      <c r="MA661"/>
      <c r="MB661"/>
      <c r="MC661"/>
      <c r="MD661"/>
      <c r="ME661"/>
      <c r="MF661"/>
      <c r="MG661"/>
      <c r="MH661"/>
      <c r="MI661"/>
      <c r="MJ661"/>
      <c r="MK661"/>
      <c r="ML661"/>
      <c r="MM661"/>
      <c r="MN661"/>
      <c r="MO661"/>
      <c r="MP661"/>
      <c r="MQ661"/>
      <c r="MR661"/>
      <c r="MS661"/>
      <c r="MT661"/>
      <c r="MU661"/>
      <c r="MV661"/>
      <c r="MW661"/>
      <c r="MX661"/>
      <c r="MY661"/>
      <c r="MZ661"/>
      <c r="NA661"/>
      <c r="NB661"/>
      <c r="NC661"/>
      <c r="ND661"/>
      <c r="NE661"/>
      <c r="NF661"/>
      <c r="NG661"/>
      <c r="NH661"/>
      <c r="NI661"/>
      <c r="NJ661"/>
      <c r="NK661"/>
      <c r="NL661"/>
      <c r="NM661"/>
      <c r="NN661"/>
      <c r="NO661"/>
      <c r="NP661"/>
      <c r="NQ661"/>
      <c r="NR661"/>
      <c r="NS661"/>
      <c r="NT661"/>
      <c r="NU661"/>
      <c r="NV661"/>
      <c r="NW661"/>
      <c r="NX661"/>
      <c r="NY661"/>
      <c r="NZ661"/>
      <c r="OA661"/>
      <c r="OB661"/>
      <c r="OC661"/>
      <c r="OD661"/>
      <c r="OE661"/>
      <c r="OF661"/>
      <c r="OG661"/>
      <c r="OH661"/>
      <c r="OI661"/>
      <c r="OJ661"/>
      <c r="OK661"/>
      <c r="OL661"/>
      <c r="OM661"/>
      <c r="ON661"/>
      <c r="OO661"/>
      <c r="OP661"/>
      <c r="OQ661"/>
      <c r="OR661"/>
      <c r="OS661"/>
      <c r="OT661"/>
      <c r="OU661"/>
      <c r="OV661"/>
      <c r="OW661"/>
      <c r="OX661"/>
      <c r="OY661"/>
      <c r="OZ661"/>
      <c r="PA661"/>
      <c r="PB661"/>
      <c r="PC661"/>
      <c r="PD661"/>
      <c r="PE661"/>
      <c r="PF661"/>
      <c r="PG661"/>
      <c r="PH661"/>
      <c r="PI661"/>
      <c r="PJ661"/>
      <c r="PK661"/>
      <c r="PL661"/>
      <c r="PM661"/>
      <c r="PN661"/>
      <c r="PO661"/>
      <c r="PP661"/>
      <c r="PQ661"/>
      <c r="PR661"/>
      <c r="PS661"/>
      <c r="PT661"/>
      <c r="PU661"/>
      <c r="PV661"/>
      <c r="PW661"/>
      <c r="PX661"/>
      <c r="PY661"/>
      <c r="PZ661"/>
      <c r="QA661"/>
      <c r="QB661"/>
      <c r="QC661"/>
      <c r="QD661"/>
      <c r="QE661"/>
      <c r="QF661"/>
      <c r="QG661"/>
      <c r="QH661"/>
      <c r="QI661"/>
      <c r="QJ661"/>
      <c r="QK661"/>
      <c r="QL661"/>
      <c r="QM661"/>
      <c r="QN661"/>
      <c r="QO661"/>
      <c r="QP661"/>
      <c r="QQ661"/>
      <c r="QR661"/>
      <c r="QS661"/>
      <c r="QT661"/>
      <c r="QU661"/>
      <c r="QV661"/>
      <c r="QW661"/>
      <c r="QX661"/>
      <c r="QY661"/>
      <c r="QZ661"/>
      <c r="RA661"/>
      <c r="RB661"/>
      <c r="RC661"/>
      <c r="RD661"/>
      <c r="RE661"/>
      <c r="RF661"/>
      <c r="RG661"/>
      <c r="RH661"/>
      <c r="RI661"/>
      <c r="RJ661"/>
      <c r="RK661"/>
      <c r="RL661"/>
      <c r="RM661"/>
      <c r="RN661"/>
      <c r="RO661"/>
      <c r="RP661"/>
      <c r="RQ661"/>
      <c r="RR661"/>
      <c r="RS661"/>
      <c r="RT661"/>
      <c r="RU661"/>
      <c r="RV661"/>
      <c r="RW661"/>
      <c r="RX661"/>
      <c r="RY661"/>
      <c r="RZ661"/>
      <c r="SA661"/>
      <c r="SB661"/>
      <c r="SC661"/>
      <c r="SD661"/>
      <c r="SE661"/>
      <c r="SF661"/>
      <c r="SG661"/>
      <c r="SH661"/>
      <c r="SI661"/>
      <c r="SJ661"/>
      <c r="SK661"/>
      <c r="SL661"/>
      <c r="SM661"/>
      <c r="SN661"/>
      <c r="SO661"/>
      <c r="SP661"/>
      <c r="SQ661"/>
      <c r="SR661"/>
      <c r="SS661"/>
      <c r="ST661"/>
      <c r="SU661"/>
      <c r="SV661"/>
      <c r="SW661"/>
      <c r="SX661"/>
      <c r="SY661"/>
      <c r="SZ661"/>
      <c r="TA661"/>
      <c r="TB661"/>
      <c r="TC661"/>
      <c r="TD661"/>
      <c r="TE661"/>
      <c r="TF661"/>
      <c r="TG661"/>
      <c r="TH661"/>
      <c r="TI661"/>
      <c r="TJ661"/>
      <c r="TK661"/>
      <c r="TL661"/>
      <c r="TM661"/>
      <c r="TN661"/>
      <c r="TO661"/>
      <c r="TP661"/>
      <c r="TQ661"/>
      <c r="TR661"/>
      <c r="TS661"/>
      <c r="TT661"/>
      <c r="TU661"/>
      <c r="TV661"/>
      <c r="TW661"/>
      <c r="TX661"/>
      <c r="TY661"/>
      <c r="TZ661"/>
      <c r="UA661"/>
      <c r="UB661"/>
      <c r="UC661"/>
      <c r="UD661"/>
      <c r="UE661"/>
      <c r="UF661"/>
      <c r="UG661"/>
      <c r="UH661"/>
      <c r="UI661"/>
      <c r="UJ661"/>
      <c r="UK661"/>
      <c r="UL661"/>
      <c r="UM661"/>
      <c r="UN661"/>
      <c r="UO661"/>
      <c r="UP661"/>
      <c r="UQ661"/>
      <c r="UR661"/>
      <c r="US661"/>
      <c r="UT661"/>
      <c r="UU661"/>
      <c r="UV661"/>
      <c r="UW661"/>
      <c r="UX661"/>
      <c r="UY661"/>
      <c r="UZ661"/>
      <c r="VA661"/>
      <c r="VB661"/>
      <c r="VC661"/>
      <c r="VD661"/>
      <c r="VE661"/>
      <c r="VF661"/>
      <c r="VG661"/>
      <c r="VH661"/>
      <c r="VI661"/>
      <c r="VJ661"/>
      <c r="VK661"/>
      <c r="VL661"/>
      <c r="VM661"/>
      <c r="VN661"/>
      <c r="VO661"/>
      <c r="VP661"/>
      <c r="VQ661"/>
      <c r="VR661"/>
      <c r="VS661"/>
      <c r="VT661"/>
      <c r="VU661"/>
      <c r="VV661"/>
      <c r="VW661"/>
      <c r="VX661"/>
      <c r="VY661"/>
      <c r="VZ661"/>
      <c r="WA661"/>
      <c r="WB661"/>
      <c r="WC661"/>
      <c r="WD661"/>
      <c r="WE661"/>
      <c r="WF661"/>
      <c r="WG661"/>
      <c r="WH661"/>
      <c r="WI661"/>
      <c r="WJ661"/>
      <c r="WK661"/>
      <c r="WL661"/>
      <c r="WM661"/>
      <c r="WN661"/>
      <c r="WO661"/>
      <c r="WP661"/>
      <c r="WQ661"/>
      <c r="WR661"/>
      <c r="WS661"/>
      <c r="WT661"/>
      <c r="WU661"/>
      <c r="WV661"/>
      <c r="WW661"/>
      <c r="WX661"/>
      <c r="WY661"/>
      <c r="WZ661"/>
      <c r="XA661"/>
      <c r="XB661"/>
      <c r="XC661"/>
      <c r="XD661"/>
      <c r="XE661"/>
      <c r="XF661"/>
      <c r="XG661"/>
      <c r="XH661"/>
      <c r="XI661"/>
      <c r="XJ661"/>
      <c r="XK661"/>
      <c r="XL661"/>
      <c r="XM661"/>
      <c r="XN661"/>
      <c r="XO661"/>
      <c r="XP661"/>
      <c r="XQ661"/>
      <c r="XR661"/>
      <c r="XS661"/>
      <c r="XT661"/>
      <c r="XU661"/>
      <c r="XV661"/>
      <c r="XW661"/>
      <c r="XX661"/>
      <c r="XY661"/>
      <c r="XZ661"/>
      <c r="YA661"/>
      <c r="YB661"/>
      <c r="YC661"/>
      <c r="YD661"/>
      <c r="YE661"/>
      <c r="YF661"/>
      <c r="YG661"/>
      <c r="YH661"/>
      <c r="YI661"/>
      <c r="YJ661"/>
      <c r="YK661"/>
      <c r="YL661"/>
      <c r="YM661"/>
      <c r="YN661"/>
      <c r="YO661"/>
      <c r="YP661"/>
      <c r="YQ661"/>
      <c r="YR661"/>
      <c r="YS661"/>
      <c r="YT661"/>
      <c r="YU661"/>
      <c r="YV661"/>
      <c r="YW661"/>
      <c r="YX661"/>
      <c r="YY661"/>
      <c r="YZ661"/>
      <c r="ZA661"/>
      <c r="ZB661"/>
      <c r="ZC661"/>
      <c r="ZD661"/>
      <c r="ZE661"/>
      <c r="ZF661"/>
      <c r="ZG661"/>
      <c r="ZH661"/>
      <c r="ZI661"/>
      <c r="ZJ661"/>
      <c r="ZK661"/>
      <c r="ZL661"/>
      <c r="ZM661"/>
      <c r="ZN661"/>
      <c r="ZO661"/>
      <c r="ZP661"/>
      <c r="ZQ661"/>
      <c r="ZR661"/>
      <c r="ZS661"/>
      <c r="ZT661"/>
      <c r="ZU661"/>
      <c r="ZV661"/>
      <c r="ZW661"/>
      <c r="ZX661"/>
      <c r="ZY661"/>
      <c r="ZZ661" s="52"/>
      <c r="AAA661" s="192"/>
      <c r="AAD661" s="90"/>
      <c r="AAE661" s="519">
        <f>IF(S.EQC.ApprovePacketLoop1="Y",1,0)</f>
        <v>1</v>
      </c>
      <c r="AAF661" s="90"/>
      <c r="AAG661" s="73">
        <f>IF(AAE661=0,,S.EQC.PacketBeginReview)</f>
        <v>41676</v>
      </c>
      <c r="AAH661" s="73">
        <f t="shared" si="565"/>
        <v>41676</v>
      </c>
      <c r="AAI661" s="72"/>
      <c r="AAJ661" s="185"/>
      <c r="AAK661" s="56"/>
      <c r="AAL661" s="90"/>
    </row>
    <row r="662" spans="1:715" ht="15" hidden="1" customHeight="1" outlineLevel="3" thickBot="1">
      <c r="A662" s="171"/>
      <c r="B662" s="709" t="s">
        <v>379</v>
      </c>
      <c r="C662" s="611" t="s">
        <v>17</v>
      </c>
      <c r="D662" s="380"/>
      <c r="E662" s="342">
        <f>NETWORKDAYS(G662,H662,S.DDL_DEQClosed)</f>
        <v>1</v>
      </c>
      <c r="F662" s="457">
        <f t="shared" ca="1" si="543"/>
        <v>69</v>
      </c>
      <c r="G662" s="400">
        <f t="shared" si="564"/>
        <v>41676</v>
      </c>
      <c r="H662" s="400">
        <f t="shared" si="564"/>
        <v>41676</v>
      </c>
      <c r="I662" s="244"/>
      <c r="J662" s="194"/>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c r="BE662" s="49"/>
      <c r="BF662" s="49"/>
      <c r="BG662" s="49"/>
      <c r="BH662" s="49"/>
      <c r="BI662" s="49"/>
      <c r="BJ662" s="49"/>
      <c r="BK662" s="49"/>
      <c r="BL662" s="49"/>
      <c r="BM662" s="49"/>
      <c r="BN662" s="49"/>
      <c r="BO662" s="49"/>
      <c r="BP662" s="49"/>
      <c r="BQ662" s="49"/>
      <c r="BR662" s="49"/>
      <c r="BS662" s="49"/>
      <c r="BT662" s="49"/>
      <c r="BU662" s="49"/>
      <c r="BV662" s="49"/>
      <c r="BW662" s="49"/>
      <c r="BX662" s="49"/>
      <c r="BY662" s="49"/>
      <c r="BZ662" s="49"/>
      <c r="CA662" s="49"/>
      <c r="CB662" s="49"/>
      <c r="CC662" s="49"/>
      <c r="CD662" s="49"/>
      <c r="CE662" s="49"/>
      <c r="CF662" s="49"/>
      <c r="CG662" s="49"/>
      <c r="CH662" s="49"/>
      <c r="CI662" s="49"/>
      <c r="CJ662" s="49"/>
      <c r="CK662" s="49"/>
      <c r="CL662" s="49"/>
      <c r="CM662" s="49"/>
      <c r="CN662" s="49"/>
      <c r="CO662" s="49"/>
      <c r="CP662" s="49"/>
      <c r="CQ662" s="49"/>
      <c r="CR662" s="49"/>
      <c r="CS662" s="49"/>
      <c r="CT662" s="49"/>
      <c r="CU662" s="49"/>
      <c r="CV662" s="49"/>
      <c r="CW662" s="49"/>
      <c r="CX662" s="49"/>
      <c r="CY662" s="49"/>
      <c r="CZ662" s="49"/>
      <c r="DA662" s="49"/>
      <c r="DB662" s="49"/>
      <c r="DC662" s="49"/>
      <c r="DD662" s="49"/>
      <c r="DE662" s="49"/>
      <c r="DF662" s="49"/>
      <c r="DG662" s="49"/>
      <c r="DH662" s="49"/>
      <c r="DI662" s="49"/>
      <c r="DJ662" s="49"/>
      <c r="DK662" s="49"/>
      <c r="DL662" s="49"/>
      <c r="DM662" s="49"/>
      <c r="DN662" s="49"/>
      <c r="DO662" s="49"/>
      <c r="DP662" s="49"/>
      <c r="AAA662" s="192"/>
      <c r="AAD662" s="90"/>
      <c r="AAE662" s="519">
        <f>IF(S.EQC.ApprovePacketLoop2="Y",1,0)</f>
        <v>1</v>
      </c>
      <c r="AAF662" s="90"/>
      <c r="AAG662" s="73">
        <f>IF(AAE662=0,,H658)</f>
        <v>41676</v>
      </c>
      <c r="AAH662" s="73">
        <f t="shared" si="565"/>
        <v>41676</v>
      </c>
      <c r="AAI662" s="72"/>
      <c r="AAJ662" s="56"/>
      <c r="AAK662" s="56"/>
      <c r="AAL662" s="90"/>
      <c r="AAM662"/>
    </row>
    <row r="663" spans="1:715" s="23" customFormat="1" ht="15" hidden="1" customHeight="1" outlineLevel="3">
      <c r="A663" s="171"/>
      <c r="B663" s="710" t="s">
        <v>376</v>
      </c>
      <c r="C663" s="376" t="s">
        <v>0</v>
      </c>
      <c r="D663" s="423"/>
      <c r="E663" s="397">
        <f t="shared" ref="E663:E665" si="575">NETWORKDAYS(G663,H663,S.DDL_DEQClosed)</f>
        <v>1</v>
      </c>
      <c r="F663" s="457">
        <f t="shared" ref="F663:F665" ca="1" si="576">IF(YEAR(H663)&gt;2000,NETWORKDAYS(TODAY(),H663,S.DDL_DEQClosed),0)</f>
        <v>69</v>
      </c>
      <c r="G663" s="400">
        <f t="shared" ref="G663:G665" si="577">AAG663</f>
        <v>41676</v>
      </c>
      <c r="H663" s="400">
        <f t="shared" ref="H663:H665" si="578">AAH663</f>
        <v>41676</v>
      </c>
      <c r="I663" s="244"/>
      <c r="J663" s="194"/>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c r="BE663" s="49"/>
      <c r="BF663" s="49"/>
      <c r="BG663" s="49"/>
      <c r="BH663" s="49"/>
      <c r="BI663" s="49"/>
      <c r="BJ663" s="49"/>
      <c r="BK663" s="49"/>
      <c r="BL663" s="49"/>
      <c r="BM663" s="49"/>
      <c r="BN663" s="49"/>
      <c r="BO663" s="49"/>
      <c r="BP663" s="49"/>
      <c r="BQ663" s="49"/>
      <c r="BR663" s="49"/>
      <c r="BS663" s="49"/>
      <c r="BT663" s="49"/>
      <c r="BU663" s="49"/>
      <c r="BV663" s="49"/>
      <c r="BW663" s="49"/>
      <c r="BX663" s="49"/>
      <c r="BY663" s="49"/>
      <c r="BZ663" s="49"/>
      <c r="CA663" s="49"/>
      <c r="CB663" s="49"/>
      <c r="CC663" s="49"/>
      <c r="CD663" s="49"/>
      <c r="CE663" s="49"/>
      <c r="CF663" s="49"/>
      <c r="CG663" s="49"/>
      <c r="CH663" s="49"/>
      <c r="CI663" s="49"/>
      <c r="CJ663" s="49"/>
      <c r="CK663" s="49"/>
      <c r="CL663" s="49"/>
      <c r="CM663" s="49"/>
      <c r="CN663" s="49"/>
      <c r="CO663" s="49"/>
      <c r="CP663" s="49"/>
      <c r="CQ663" s="49"/>
      <c r="CR663" s="49"/>
      <c r="CS663" s="49"/>
      <c r="CT663" s="49"/>
      <c r="CU663" s="49"/>
      <c r="CV663" s="49"/>
      <c r="CW663" s="49"/>
      <c r="CX663" s="49"/>
      <c r="CY663" s="49"/>
      <c r="CZ663" s="49"/>
      <c r="DA663" s="49"/>
      <c r="DB663" s="49"/>
      <c r="DC663" s="49"/>
      <c r="DD663" s="49"/>
      <c r="DE663" s="49"/>
      <c r="DF663" s="49"/>
      <c r="DG663" s="49"/>
      <c r="DH663" s="49"/>
      <c r="DI663" s="49"/>
      <c r="DJ663" s="49"/>
      <c r="DK663" s="49"/>
      <c r="DL663" s="49"/>
      <c r="DM663" s="49"/>
      <c r="DN663" s="49"/>
      <c r="DO663" s="49"/>
      <c r="DP663" s="49"/>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c r="IW663"/>
      <c r="IX663"/>
      <c r="IY663"/>
      <c r="IZ663"/>
      <c r="JA663"/>
      <c r="JB663"/>
      <c r="JC663"/>
      <c r="JD663"/>
      <c r="JE663"/>
      <c r="JF663"/>
      <c r="JG663"/>
      <c r="JH663"/>
      <c r="JI663"/>
      <c r="JJ663"/>
      <c r="JK663"/>
      <c r="JL663"/>
      <c r="JM663"/>
      <c r="JN663"/>
      <c r="JO663"/>
      <c r="JP663"/>
      <c r="JQ663"/>
      <c r="JR663"/>
      <c r="JS663"/>
      <c r="JT663"/>
      <c r="JU663"/>
      <c r="JV663"/>
      <c r="JW663"/>
      <c r="JX663"/>
      <c r="JY663"/>
      <c r="JZ663"/>
      <c r="KA663"/>
      <c r="KB663"/>
      <c r="KC663"/>
      <c r="KD663"/>
      <c r="KE663"/>
      <c r="KF663"/>
      <c r="KG663"/>
      <c r="KH663"/>
      <c r="KI663"/>
      <c r="KJ663"/>
      <c r="KK663"/>
      <c r="KL663"/>
      <c r="KM663"/>
      <c r="KN663"/>
      <c r="KO663"/>
      <c r="KP663"/>
      <c r="KQ663"/>
      <c r="KR663"/>
      <c r="KS663"/>
      <c r="KT663"/>
      <c r="KU663"/>
      <c r="KV663"/>
      <c r="KW663"/>
      <c r="KX663"/>
      <c r="KY663"/>
      <c r="KZ663"/>
      <c r="LA663"/>
      <c r="LB663"/>
      <c r="LC663"/>
      <c r="LD663"/>
      <c r="LE663"/>
      <c r="LF663"/>
      <c r="LG663"/>
      <c r="LH663"/>
      <c r="LI663"/>
      <c r="LJ663"/>
      <c r="LK663"/>
      <c r="LL663"/>
      <c r="LM663"/>
      <c r="LN663"/>
      <c r="LO663"/>
      <c r="LP663"/>
      <c r="LQ663"/>
      <c r="LR663"/>
      <c r="LS663"/>
      <c r="LT663"/>
      <c r="LU663"/>
      <c r="LV663"/>
      <c r="LW663"/>
      <c r="LX663"/>
      <c r="LY663"/>
      <c r="LZ663"/>
      <c r="MA663"/>
      <c r="MB663"/>
      <c r="MC663"/>
      <c r="MD663"/>
      <c r="ME663"/>
      <c r="MF663"/>
      <c r="MG663"/>
      <c r="MH663"/>
      <c r="MI663"/>
      <c r="MJ663"/>
      <c r="MK663"/>
      <c r="ML663"/>
      <c r="MM663"/>
      <c r="MN663"/>
      <c r="MO663"/>
      <c r="MP663"/>
      <c r="MQ663"/>
      <c r="MR663"/>
      <c r="MS663"/>
      <c r="MT663"/>
      <c r="MU663"/>
      <c r="MV663"/>
      <c r="MW663"/>
      <c r="MX663"/>
      <c r="MY663"/>
      <c r="MZ663"/>
      <c r="NA663"/>
      <c r="NB663"/>
      <c r="NC663"/>
      <c r="ND663"/>
      <c r="NE663"/>
      <c r="NF663"/>
      <c r="NG663"/>
      <c r="NH663"/>
      <c r="NI663"/>
      <c r="NJ663"/>
      <c r="NK663"/>
      <c r="NL663"/>
      <c r="NM663"/>
      <c r="NN663"/>
      <c r="NO663"/>
      <c r="NP663"/>
      <c r="NQ663"/>
      <c r="NR663"/>
      <c r="NS663"/>
      <c r="NT663"/>
      <c r="NU663"/>
      <c r="NV663"/>
      <c r="NW663"/>
      <c r="NX663"/>
      <c r="NY663"/>
      <c r="NZ663"/>
      <c r="OA663"/>
      <c r="OB663"/>
      <c r="OC663"/>
      <c r="OD663"/>
      <c r="OE663"/>
      <c r="OF663"/>
      <c r="OG663"/>
      <c r="OH663"/>
      <c r="OI663"/>
      <c r="OJ663"/>
      <c r="OK663"/>
      <c r="OL663"/>
      <c r="OM663"/>
      <c r="ON663"/>
      <c r="OO663"/>
      <c r="OP663"/>
      <c r="OQ663"/>
      <c r="OR663"/>
      <c r="OS663"/>
      <c r="OT663"/>
      <c r="OU663"/>
      <c r="OV663"/>
      <c r="OW663"/>
      <c r="OX663"/>
      <c r="OY663"/>
      <c r="OZ663"/>
      <c r="PA663"/>
      <c r="PB663"/>
      <c r="PC663"/>
      <c r="PD663"/>
      <c r="PE663"/>
      <c r="PF663"/>
      <c r="PG663"/>
      <c r="PH663"/>
      <c r="PI663"/>
      <c r="PJ663"/>
      <c r="PK663"/>
      <c r="PL663"/>
      <c r="PM663"/>
      <c r="PN663"/>
      <c r="PO663"/>
      <c r="PP663"/>
      <c r="PQ663"/>
      <c r="PR663"/>
      <c r="PS663"/>
      <c r="PT663"/>
      <c r="PU663"/>
      <c r="PV663"/>
      <c r="PW663"/>
      <c r="PX663"/>
      <c r="PY663"/>
      <c r="PZ663"/>
      <c r="QA663"/>
      <c r="QB663"/>
      <c r="QC663"/>
      <c r="QD663"/>
      <c r="QE663"/>
      <c r="QF663"/>
      <c r="QG663"/>
      <c r="QH663"/>
      <c r="QI663"/>
      <c r="QJ663"/>
      <c r="QK663"/>
      <c r="QL663"/>
      <c r="QM663"/>
      <c r="QN663"/>
      <c r="QO663"/>
      <c r="QP663"/>
      <c r="QQ663"/>
      <c r="QR663"/>
      <c r="QS663"/>
      <c r="QT663"/>
      <c r="QU663"/>
      <c r="QV663"/>
      <c r="QW663"/>
      <c r="QX663"/>
      <c r="QY663"/>
      <c r="QZ663"/>
      <c r="RA663"/>
      <c r="RB663"/>
      <c r="RC663"/>
      <c r="RD663"/>
      <c r="RE663"/>
      <c r="RF663"/>
      <c r="RG663"/>
      <c r="RH663"/>
      <c r="RI663"/>
      <c r="RJ663"/>
      <c r="RK663"/>
      <c r="RL663"/>
      <c r="RM663"/>
      <c r="RN663"/>
      <c r="RO663"/>
      <c r="RP663"/>
      <c r="RQ663"/>
      <c r="RR663"/>
      <c r="RS663"/>
      <c r="RT663"/>
      <c r="RU663"/>
      <c r="RV663"/>
      <c r="RW663"/>
      <c r="RX663"/>
      <c r="RY663"/>
      <c r="RZ663"/>
      <c r="SA663"/>
      <c r="SB663"/>
      <c r="SC663"/>
      <c r="SD663"/>
      <c r="SE663"/>
      <c r="SF663"/>
      <c r="SG663"/>
      <c r="SH663"/>
      <c r="SI663"/>
      <c r="SJ663"/>
      <c r="SK663"/>
      <c r="SL663"/>
      <c r="SM663"/>
      <c r="SN663"/>
      <c r="SO663"/>
      <c r="SP663"/>
      <c r="SQ663"/>
      <c r="SR663"/>
      <c r="SS663"/>
      <c r="ST663"/>
      <c r="SU663"/>
      <c r="SV663"/>
      <c r="SW663"/>
      <c r="SX663"/>
      <c r="SY663"/>
      <c r="SZ663"/>
      <c r="TA663"/>
      <c r="TB663"/>
      <c r="TC663"/>
      <c r="TD663"/>
      <c r="TE663"/>
      <c r="TF663"/>
      <c r="TG663"/>
      <c r="TH663"/>
      <c r="TI663"/>
      <c r="TJ663"/>
      <c r="TK663"/>
      <c r="TL663"/>
      <c r="TM663"/>
      <c r="TN663"/>
      <c r="TO663"/>
      <c r="TP663"/>
      <c r="TQ663"/>
      <c r="TR663"/>
      <c r="TS663"/>
      <c r="TT663"/>
      <c r="TU663"/>
      <c r="TV663"/>
      <c r="TW663"/>
      <c r="TX663"/>
      <c r="TY663"/>
      <c r="TZ663"/>
      <c r="UA663"/>
      <c r="UB663"/>
      <c r="UC663"/>
      <c r="UD663"/>
      <c r="UE663"/>
      <c r="UF663"/>
      <c r="UG663"/>
      <c r="UH663"/>
      <c r="UI663"/>
      <c r="UJ663"/>
      <c r="UK663"/>
      <c r="UL663"/>
      <c r="UM663"/>
      <c r="UN663"/>
      <c r="UO663"/>
      <c r="UP663"/>
      <c r="UQ663"/>
      <c r="UR663"/>
      <c r="US663"/>
      <c r="UT663"/>
      <c r="UU663"/>
      <c r="UV663"/>
      <c r="UW663"/>
      <c r="UX663"/>
      <c r="UY663"/>
      <c r="UZ663"/>
      <c r="VA663"/>
      <c r="VB663"/>
      <c r="VC663"/>
      <c r="VD663"/>
      <c r="VE663"/>
      <c r="VF663"/>
      <c r="VG663"/>
      <c r="VH663"/>
      <c r="VI663"/>
      <c r="VJ663"/>
      <c r="VK663"/>
      <c r="VL663"/>
      <c r="VM663"/>
      <c r="VN663"/>
      <c r="VO663"/>
      <c r="VP663"/>
      <c r="VQ663"/>
      <c r="VR663"/>
      <c r="VS663"/>
      <c r="VT663"/>
      <c r="VU663"/>
      <c r="VV663"/>
      <c r="VW663"/>
      <c r="VX663"/>
      <c r="VY663"/>
      <c r="VZ663"/>
      <c r="WA663"/>
      <c r="WB663"/>
      <c r="WC663"/>
      <c r="WD663"/>
      <c r="WE663"/>
      <c r="WF663"/>
      <c r="WG663"/>
      <c r="WH663"/>
      <c r="WI663"/>
      <c r="WJ663"/>
      <c r="WK663"/>
      <c r="WL663"/>
      <c r="WM663"/>
      <c r="WN663"/>
      <c r="WO663"/>
      <c r="WP663"/>
      <c r="WQ663"/>
      <c r="WR663"/>
      <c r="WS663"/>
      <c r="WT663"/>
      <c r="WU663"/>
      <c r="WV663"/>
      <c r="WW663"/>
      <c r="WX663"/>
      <c r="WY663"/>
      <c r="WZ663"/>
      <c r="XA663"/>
      <c r="XB663"/>
      <c r="XC663"/>
      <c r="XD663"/>
      <c r="XE663"/>
      <c r="XF663"/>
      <c r="XG663"/>
      <c r="XH663"/>
      <c r="XI663"/>
      <c r="XJ663"/>
      <c r="XK663"/>
      <c r="XL663"/>
      <c r="XM663"/>
      <c r="XN663"/>
      <c r="XO663"/>
      <c r="XP663"/>
      <c r="XQ663"/>
      <c r="XR663"/>
      <c r="XS663"/>
      <c r="XT663"/>
      <c r="XU663"/>
      <c r="XV663"/>
      <c r="XW663"/>
      <c r="XX663"/>
      <c r="XY663"/>
      <c r="XZ663"/>
      <c r="YA663"/>
      <c r="YB663"/>
      <c r="YC663"/>
      <c r="YD663"/>
      <c r="YE663"/>
      <c r="YF663"/>
      <c r="YG663"/>
      <c r="YH663"/>
      <c r="YI663"/>
      <c r="YJ663"/>
      <c r="YK663"/>
      <c r="YL663"/>
      <c r="YM663"/>
      <c r="YN663"/>
      <c r="YO663"/>
      <c r="YP663"/>
      <c r="YQ663"/>
      <c r="YR663"/>
      <c r="YS663"/>
      <c r="YT663"/>
      <c r="YU663"/>
      <c r="YV663"/>
      <c r="YW663"/>
      <c r="YX663"/>
      <c r="YY663"/>
      <c r="YZ663"/>
      <c r="ZA663"/>
      <c r="ZB663"/>
      <c r="ZC663"/>
      <c r="ZD663"/>
      <c r="ZE663"/>
      <c r="ZF663"/>
      <c r="ZG663"/>
      <c r="ZH663"/>
      <c r="ZI663"/>
      <c r="ZJ663"/>
      <c r="ZK663"/>
      <c r="ZL663"/>
      <c r="ZM663"/>
      <c r="ZN663"/>
      <c r="ZO663"/>
      <c r="ZP663"/>
      <c r="ZQ663"/>
      <c r="ZR663"/>
      <c r="ZS663"/>
      <c r="ZT663"/>
      <c r="ZU663"/>
      <c r="ZV663"/>
      <c r="ZW663"/>
      <c r="ZX663"/>
      <c r="ZY663"/>
      <c r="ZZ663" s="52"/>
      <c r="AAA663" s="192"/>
      <c r="AAD663" s="90"/>
      <c r="AAE663" s="519">
        <f>IF(S.EQC.ApprovePacketLoop2="Y",1,0)</f>
        <v>1</v>
      </c>
      <c r="AAF663" s="90"/>
      <c r="AAG663" s="73">
        <f>IF(AAE663=0,,G662)</f>
        <v>41676</v>
      </c>
      <c r="AAH663" s="73">
        <f t="shared" si="565"/>
        <v>41676</v>
      </c>
      <c r="AAI663" s="72"/>
      <c r="AAJ663" s="185"/>
      <c r="AAK663" s="56"/>
      <c r="AAL663" s="90"/>
    </row>
    <row r="664" spans="1:715" s="23" customFormat="1" ht="15" hidden="1" customHeight="1" outlineLevel="3">
      <c r="A664" s="171"/>
      <c r="B664" s="710" t="s">
        <v>376</v>
      </c>
      <c r="C664" s="376" t="s">
        <v>0</v>
      </c>
      <c r="D664" s="423"/>
      <c r="E664" s="397">
        <f t="shared" si="575"/>
        <v>1</v>
      </c>
      <c r="F664" s="457">
        <f t="shared" ca="1" si="576"/>
        <v>69</v>
      </c>
      <c r="G664" s="400">
        <f t="shared" si="577"/>
        <v>41676</v>
      </c>
      <c r="H664" s="400">
        <f t="shared" si="578"/>
        <v>41676</v>
      </c>
      <c r="I664" s="244"/>
      <c r="J664" s="194"/>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9"/>
      <c r="BN664" s="49"/>
      <c r="BO664" s="49"/>
      <c r="BP664" s="49"/>
      <c r="BQ664" s="49"/>
      <c r="BR664" s="49"/>
      <c r="BS664" s="49"/>
      <c r="BT664" s="49"/>
      <c r="BU664" s="49"/>
      <c r="BV664" s="49"/>
      <c r="BW664" s="49"/>
      <c r="BX664" s="49"/>
      <c r="BY664" s="49"/>
      <c r="BZ664" s="49"/>
      <c r="CA664" s="49"/>
      <c r="CB664" s="49"/>
      <c r="CC664" s="49"/>
      <c r="CD664" s="49"/>
      <c r="CE664" s="49"/>
      <c r="CF664" s="49"/>
      <c r="CG664" s="49"/>
      <c r="CH664" s="49"/>
      <c r="CI664" s="49"/>
      <c r="CJ664" s="49"/>
      <c r="CK664" s="49"/>
      <c r="CL664" s="49"/>
      <c r="CM664" s="49"/>
      <c r="CN664" s="49"/>
      <c r="CO664" s="49"/>
      <c r="CP664" s="49"/>
      <c r="CQ664" s="49"/>
      <c r="CR664" s="49"/>
      <c r="CS664" s="49"/>
      <c r="CT664" s="49"/>
      <c r="CU664" s="49"/>
      <c r="CV664" s="49"/>
      <c r="CW664" s="49"/>
      <c r="CX664" s="49"/>
      <c r="CY664" s="49"/>
      <c r="CZ664" s="49"/>
      <c r="DA664" s="49"/>
      <c r="DB664" s="49"/>
      <c r="DC664" s="49"/>
      <c r="DD664" s="49"/>
      <c r="DE664" s="49"/>
      <c r="DF664" s="49"/>
      <c r="DG664" s="49"/>
      <c r="DH664" s="49"/>
      <c r="DI664" s="49"/>
      <c r="DJ664" s="49"/>
      <c r="DK664" s="49"/>
      <c r="DL664" s="49"/>
      <c r="DM664" s="49"/>
      <c r="DN664" s="49"/>
      <c r="DO664" s="49"/>
      <c r="DP664" s="49"/>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c r="IW664"/>
      <c r="IX664"/>
      <c r="IY664"/>
      <c r="IZ664"/>
      <c r="JA664"/>
      <c r="JB664"/>
      <c r="JC664"/>
      <c r="JD664"/>
      <c r="JE664"/>
      <c r="JF664"/>
      <c r="JG664"/>
      <c r="JH664"/>
      <c r="JI664"/>
      <c r="JJ664"/>
      <c r="JK664"/>
      <c r="JL664"/>
      <c r="JM664"/>
      <c r="JN664"/>
      <c r="JO664"/>
      <c r="JP664"/>
      <c r="JQ664"/>
      <c r="JR664"/>
      <c r="JS664"/>
      <c r="JT664"/>
      <c r="JU664"/>
      <c r="JV664"/>
      <c r="JW664"/>
      <c r="JX664"/>
      <c r="JY664"/>
      <c r="JZ664"/>
      <c r="KA664"/>
      <c r="KB664"/>
      <c r="KC664"/>
      <c r="KD664"/>
      <c r="KE664"/>
      <c r="KF664"/>
      <c r="KG664"/>
      <c r="KH664"/>
      <c r="KI664"/>
      <c r="KJ664"/>
      <c r="KK664"/>
      <c r="KL664"/>
      <c r="KM664"/>
      <c r="KN664"/>
      <c r="KO664"/>
      <c r="KP664"/>
      <c r="KQ664"/>
      <c r="KR664"/>
      <c r="KS664"/>
      <c r="KT664"/>
      <c r="KU664"/>
      <c r="KV664"/>
      <c r="KW664"/>
      <c r="KX664"/>
      <c r="KY664"/>
      <c r="KZ664"/>
      <c r="LA664"/>
      <c r="LB664"/>
      <c r="LC664"/>
      <c r="LD664"/>
      <c r="LE664"/>
      <c r="LF664"/>
      <c r="LG664"/>
      <c r="LH664"/>
      <c r="LI664"/>
      <c r="LJ664"/>
      <c r="LK664"/>
      <c r="LL664"/>
      <c r="LM664"/>
      <c r="LN664"/>
      <c r="LO664"/>
      <c r="LP664"/>
      <c r="LQ664"/>
      <c r="LR664"/>
      <c r="LS664"/>
      <c r="LT664"/>
      <c r="LU664"/>
      <c r="LV664"/>
      <c r="LW664"/>
      <c r="LX664"/>
      <c r="LY664"/>
      <c r="LZ664"/>
      <c r="MA664"/>
      <c r="MB664"/>
      <c r="MC664"/>
      <c r="MD664"/>
      <c r="ME664"/>
      <c r="MF664"/>
      <c r="MG664"/>
      <c r="MH664"/>
      <c r="MI664"/>
      <c r="MJ664"/>
      <c r="MK664"/>
      <c r="ML664"/>
      <c r="MM664"/>
      <c r="MN664"/>
      <c r="MO664"/>
      <c r="MP664"/>
      <c r="MQ664"/>
      <c r="MR664"/>
      <c r="MS664"/>
      <c r="MT664"/>
      <c r="MU664"/>
      <c r="MV664"/>
      <c r="MW664"/>
      <c r="MX664"/>
      <c r="MY664"/>
      <c r="MZ664"/>
      <c r="NA664"/>
      <c r="NB664"/>
      <c r="NC664"/>
      <c r="ND664"/>
      <c r="NE664"/>
      <c r="NF664"/>
      <c r="NG664"/>
      <c r="NH664"/>
      <c r="NI664"/>
      <c r="NJ664"/>
      <c r="NK664"/>
      <c r="NL664"/>
      <c r="NM664"/>
      <c r="NN664"/>
      <c r="NO664"/>
      <c r="NP664"/>
      <c r="NQ664"/>
      <c r="NR664"/>
      <c r="NS664"/>
      <c r="NT664"/>
      <c r="NU664"/>
      <c r="NV664"/>
      <c r="NW664"/>
      <c r="NX664"/>
      <c r="NY664"/>
      <c r="NZ664"/>
      <c r="OA664"/>
      <c r="OB664"/>
      <c r="OC664"/>
      <c r="OD664"/>
      <c r="OE664"/>
      <c r="OF664"/>
      <c r="OG664"/>
      <c r="OH664"/>
      <c r="OI664"/>
      <c r="OJ664"/>
      <c r="OK664"/>
      <c r="OL664"/>
      <c r="OM664"/>
      <c r="ON664"/>
      <c r="OO664"/>
      <c r="OP664"/>
      <c r="OQ664"/>
      <c r="OR664"/>
      <c r="OS664"/>
      <c r="OT664"/>
      <c r="OU664"/>
      <c r="OV664"/>
      <c r="OW664"/>
      <c r="OX664"/>
      <c r="OY664"/>
      <c r="OZ664"/>
      <c r="PA664"/>
      <c r="PB664"/>
      <c r="PC664"/>
      <c r="PD664"/>
      <c r="PE664"/>
      <c r="PF664"/>
      <c r="PG664"/>
      <c r="PH664"/>
      <c r="PI664"/>
      <c r="PJ664"/>
      <c r="PK664"/>
      <c r="PL664"/>
      <c r="PM664"/>
      <c r="PN664"/>
      <c r="PO664"/>
      <c r="PP664"/>
      <c r="PQ664"/>
      <c r="PR664"/>
      <c r="PS664"/>
      <c r="PT664"/>
      <c r="PU664"/>
      <c r="PV664"/>
      <c r="PW664"/>
      <c r="PX664"/>
      <c r="PY664"/>
      <c r="PZ664"/>
      <c r="QA664"/>
      <c r="QB664"/>
      <c r="QC664"/>
      <c r="QD664"/>
      <c r="QE664"/>
      <c r="QF664"/>
      <c r="QG664"/>
      <c r="QH664"/>
      <c r="QI664"/>
      <c r="QJ664"/>
      <c r="QK664"/>
      <c r="QL664"/>
      <c r="QM664"/>
      <c r="QN664"/>
      <c r="QO664"/>
      <c r="QP664"/>
      <c r="QQ664"/>
      <c r="QR664"/>
      <c r="QS664"/>
      <c r="QT664"/>
      <c r="QU664"/>
      <c r="QV664"/>
      <c r="QW664"/>
      <c r="QX664"/>
      <c r="QY664"/>
      <c r="QZ664"/>
      <c r="RA664"/>
      <c r="RB664"/>
      <c r="RC664"/>
      <c r="RD664"/>
      <c r="RE664"/>
      <c r="RF664"/>
      <c r="RG664"/>
      <c r="RH664"/>
      <c r="RI664"/>
      <c r="RJ664"/>
      <c r="RK664"/>
      <c r="RL664"/>
      <c r="RM664"/>
      <c r="RN664"/>
      <c r="RO664"/>
      <c r="RP664"/>
      <c r="RQ664"/>
      <c r="RR664"/>
      <c r="RS664"/>
      <c r="RT664"/>
      <c r="RU664"/>
      <c r="RV664"/>
      <c r="RW664"/>
      <c r="RX664"/>
      <c r="RY664"/>
      <c r="RZ664"/>
      <c r="SA664"/>
      <c r="SB664"/>
      <c r="SC664"/>
      <c r="SD664"/>
      <c r="SE664"/>
      <c r="SF664"/>
      <c r="SG664"/>
      <c r="SH664"/>
      <c r="SI664"/>
      <c r="SJ664"/>
      <c r="SK664"/>
      <c r="SL664"/>
      <c r="SM664"/>
      <c r="SN664"/>
      <c r="SO664"/>
      <c r="SP664"/>
      <c r="SQ664"/>
      <c r="SR664"/>
      <c r="SS664"/>
      <c r="ST664"/>
      <c r="SU664"/>
      <c r="SV664"/>
      <c r="SW664"/>
      <c r="SX664"/>
      <c r="SY664"/>
      <c r="SZ664"/>
      <c r="TA664"/>
      <c r="TB664"/>
      <c r="TC664"/>
      <c r="TD664"/>
      <c r="TE664"/>
      <c r="TF664"/>
      <c r="TG664"/>
      <c r="TH664"/>
      <c r="TI664"/>
      <c r="TJ664"/>
      <c r="TK664"/>
      <c r="TL664"/>
      <c r="TM664"/>
      <c r="TN664"/>
      <c r="TO664"/>
      <c r="TP664"/>
      <c r="TQ664"/>
      <c r="TR664"/>
      <c r="TS664"/>
      <c r="TT664"/>
      <c r="TU664"/>
      <c r="TV664"/>
      <c r="TW664"/>
      <c r="TX664"/>
      <c r="TY664"/>
      <c r="TZ664"/>
      <c r="UA664"/>
      <c r="UB664"/>
      <c r="UC664"/>
      <c r="UD664"/>
      <c r="UE664"/>
      <c r="UF664"/>
      <c r="UG664"/>
      <c r="UH664"/>
      <c r="UI664"/>
      <c r="UJ664"/>
      <c r="UK664"/>
      <c r="UL664"/>
      <c r="UM664"/>
      <c r="UN664"/>
      <c r="UO664"/>
      <c r="UP664"/>
      <c r="UQ664"/>
      <c r="UR664"/>
      <c r="US664"/>
      <c r="UT664"/>
      <c r="UU664"/>
      <c r="UV664"/>
      <c r="UW664"/>
      <c r="UX664"/>
      <c r="UY664"/>
      <c r="UZ664"/>
      <c r="VA664"/>
      <c r="VB664"/>
      <c r="VC664"/>
      <c r="VD664"/>
      <c r="VE664"/>
      <c r="VF664"/>
      <c r="VG664"/>
      <c r="VH664"/>
      <c r="VI664"/>
      <c r="VJ664"/>
      <c r="VK664"/>
      <c r="VL664"/>
      <c r="VM664"/>
      <c r="VN664"/>
      <c r="VO664"/>
      <c r="VP664"/>
      <c r="VQ664"/>
      <c r="VR664"/>
      <c r="VS664"/>
      <c r="VT664"/>
      <c r="VU664"/>
      <c r="VV664"/>
      <c r="VW664"/>
      <c r="VX664"/>
      <c r="VY664"/>
      <c r="VZ664"/>
      <c r="WA664"/>
      <c r="WB664"/>
      <c r="WC664"/>
      <c r="WD664"/>
      <c r="WE664"/>
      <c r="WF664"/>
      <c r="WG664"/>
      <c r="WH664"/>
      <c r="WI664"/>
      <c r="WJ664"/>
      <c r="WK664"/>
      <c r="WL664"/>
      <c r="WM664"/>
      <c r="WN664"/>
      <c r="WO664"/>
      <c r="WP664"/>
      <c r="WQ664"/>
      <c r="WR664"/>
      <c r="WS664"/>
      <c r="WT664"/>
      <c r="WU664"/>
      <c r="WV664"/>
      <c r="WW664"/>
      <c r="WX664"/>
      <c r="WY664"/>
      <c r="WZ664"/>
      <c r="XA664"/>
      <c r="XB664"/>
      <c r="XC664"/>
      <c r="XD664"/>
      <c r="XE664"/>
      <c r="XF664"/>
      <c r="XG664"/>
      <c r="XH664"/>
      <c r="XI664"/>
      <c r="XJ664"/>
      <c r="XK664"/>
      <c r="XL664"/>
      <c r="XM664"/>
      <c r="XN664"/>
      <c r="XO664"/>
      <c r="XP664"/>
      <c r="XQ664"/>
      <c r="XR664"/>
      <c r="XS664"/>
      <c r="XT664"/>
      <c r="XU664"/>
      <c r="XV664"/>
      <c r="XW664"/>
      <c r="XX664"/>
      <c r="XY664"/>
      <c r="XZ664"/>
      <c r="YA664"/>
      <c r="YB664"/>
      <c r="YC664"/>
      <c r="YD664"/>
      <c r="YE664"/>
      <c r="YF664"/>
      <c r="YG664"/>
      <c r="YH664"/>
      <c r="YI664"/>
      <c r="YJ664"/>
      <c r="YK664"/>
      <c r="YL664"/>
      <c r="YM664"/>
      <c r="YN664"/>
      <c r="YO664"/>
      <c r="YP664"/>
      <c r="YQ664"/>
      <c r="YR664"/>
      <c r="YS664"/>
      <c r="YT664"/>
      <c r="YU664"/>
      <c r="YV664"/>
      <c r="YW664"/>
      <c r="YX664"/>
      <c r="YY664"/>
      <c r="YZ664"/>
      <c r="ZA664"/>
      <c r="ZB664"/>
      <c r="ZC664"/>
      <c r="ZD664"/>
      <c r="ZE664"/>
      <c r="ZF664"/>
      <c r="ZG664"/>
      <c r="ZH664"/>
      <c r="ZI664"/>
      <c r="ZJ664"/>
      <c r="ZK664"/>
      <c r="ZL664"/>
      <c r="ZM664"/>
      <c r="ZN664"/>
      <c r="ZO664"/>
      <c r="ZP664"/>
      <c r="ZQ664"/>
      <c r="ZR664"/>
      <c r="ZS664"/>
      <c r="ZT664"/>
      <c r="ZU664"/>
      <c r="ZV664"/>
      <c r="ZW664"/>
      <c r="ZX664"/>
      <c r="ZY664"/>
      <c r="ZZ664" s="52"/>
      <c r="AAA664" s="192"/>
      <c r="AAD664" s="90"/>
      <c r="AAE664" s="519">
        <f>IF(S.EQC.ApprovePacketLoop2="Y",1,0)</f>
        <v>1</v>
      </c>
      <c r="AAF664" s="90"/>
      <c r="AAG664" s="73">
        <f>IF(AAE664=0,,G662)</f>
        <v>41676</v>
      </c>
      <c r="AAH664" s="73">
        <f t="shared" si="565"/>
        <v>41676</v>
      </c>
      <c r="AAI664" s="72"/>
      <c r="AAJ664" s="185"/>
      <c r="AAK664" s="56"/>
      <c r="AAL664" s="90"/>
    </row>
    <row r="665" spans="1:715" s="23" customFormat="1" ht="15" hidden="1" customHeight="1" outlineLevel="3" thickBot="1">
      <c r="A665" s="171"/>
      <c r="B665" s="710" t="s">
        <v>376</v>
      </c>
      <c r="C665" s="376" t="s">
        <v>0</v>
      </c>
      <c r="D665" s="423"/>
      <c r="E665" s="397">
        <f t="shared" si="575"/>
        <v>1</v>
      </c>
      <c r="F665" s="457">
        <f t="shared" ca="1" si="576"/>
        <v>69</v>
      </c>
      <c r="G665" s="400">
        <f t="shared" si="577"/>
        <v>41676</v>
      </c>
      <c r="H665" s="400">
        <f t="shared" si="578"/>
        <v>41676</v>
      </c>
      <c r="I665" s="244"/>
      <c r="J665" s="194"/>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c r="BE665" s="49"/>
      <c r="BF665" s="49"/>
      <c r="BG665" s="49"/>
      <c r="BH665" s="49"/>
      <c r="BI665" s="49"/>
      <c r="BJ665" s="49"/>
      <c r="BK665" s="49"/>
      <c r="BL665" s="49"/>
      <c r="BM665" s="49"/>
      <c r="BN665" s="49"/>
      <c r="BO665" s="49"/>
      <c r="BP665" s="49"/>
      <c r="BQ665" s="49"/>
      <c r="BR665" s="49"/>
      <c r="BS665" s="49"/>
      <c r="BT665" s="49"/>
      <c r="BU665" s="49"/>
      <c r="BV665" s="49"/>
      <c r="BW665" s="49"/>
      <c r="BX665" s="49"/>
      <c r="BY665" s="49"/>
      <c r="BZ665" s="49"/>
      <c r="CA665" s="49"/>
      <c r="CB665" s="49"/>
      <c r="CC665" s="49"/>
      <c r="CD665" s="49"/>
      <c r="CE665" s="49"/>
      <c r="CF665" s="49"/>
      <c r="CG665" s="49"/>
      <c r="CH665" s="49"/>
      <c r="CI665" s="49"/>
      <c r="CJ665" s="49"/>
      <c r="CK665" s="49"/>
      <c r="CL665" s="49"/>
      <c r="CM665" s="49"/>
      <c r="CN665" s="49"/>
      <c r="CO665" s="49"/>
      <c r="CP665" s="49"/>
      <c r="CQ665" s="49"/>
      <c r="CR665" s="49"/>
      <c r="CS665" s="49"/>
      <c r="CT665" s="49"/>
      <c r="CU665" s="49"/>
      <c r="CV665" s="49"/>
      <c r="CW665" s="49"/>
      <c r="CX665" s="49"/>
      <c r="CY665" s="49"/>
      <c r="CZ665" s="49"/>
      <c r="DA665" s="49"/>
      <c r="DB665" s="49"/>
      <c r="DC665" s="49"/>
      <c r="DD665" s="49"/>
      <c r="DE665" s="49"/>
      <c r="DF665" s="49"/>
      <c r="DG665" s="49"/>
      <c r="DH665" s="49"/>
      <c r="DI665" s="49"/>
      <c r="DJ665" s="49"/>
      <c r="DK665" s="49"/>
      <c r="DL665" s="49"/>
      <c r="DM665" s="49"/>
      <c r="DN665" s="49"/>
      <c r="DO665" s="49"/>
      <c r="DP665" s="49"/>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c r="IW665"/>
      <c r="IX665"/>
      <c r="IY665"/>
      <c r="IZ665"/>
      <c r="JA665"/>
      <c r="JB665"/>
      <c r="JC665"/>
      <c r="JD665"/>
      <c r="JE665"/>
      <c r="JF665"/>
      <c r="JG665"/>
      <c r="JH665"/>
      <c r="JI665"/>
      <c r="JJ665"/>
      <c r="JK665"/>
      <c r="JL665"/>
      <c r="JM665"/>
      <c r="JN665"/>
      <c r="JO665"/>
      <c r="JP665"/>
      <c r="JQ665"/>
      <c r="JR665"/>
      <c r="JS665"/>
      <c r="JT665"/>
      <c r="JU665"/>
      <c r="JV665"/>
      <c r="JW665"/>
      <c r="JX665"/>
      <c r="JY665"/>
      <c r="JZ665"/>
      <c r="KA665"/>
      <c r="KB665"/>
      <c r="KC665"/>
      <c r="KD665"/>
      <c r="KE665"/>
      <c r="KF665"/>
      <c r="KG665"/>
      <c r="KH665"/>
      <c r="KI665"/>
      <c r="KJ665"/>
      <c r="KK665"/>
      <c r="KL665"/>
      <c r="KM665"/>
      <c r="KN665"/>
      <c r="KO665"/>
      <c r="KP665"/>
      <c r="KQ665"/>
      <c r="KR665"/>
      <c r="KS665"/>
      <c r="KT665"/>
      <c r="KU665"/>
      <c r="KV665"/>
      <c r="KW665"/>
      <c r="KX665"/>
      <c r="KY665"/>
      <c r="KZ665"/>
      <c r="LA665"/>
      <c r="LB665"/>
      <c r="LC665"/>
      <c r="LD665"/>
      <c r="LE665"/>
      <c r="LF665"/>
      <c r="LG665"/>
      <c r="LH665"/>
      <c r="LI665"/>
      <c r="LJ665"/>
      <c r="LK665"/>
      <c r="LL665"/>
      <c r="LM665"/>
      <c r="LN665"/>
      <c r="LO665"/>
      <c r="LP665"/>
      <c r="LQ665"/>
      <c r="LR665"/>
      <c r="LS665"/>
      <c r="LT665"/>
      <c r="LU665"/>
      <c r="LV665"/>
      <c r="LW665"/>
      <c r="LX665"/>
      <c r="LY665"/>
      <c r="LZ665"/>
      <c r="MA665"/>
      <c r="MB665"/>
      <c r="MC665"/>
      <c r="MD665"/>
      <c r="ME665"/>
      <c r="MF665"/>
      <c r="MG665"/>
      <c r="MH665"/>
      <c r="MI665"/>
      <c r="MJ665"/>
      <c r="MK665"/>
      <c r="ML665"/>
      <c r="MM665"/>
      <c r="MN665"/>
      <c r="MO665"/>
      <c r="MP665"/>
      <c r="MQ665"/>
      <c r="MR665"/>
      <c r="MS665"/>
      <c r="MT665"/>
      <c r="MU665"/>
      <c r="MV665"/>
      <c r="MW665"/>
      <c r="MX665"/>
      <c r="MY665"/>
      <c r="MZ665"/>
      <c r="NA665"/>
      <c r="NB665"/>
      <c r="NC665"/>
      <c r="ND665"/>
      <c r="NE665"/>
      <c r="NF665"/>
      <c r="NG665"/>
      <c r="NH665"/>
      <c r="NI665"/>
      <c r="NJ665"/>
      <c r="NK665"/>
      <c r="NL665"/>
      <c r="NM665"/>
      <c r="NN665"/>
      <c r="NO665"/>
      <c r="NP665"/>
      <c r="NQ665"/>
      <c r="NR665"/>
      <c r="NS665"/>
      <c r="NT665"/>
      <c r="NU665"/>
      <c r="NV665"/>
      <c r="NW665"/>
      <c r="NX665"/>
      <c r="NY665"/>
      <c r="NZ665"/>
      <c r="OA665"/>
      <c r="OB665"/>
      <c r="OC665"/>
      <c r="OD665"/>
      <c r="OE665"/>
      <c r="OF665"/>
      <c r="OG665"/>
      <c r="OH665"/>
      <c r="OI665"/>
      <c r="OJ665"/>
      <c r="OK665"/>
      <c r="OL665"/>
      <c r="OM665"/>
      <c r="ON665"/>
      <c r="OO665"/>
      <c r="OP665"/>
      <c r="OQ665"/>
      <c r="OR665"/>
      <c r="OS665"/>
      <c r="OT665"/>
      <c r="OU665"/>
      <c r="OV665"/>
      <c r="OW665"/>
      <c r="OX665"/>
      <c r="OY665"/>
      <c r="OZ665"/>
      <c r="PA665"/>
      <c r="PB665"/>
      <c r="PC665"/>
      <c r="PD665"/>
      <c r="PE665"/>
      <c r="PF665"/>
      <c r="PG665"/>
      <c r="PH665"/>
      <c r="PI665"/>
      <c r="PJ665"/>
      <c r="PK665"/>
      <c r="PL665"/>
      <c r="PM665"/>
      <c r="PN665"/>
      <c r="PO665"/>
      <c r="PP665"/>
      <c r="PQ665"/>
      <c r="PR665"/>
      <c r="PS665"/>
      <c r="PT665"/>
      <c r="PU665"/>
      <c r="PV665"/>
      <c r="PW665"/>
      <c r="PX665"/>
      <c r="PY665"/>
      <c r="PZ665"/>
      <c r="QA665"/>
      <c r="QB665"/>
      <c r="QC665"/>
      <c r="QD665"/>
      <c r="QE665"/>
      <c r="QF665"/>
      <c r="QG665"/>
      <c r="QH665"/>
      <c r="QI665"/>
      <c r="QJ665"/>
      <c r="QK665"/>
      <c r="QL665"/>
      <c r="QM665"/>
      <c r="QN665"/>
      <c r="QO665"/>
      <c r="QP665"/>
      <c r="QQ665"/>
      <c r="QR665"/>
      <c r="QS665"/>
      <c r="QT665"/>
      <c r="QU665"/>
      <c r="QV665"/>
      <c r="QW665"/>
      <c r="QX665"/>
      <c r="QY665"/>
      <c r="QZ665"/>
      <c r="RA665"/>
      <c r="RB665"/>
      <c r="RC665"/>
      <c r="RD665"/>
      <c r="RE665"/>
      <c r="RF665"/>
      <c r="RG665"/>
      <c r="RH665"/>
      <c r="RI665"/>
      <c r="RJ665"/>
      <c r="RK665"/>
      <c r="RL665"/>
      <c r="RM665"/>
      <c r="RN665"/>
      <c r="RO665"/>
      <c r="RP665"/>
      <c r="RQ665"/>
      <c r="RR665"/>
      <c r="RS665"/>
      <c r="RT665"/>
      <c r="RU665"/>
      <c r="RV665"/>
      <c r="RW665"/>
      <c r="RX665"/>
      <c r="RY665"/>
      <c r="RZ665"/>
      <c r="SA665"/>
      <c r="SB665"/>
      <c r="SC665"/>
      <c r="SD665"/>
      <c r="SE665"/>
      <c r="SF665"/>
      <c r="SG665"/>
      <c r="SH665"/>
      <c r="SI665"/>
      <c r="SJ665"/>
      <c r="SK665"/>
      <c r="SL665"/>
      <c r="SM665"/>
      <c r="SN665"/>
      <c r="SO665"/>
      <c r="SP665"/>
      <c r="SQ665"/>
      <c r="SR665"/>
      <c r="SS665"/>
      <c r="ST665"/>
      <c r="SU665"/>
      <c r="SV665"/>
      <c r="SW665"/>
      <c r="SX665"/>
      <c r="SY665"/>
      <c r="SZ665"/>
      <c r="TA665"/>
      <c r="TB665"/>
      <c r="TC665"/>
      <c r="TD665"/>
      <c r="TE665"/>
      <c r="TF665"/>
      <c r="TG665"/>
      <c r="TH665"/>
      <c r="TI665"/>
      <c r="TJ665"/>
      <c r="TK665"/>
      <c r="TL665"/>
      <c r="TM665"/>
      <c r="TN665"/>
      <c r="TO665"/>
      <c r="TP665"/>
      <c r="TQ665"/>
      <c r="TR665"/>
      <c r="TS665"/>
      <c r="TT665"/>
      <c r="TU665"/>
      <c r="TV665"/>
      <c r="TW665"/>
      <c r="TX665"/>
      <c r="TY665"/>
      <c r="TZ665"/>
      <c r="UA665"/>
      <c r="UB665"/>
      <c r="UC665"/>
      <c r="UD665"/>
      <c r="UE665"/>
      <c r="UF665"/>
      <c r="UG665"/>
      <c r="UH665"/>
      <c r="UI665"/>
      <c r="UJ665"/>
      <c r="UK665"/>
      <c r="UL665"/>
      <c r="UM665"/>
      <c r="UN665"/>
      <c r="UO665"/>
      <c r="UP665"/>
      <c r="UQ665"/>
      <c r="UR665"/>
      <c r="US665"/>
      <c r="UT665"/>
      <c r="UU665"/>
      <c r="UV665"/>
      <c r="UW665"/>
      <c r="UX665"/>
      <c r="UY665"/>
      <c r="UZ665"/>
      <c r="VA665"/>
      <c r="VB665"/>
      <c r="VC665"/>
      <c r="VD665"/>
      <c r="VE665"/>
      <c r="VF665"/>
      <c r="VG665"/>
      <c r="VH665"/>
      <c r="VI665"/>
      <c r="VJ665"/>
      <c r="VK665"/>
      <c r="VL665"/>
      <c r="VM665"/>
      <c r="VN665"/>
      <c r="VO665"/>
      <c r="VP665"/>
      <c r="VQ665"/>
      <c r="VR665"/>
      <c r="VS665"/>
      <c r="VT665"/>
      <c r="VU665"/>
      <c r="VV665"/>
      <c r="VW665"/>
      <c r="VX665"/>
      <c r="VY665"/>
      <c r="VZ665"/>
      <c r="WA665"/>
      <c r="WB665"/>
      <c r="WC665"/>
      <c r="WD665"/>
      <c r="WE665"/>
      <c r="WF665"/>
      <c r="WG665"/>
      <c r="WH665"/>
      <c r="WI665"/>
      <c r="WJ665"/>
      <c r="WK665"/>
      <c r="WL665"/>
      <c r="WM665"/>
      <c r="WN665"/>
      <c r="WO665"/>
      <c r="WP665"/>
      <c r="WQ665"/>
      <c r="WR665"/>
      <c r="WS665"/>
      <c r="WT665"/>
      <c r="WU665"/>
      <c r="WV665"/>
      <c r="WW665"/>
      <c r="WX665"/>
      <c r="WY665"/>
      <c r="WZ665"/>
      <c r="XA665"/>
      <c r="XB665"/>
      <c r="XC665"/>
      <c r="XD665"/>
      <c r="XE665"/>
      <c r="XF665"/>
      <c r="XG665"/>
      <c r="XH665"/>
      <c r="XI665"/>
      <c r="XJ665"/>
      <c r="XK665"/>
      <c r="XL665"/>
      <c r="XM665"/>
      <c r="XN665"/>
      <c r="XO665"/>
      <c r="XP665"/>
      <c r="XQ665"/>
      <c r="XR665"/>
      <c r="XS665"/>
      <c r="XT665"/>
      <c r="XU665"/>
      <c r="XV665"/>
      <c r="XW665"/>
      <c r="XX665"/>
      <c r="XY665"/>
      <c r="XZ665"/>
      <c r="YA665"/>
      <c r="YB665"/>
      <c r="YC665"/>
      <c r="YD665"/>
      <c r="YE665"/>
      <c r="YF665"/>
      <c r="YG665"/>
      <c r="YH665"/>
      <c r="YI665"/>
      <c r="YJ665"/>
      <c r="YK665"/>
      <c r="YL665"/>
      <c r="YM665"/>
      <c r="YN665"/>
      <c r="YO665"/>
      <c r="YP665"/>
      <c r="YQ665"/>
      <c r="YR665"/>
      <c r="YS665"/>
      <c r="YT665"/>
      <c r="YU665"/>
      <c r="YV665"/>
      <c r="YW665"/>
      <c r="YX665"/>
      <c r="YY665"/>
      <c r="YZ665"/>
      <c r="ZA665"/>
      <c r="ZB665"/>
      <c r="ZC665"/>
      <c r="ZD665"/>
      <c r="ZE665"/>
      <c r="ZF665"/>
      <c r="ZG665"/>
      <c r="ZH665"/>
      <c r="ZI665"/>
      <c r="ZJ665"/>
      <c r="ZK665"/>
      <c r="ZL665"/>
      <c r="ZM665"/>
      <c r="ZN665"/>
      <c r="ZO665"/>
      <c r="ZP665"/>
      <c r="ZQ665"/>
      <c r="ZR665"/>
      <c r="ZS665"/>
      <c r="ZT665"/>
      <c r="ZU665"/>
      <c r="ZV665"/>
      <c r="ZW665"/>
      <c r="ZX665"/>
      <c r="ZY665"/>
      <c r="ZZ665" s="52"/>
      <c r="AAA665" s="192"/>
      <c r="AAD665" s="90"/>
      <c r="AAE665" s="519">
        <f>IF(S.EQC.ApprovePacketLoop2="Y",1,0)</f>
        <v>1</v>
      </c>
      <c r="AAF665" s="90"/>
      <c r="AAG665" s="73">
        <f>IF(AAE665=0,,G662)</f>
        <v>41676</v>
      </c>
      <c r="AAH665" s="73">
        <f t="shared" si="565"/>
        <v>41676</v>
      </c>
      <c r="AAI665" s="72"/>
      <c r="AAJ665" s="185"/>
      <c r="AAK665" s="56"/>
      <c r="AAL665" s="90"/>
    </row>
    <row r="666" spans="1:715" ht="15" hidden="1" customHeight="1" outlineLevel="3" thickBot="1">
      <c r="A666" s="171"/>
      <c r="B666" s="711" t="s">
        <v>380</v>
      </c>
      <c r="C666" s="611" t="s">
        <v>17</v>
      </c>
      <c r="D666" s="380"/>
      <c r="E666" s="342">
        <f>NETWORKDAYS(G666,H666,S.DDL_DEQClosed)</f>
        <v>1</v>
      </c>
      <c r="F666" s="457">
        <f t="shared" ca="1" si="543"/>
        <v>69</v>
      </c>
      <c r="G666" s="400">
        <f t="shared" si="564"/>
        <v>41676</v>
      </c>
      <c r="H666" s="400">
        <f t="shared" si="564"/>
        <v>41676</v>
      </c>
      <c r="I666" s="244"/>
      <c r="J666" s="194"/>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c r="BG666" s="49"/>
      <c r="BH666" s="49"/>
      <c r="BI666" s="49"/>
      <c r="BJ666" s="49"/>
      <c r="BK666" s="49"/>
      <c r="BL666" s="49"/>
      <c r="BM666" s="49"/>
      <c r="BN666" s="49"/>
      <c r="BO666" s="49"/>
      <c r="BP666" s="49"/>
      <c r="BQ666" s="49"/>
      <c r="BR666" s="49"/>
      <c r="BS666" s="49"/>
      <c r="BT666" s="49"/>
      <c r="BU666" s="49"/>
      <c r="BV666" s="49"/>
      <c r="BW666" s="49"/>
      <c r="BX666" s="49"/>
      <c r="BY666" s="49"/>
      <c r="BZ666" s="49"/>
      <c r="CA666" s="49"/>
      <c r="CB666" s="49"/>
      <c r="CC666" s="49"/>
      <c r="CD666" s="49"/>
      <c r="CE666" s="49"/>
      <c r="CF666" s="49"/>
      <c r="CG666" s="49"/>
      <c r="CH666" s="49"/>
      <c r="CI666" s="49"/>
      <c r="CJ666" s="49"/>
      <c r="CK666" s="49"/>
      <c r="CL666" s="49"/>
      <c r="CM666" s="49"/>
      <c r="CN666" s="49"/>
      <c r="CO666" s="49"/>
      <c r="CP666" s="49"/>
      <c r="CQ666" s="49"/>
      <c r="CR666" s="49"/>
      <c r="CS666" s="49"/>
      <c r="CT666" s="49"/>
      <c r="CU666" s="49"/>
      <c r="CV666" s="49"/>
      <c r="CW666" s="49"/>
      <c r="CX666" s="49"/>
      <c r="CY666" s="49"/>
      <c r="CZ666" s="49"/>
      <c r="DA666" s="49"/>
      <c r="DB666" s="49"/>
      <c r="DC666" s="49"/>
      <c r="DD666" s="49"/>
      <c r="DE666" s="49"/>
      <c r="DF666" s="49"/>
      <c r="DG666" s="49"/>
      <c r="DH666" s="49"/>
      <c r="DI666" s="49"/>
      <c r="DJ666" s="49"/>
      <c r="DK666" s="49"/>
      <c r="DL666" s="49"/>
      <c r="DM666" s="49"/>
      <c r="DN666" s="49"/>
      <c r="DO666" s="49"/>
      <c r="DP666" s="49"/>
      <c r="AAA666" s="192"/>
      <c r="AAD666" s="90"/>
      <c r="AAE666" s="519">
        <f>IF(S.EQC.ApprovePacketLoop3="Y",1,0)</f>
        <v>1</v>
      </c>
      <c r="AAF666" s="90"/>
      <c r="AAG666" s="73">
        <f>IF(AAE666=0,,H662)</f>
        <v>41676</v>
      </c>
      <c r="AAH666" s="73">
        <f t="shared" si="565"/>
        <v>41676</v>
      </c>
      <c r="AAI666" s="72"/>
      <c r="AAJ666" s="56"/>
      <c r="AAK666" s="56"/>
      <c r="AAL666" s="90"/>
      <c r="AAM666"/>
    </row>
    <row r="667" spans="1:715" s="23" customFormat="1" ht="15" hidden="1" customHeight="1" outlineLevel="3">
      <c r="A667" s="171"/>
      <c r="B667" s="712" t="s">
        <v>376</v>
      </c>
      <c r="C667" s="376" t="s">
        <v>0</v>
      </c>
      <c r="D667" s="423"/>
      <c r="E667" s="397">
        <f t="shared" ref="E667:E671" si="579">NETWORKDAYS(G667,H667,S.DDL_DEQClosed)</f>
        <v>1</v>
      </c>
      <c r="F667" s="457">
        <f t="shared" ca="1" si="543"/>
        <v>69</v>
      </c>
      <c r="G667" s="400">
        <f t="shared" si="564"/>
        <v>41676</v>
      </c>
      <c r="H667" s="400">
        <f t="shared" si="564"/>
        <v>41676</v>
      </c>
      <c r="I667" s="244"/>
      <c r="J667" s="194"/>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c r="BE667" s="49"/>
      <c r="BF667" s="49"/>
      <c r="BG667" s="49"/>
      <c r="BH667" s="49"/>
      <c r="BI667" s="49"/>
      <c r="BJ667" s="49"/>
      <c r="BK667" s="49"/>
      <c r="BL667" s="49"/>
      <c r="BM667" s="49"/>
      <c r="BN667" s="49"/>
      <c r="BO667" s="49"/>
      <c r="BP667" s="49"/>
      <c r="BQ667" s="49"/>
      <c r="BR667" s="49"/>
      <c r="BS667" s="49"/>
      <c r="BT667" s="49"/>
      <c r="BU667" s="49"/>
      <c r="BV667" s="49"/>
      <c r="BW667" s="49"/>
      <c r="BX667" s="49"/>
      <c r="BY667" s="49"/>
      <c r="BZ667" s="49"/>
      <c r="CA667" s="49"/>
      <c r="CB667" s="49"/>
      <c r="CC667" s="49"/>
      <c r="CD667" s="49"/>
      <c r="CE667" s="49"/>
      <c r="CF667" s="49"/>
      <c r="CG667" s="49"/>
      <c r="CH667" s="49"/>
      <c r="CI667" s="49"/>
      <c r="CJ667" s="49"/>
      <c r="CK667" s="49"/>
      <c r="CL667" s="49"/>
      <c r="CM667" s="49"/>
      <c r="CN667" s="49"/>
      <c r="CO667" s="49"/>
      <c r="CP667" s="49"/>
      <c r="CQ667" s="49"/>
      <c r="CR667" s="49"/>
      <c r="CS667" s="49"/>
      <c r="CT667" s="49"/>
      <c r="CU667" s="49"/>
      <c r="CV667" s="49"/>
      <c r="CW667" s="49"/>
      <c r="CX667" s="49"/>
      <c r="CY667" s="49"/>
      <c r="CZ667" s="49"/>
      <c r="DA667" s="49"/>
      <c r="DB667" s="49"/>
      <c r="DC667" s="49"/>
      <c r="DD667" s="49"/>
      <c r="DE667" s="49"/>
      <c r="DF667" s="49"/>
      <c r="DG667" s="49"/>
      <c r="DH667" s="49"/>
      <c r="DI667" s="49"/>
      <c r="DJ667" s="49"/>
      <c r="DK667" s="49"/>
      <c r="DL667" s="49"/>
      <c r="DM667" s="49"/>
      <c r="DN667" s="49"/>
      <c r="DO667" s="49"/>
      <c r="DP667" s="49"/>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c r="IW667"/>
      <c r="IX667"/>
      <c r="IY667"/>
      <c r="IZ667"/>
      <c r="JA667"/>
      <c r="JB667"/>
      <c r="JC667"/>
      <c r="JD667"/>
      <c r="JE667"/>
      <c r="JF667"/>
      <c r="JG667"/>
      <c r="JH667"/>
      <c r="JI667"/>
      <c r="JJ667"/>
      <c r="JK667"/>
      <c r="JL667"/>
      <c r="JM667"/>
      <c r="JN667"/>
      <c r="JO667"/>
      <c r="JP667"/>
      <c r="JQ667"/>
      <c r="JR667"/>
      <c r="JS667"/>
      <c r="JT667"/>
      <c r="JU667"/>
      <c r="JV667"/>
      <c r="JW667"/>
      <c r="JX667"/>
      <c r="JY667"/>
      <c r="JZ667"/>
      <c r="KA667"/>
      <c r="KB667"/>
      <c r="KC667"/>
      <c r="KD667"/>
      <c r="KE667"/>
      <c r="KF667"/>
      <c r="KG667"/>
      <c r="KH667"/>
      <c r="KI667"/>
      <c r="KJ667"/>
      <c r="KK667"/>
      <c r="KL667"/>
      <c r="KM667"/>
      <c r="KN667"/>
      <c r="KO667"/>
      <c r="KP667"/>
      <c r="KQ667"/>
      <c r="KR667"/>
      <c r="KS667"/>
      <c r="KT667"/>
      <c r="KU667"/>
      <c r="KV667"/>
      <c r="KW667"/>
      <c r="KX667"/>
      <c r="KY667"/>
      <c r="KZ667"/>
      <c r="LA667"/>
      <c r="LB667"/>
      <c r="LC667"/>
      <c r="LD667"/>
      <c r="LE667"/>
      <c r="LF667"/>
      <c r="LG667"/>
      <c r="LH667"/>
      <c r="LI667"/>
      <c r="LJ667"/>
      <c r="LK667"/>
      <c r="LL667"/>
      <c r="LM667"/>
      <c r="LN667"/>
      <c r="LO667"/>
      <c r="LP667"/>
      <c r="LQ667"/>
      <c r="LR667"/>
      <c r="LS667"/>
      <c r="LT667"/>
      <c r="LU667"/>
      <c r="LV667"/>
      <c r="LW667"/>
      <c r="LX667"/>
      <c r="LY667"/>
      <c r="LZ667"/>
      <c r="MA667"/>
      <c r="MB667"/>
      <c r="MC667"/>
      <c r="MD667"/>
      <c r="ME667"/>
      <c r="MF667"/>
      <c r="MG667"/>
      <c r="MH667"/>
      <c r="MI667"/>
      <c r="MJ667"/>
      <c r="MK667"/>
      <c r="ML667"/>
      <c r="MM667"/>
      <c r="MN667"/>
      <c r="MO667"/>
      <c r="MP667"/>
      <c r="MQ667"/>
      <c r="MR667"/>
      <c r="MS667"/>
      <c r="MT667"/>
      <c r="MU667"/>
      <c r="MV667"/>
      <c r="MW667"/>
      <c r="MX667"/>
      <c r="MY667"/>
      <c r="MZ667"/>
      <c r="NA667"/>
      <c r="NB667"/>
      <c r="NC667"/>
      <c r="ND667"/>
      <c r="NE667"/>
      <c r="NF667"/>
      <c r="NG667"/>
      <c r="NH667"/>
      <c r="NI667"/>
      <c r="NJ667"/>
      <c r="NK667"/>
      <c r="NL667"/>
      <c r="NM667"/>
      <c r="NN667"/>
      <c r="NO667"/>
      <c r="NP667"/>
      <c r="NQ667"/>
      <c r="NR667"/>
      <c r="NS667"/>
      <c r="NT667"/>
      <c r="NU667"/>
      <c r="NV667"/>
      <c r="NW667"/>
      <c r="NX667"/>
      <c r="NY667"/>
      <c r="NZ667"/>
      <c r="OA667"/>
      <c r="OB667"/>
      <c r="OC667"/>
      <c r="OD667"/>
      <c r="OE667"/>
      <c r="OF667"/>
      <c r="OG667"/>
      <c r="OH667"/>
      <c r="OI667"/>
      <c r="OJ667"/>
      <c r="OK667"/>
      <c r="OL667"/>
      <c r="OM667"/>
      <c r="ON667"/>
      <c r="OO667"/>
      <c r="OP667"/>
      <c r="OQ667"/>
      <c r="OR667"/>
      <c r="OS667"/>
      <c r="OT667"/>
      <c r="OU667"/>
      <c r="OV667"/>
      <c r="OW667"/>
      <c r="OX667"/>
      <c r="OY667"/>
      <c r="OZ667"/>
      <c r="PA667"/>
      <c r="PB667"/>
      <c r="PC667"/>
      <c r="PD667"/>
      <c r="PE667"/>
      <c r="PF667"/>
      <c r="PG667"/>
      <c r="PH667"/>
      <c r="PI667"/>
      <c r="PJ667"/>
      <c r="PK667"/>
      <c r="PL667"/>
      <c r="PM667"/>
      <c r="PN667"/>
      <c r="PO667"/>
      <c r="PP667"/>
      <c r="PQ667"/>
      <c r="PR667"/>
      <c r="PS667"/>
      <c r="PT667"/>
      <c r="PU667"/>
      <c r="PV667"/>
      <c r="PW667"/>
      <c r="PX667"/>
      <c r="PY667"/>
      <c r="PZ667"/>
      <c r="QA667"/>
      <c r="QB667"/>
      <c r="QC667"/>
      <c r="QD667"/>
      <c r="QE667"/>
      <c r="QF667"/>
      <c r="QG667"/>
      <c r="QH667"/>
      <c r="QI667"/>
      <c r="QJ667"/>
      <c r="QK667"/>
      <c r="QL667"/>
      <c r="QM667"/>
      <c r="QN667"/>
      <c r="QO667"/>
      <c r="QP667"/>
      <c r="QQ667"/>
      <c r="QR667"/>
      <c r="QS667"/>
      <c r="QT667"/>
      <c r="QU667"/>
      <c r="QV667"/>
      <c r="QW667"/>
      <c r="QX667"/>
      <c r="QY667"/>
      <c r="QZ667"/>
      <c r="RA667"/>
      <c r="RB667"/>
      <c r="RC667"/>
      <c r="RD667"/>
      <c r="RE667"/>
      <c r="RF667"/>
      <c r="RG667"/>
      <c r="RH667"/>
      <c r="RI667"/>
      <c r="RJ667"/>
      <c r="RK667"/>
      <c r="RL667"/>
      <c r="RM667"/>
      <c r="RN667"/>
      <c r="RO667"/>
      <c r="RP667"/>
      <c r="RQ667"/>
      <c r="RR667"/>
      <c r="RS667"/>
      <c r="RT667"/>
      <c r="RU667"/>
      <c r="RV667"/>
      <c r="RW667"/>
      <c r="RX667"/>
      <c r="RY667"/>
      <c r="RZ667"/>
      <c r="SA667"/>
      <c r="SB667"/>
      <c r="SC667"/>
      <c r="SD667"/>
      <c r="SE667"/>
      <c r="SF667"/>
      <c r="SG667"/>
      <c r="SH667"/>
      <c r="SI667"/>
      <c r="SJ667"/>
      <c r="SK667"/>
      <c r="SL667"/>
      <c r="SM667"/>
      <c r="SN667"/>
      <c r="SO667"/>
      <c r="SP667"/>
      <c r="SQ667"/>
      <c r="SR667"/>
      <c r="SS667"/>
      <c r="ST667"/>
      <c r="SU667"/>
      <c r="SV667"/>
      <c r="SW667"/>
      <c r="SX667"/>
      <c r="SY667"/>
      <c r="SZ667"/>
      <c r="TA667"/>
      <c r="TB667"/>
      <c r="TC667"/>
      <c r="TD667"/>
      <c r="TE667"/>
      <c r="TF667"/>
      <c r="TG667"/>
      <c r="TH667"/>
      <c r="TI667"/>
      <c r="TJ667"/>
      <c r="TK667"/>
      <c r="TL667"/>
      <c r="TM667"/>
      <c r="TN667"/>
      <c r="TO667"/>
      <c r="TP667"/>
      <c r="TQ667"/>
      <c r="TR667"/>
      <c r="TS667"/>
      <c r="TT667"/>
      <c r="TU667"/>
      <c r="TV667"/>
      <c r="TW667"/>
      <c r="TX667"/>
      <c r="TY667"/>
      <c r="TZ667"/>
      <c r="UA667"/>
      <c r="UB667"/>
      <c r="UC667"/>
      <c r="UD667"/>
      <c r="UE667"/>
      <c r="UF667"/>
      <c r="UG667"/>
      <c r="UH667"/>
      <c r="UI667"/>
      <c r="UJ667"/>
      <c r="UK667"/>
      <c r="UL667"/>
      <c r="UM667"/>
      <c r="UN667"/>
      <c r="UO667"/>
      <c r="UP667"/>
      <c r="UQ667"/>
      <c r="UR667"/>
      <c r="US667"/>
      <c r="UT667"/>
      <c r="UU667"/>
      <c r="UV667"/>
      <c r="UW667"/>
      <c r="UX667"/>
      <c r="UY667"/>
      <c r="UZ667"/>
      <c r="VA667"/>
      <c r="VB667"/>
      <c r="VC667"/>
      <c r="VD667"/>
      <c r="VE667"/>
      <c r="VF667"/>
      <c r="VG667"/>
      <c r="VH667"/>
      <c r="VI667"/>
      <c r="VJ667"/>
      <c r="VK667"/>
      <c r="VL667"/>
      <c r="VM667"/>
      <c r="VN667"/>
      <c r="VO667"/>
      <c r="VP667"/>
      <c r="VQ667"/>
      <c r="VR667"/>
      <c r="VS667"/>
      <c r="VT667"/>
      <c r="VU667"/>
      <c r="VV667"/>
      <c r="VW667"/>
      <c r="VX667"/>
      <c r="VY667"/>
      <c r="VZ667"/>
      <c r="WA667"/>
      <c r="WB667"/>
      <c r="WC667"/>
      <c r="WD667"/>
      <c r="WE667"/>
      <c r="WF667"/>
      <c r="WG667"/>
      <c r="WH667"/>
      <c r="WI667"/>
      <c r="WJ667"/>
      <c r="WK667"/>
      <c r="WL667"/>
      <c r="WM667"/>
      <c r="WN667"/>
      <c r="WO667"/>
      <c r="WP667"/>
      <c r="WQ667"/>
      <c r="WR667"/>
      <c r="WS667"/>
      <c r="WT667"/>
      <c r="WU667"/>
      <c r="WV667"/>
      <c r="WW667"/>
      <c r="WX667"/>
      <c r="WY667"/>
      <c r="WZ667"/>
      <c r="XA667"/>
      <c r="XB667"/>
      <c r="XC667"/>
      <c r="XD667"/>
      <c r="XE667"/>
      <c r="XF667"/>
      <c r="XG667"/>
      <c r="XH667"/>
      <c r="XI667"/>
      <c r="XJ667"/>
      <c r="XK667"/>
      <c r="XL667"/>
      <c r="XM667"/>
      <c r="XN667"/>
      <c r="XO667"/>
      <c r="XP667"/>
      <c r="XQ667"/>
      <c r="XR667"/>
      <c r="XS667"/>
      <c r="XT667"/>
      <c r="XU667"/>
      <c r="XV667"/>
      <c r="XW667"/>
      <c r="XX667"/>
      <c r="XY667"/>
      <c r="XZ667"/>
      <c r="YA667"/>
      <c r="YB667"/>
      <c r="YC667"/>
      <c r="YD667"/>
      <c r="YE667"/>
      <c r="YF667"/>
      <c r="YG667"/>
      <c r="YH667"/>
      <c r="YI667"/>
      <c r="YJ667"/>
      <c r="YK667"/>
      <c r="YL667"/>
      <c r="YM667"/>
      <c r="YN667"/>
      <c r="YO667"/>
      <c r="YP667"/>
      <c r="YQ667"/>
      <c r="YR667"/>
      <c r="YS667"/>
      <c r="YT667"/>
      <c r="YU667"/>
      <c r="YV667"/>
      <c r="YW667"/>
      <c r="YX667"/>
      <c r="YY667"/>
      <c r="YZ667"/>
      <c r="ZA667"/>
      <c r="ZB667"/>
      <c r="ZC667"/>
      <c r="ZD667"/>
      <c r="ZE667"/>
      <c r="ZF667"/>
      <c r="ZG667"/>
      <c r="ZH667"/>
      <c r="ZI667"/>
      <c r="ZJ667"/>
      <c r="ZK667"/>
      <c r="ZL667"/>
      <c r="ZM667"/>
      <c r="ZN667"/>
      <c r="ZO667"/>
      <c r="ZP667"/>
      <c r="ZQ667"/>
      <c r="ZR667"/>
      <c r="ZS667"/>
      <c r="ZT667"/>
      <c r="ZU667"/>
      <c r="ZV667"/>
      <c r="ZW667"/>
      <c r="ZX667"/>
      <c r="ZY667"/>
      <c r="ZZ667" s="52"/>
      <c r="AAA667" s="192"/>
      <c r="AAD667" s="90"/>
      <c r="AAE667" s="519">
        <f>IF(S.EQC.ApprovePacketLoop3="Y",1,0)</f>
        <v>1</v>
      </c>
      <c r="AAF667" s="90"/>
      <c r="AAG667" s="73">
        <f>IF(AAE667=0,,G666)</f>
        <v>41676</v>
      </c>
      <c r="AAH667" s="73">
        <f t="shared" si="565"/>
        <v>41676</v>
      </c>
      <c r="AAI667" s="72"/>
      <c r="AAJ667" s="185"/>
      <c r="AAK667" s="56"/>
      <c r="AAL667" s="90"/>
    </row>
    <row r="668" spans="1:715" s="23" customFormat="1" ht="15" hidden="1" customHeight="1" outlineLevel="3">
      <c r="A668" s="171"/>
      <c r="B668" s="712" t="s">
        <v>376</v>
      </c>
      <c r="C668" s="376" t="s">
        <v>0</v>
      </c>
      <c r="D668" s="423"/>
      <c r="E668" s="397">
        <f t="shared" si="579"/>
        <v>1</v>
      </c>
      <c r="F668" s="457">
        <f t="shared" ca="1" si="543"/>
        <v>69</v>
      </c>
      <c r="G668" s="400">
        <f t="shared" si="564"/>
        <v>41676</v>
      </c>
      <c r="H668" s="400">
        <f t="shared" si="564"/>
        <v>41676</v>
      </c>
      <c r="I668" s="244"/>
      <c r="J668" s="194"/>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49"/>
      <c r="BF668" s="49"/>
      <c r="BG668" s="49"/>
      <c r="BH668" s="49"/>
      <c r="BI668" s="49"/>
      <c r="BJ668" s="49"/>
      <c r="BK668" s="49"/>
      <c r="BL668" s="49"/>
      <c r="BM668" s="49"/>
      <c r="BN668" s="49"/>
      <c r="BO668" s="49"/>
      <c r="BP668" s="49"/>
      <c r="BQ668" s="49"/>
      <c r="BR668" s="49"/>
      <c r="BS668" s="49"/>
      <c r="BT668" s="49"/>
      <c r="BU668" s="49"/>
      <c r="BV668" s="49"/>
      <c r="BW668" s="49"/>
      <c r="BX668" s="49"/>
      <c r="BY668" s="49"/>
      <c r="BZ668" s="49"/>
      <c r="CA668" s="49"/>
      <c r="CB668" s="49"/>
      <c r="CC668" s="49"/>
      <c r="CD668" s="49"/>
      <c r="CE668" s="49"/>
      <c r="CF668" s="49"/>
      <c r="CG668" s="49"/>
      <c r="CH668" s="49"/>
      <c r="CI668" s="49"/>
      <c r="CJ668" s="49"/>
      <c r="CK668" s="49"/>
      <c r="CL668" s="49"/>
      <c r="CM668" s="49"/>
      <c r="CN668" s="49"/>
      <c r="CO668" s="49"/>
      <c r="CP668" s="49"/>
      <c r="CQ668" s="49"/>
      <c r="CR668" s="49"/>
      <c r="CS668" s="49"/>
      <c r="CT668" s="49"/>
      <c r="CU668" s="49"/>
      <c r="CV668" s="49"/>
      <c r="CW668" s="49"/>
      <c r="CX668" s="49"/>
      <c r="CY668" s="49"/>
      <c r="CZ668" s="49"/>
      <c r="DA668" s="49"/>
      <c r="DB668" s="49"/>
      <c r="DC668" s="49"/>
      <c r="DD668" s="49"/>
      <c r="DE668" s="49"/>
      <c r="DF668" s="49"/>
      <c r="DG668" s="49"/>
      <c r="DH668" s="49"/>
      <c r="DI668" s="49"/>
      <c r="DJ668" s="49"/>
      <c r="DK668" s="49"/>
      <c r="DL668" s="49"/>
      <c r="DM668" s="49"/>
      <c r="DN668" s="49"/>
      <c r="DO668" s="49"/>
      <c r="DP668" s="49"/>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c r="IW668"/>
      <c r="IX668"/>
      <c r="IY668"/>
      <c r="IZ668"/>
      <c r="JA668"/>
      <c r="JB668"/>
      <c r="JC668"/>
      <c r="JD668"/>
      <c r="JE668"/>
      <c r="JF668"/>
      <c r="JG668"/>
      <c r="JH668"/>
      <c r="JI668"/>
      <c r="JJ668"/>
      <c r="JK668"/>
      <c r="JL668"/>
      <c r="JM668"/>
      <c r="JN668"/>
      <c r="JO668"/>
      <c r="JP668"/>
      <c r="JQ668"/>
      <c r="JR668"/>
      <c r="JS668"/>
      <c r="JT668"/>
      <c r="JU668"/>
      <c r="JV668"/>
      <c r="JW668"/>
      <c r="JX668"/>
      <c r="JY668"/>
      <c r="JZ668"/>
      <c r="KA668"/>
      <c r="KB668"/>
      <c r="KC668"/>
      <c r="KD668"/>
      <c r="KE668"/>
      <c r="KF668"/>
      <c r="KG668"/>
      <c r="KH668"/>
      <c r="KI668"/>
      <c r="KJ668"/>
      <c r="KK668"/>
      <c r="KL668"/>
      <c r="KM668"/>
      <c r="KN668"/>
      <c r="KO668"/>
      <c r="KP668"/>
      <c r="KQ668"/>
      <c r="KR668"/>
      <c r="KS668"/>
      <c r="KT668"/>
      <c r="KU668"/>
      <c r="KV668"/>
      <c r="KW668"/>
      <c r="KX668"/>
      <c r="KY668"/>
      <c r="KZ668"/>
      <c r="LA668"/>
      <c r="LB668"/>
      <c r="LC668"/>
      <c r="LD668"/>
      <c r="LE668"/>
      <c r="LF668"/>
      <c r="LG668"/>
      <c r="LH668"/>
      <c r="LI668"/>
      <c r="LJ668"/>
      <c r="LK668"/>
      <c r="LL668"/>
      <c r="LM668"/>
      <c r="LN668"/>
      <c r="LO668"/>
      <c r="LP668"/>
      <c r="LQ668"/>
      <c r="LR668"/>
      <c r="LS668"/>
      <c r="LT668"/>
      <c r="LU668"/>
      <c r="LV668"/>
      <c r="LW668"/>
      <c r="LX668"/>
      <c r="LY668"/>
      <c r="LZ668"/>
      <c r="MA668"/>
      <c r="MB668"/>
      <c r="MC668"/>
      <c r="MD668"/>
      <c r="ME668"/>
      <c r="MF668"/>
      <c r="MG668"/>
      <c r="MH668"/>
      <c r="MI668"/>
      <c r="MJ668"/>
      <c r="MK668"/>
      <c r="ML668"/>
      <c r="MM668"/>
      <c r="MN668"/>
      <c r="MO668"/>
      <c r="MP668"/>
      <c r="MQ668"/>
      <c r="MR668"/>
      <c r="MS668"/>
      <c r="MT668"/>
      <c r="MU668"/>
      <c r="MV668"/>
      <c r="MW668"/>
      <c r="MX668"/>
      <c r="MY668"/>
      <c r="MZ668"/>
      <c r="NA668"/>
      <c r="NB668"/>
      <c r="NC668"/>
      <c r="ND668"/>
      <c r="NE668"/>
      <c r="NF668"/>
      <c r="NG668"/>
      <c r="NH668"/>
      <c r="NI668"/>
      <c r="NJ668"/>
      <c r="NK668"/>
      <c r="NL668"/>
      <c r="NM668"/>
      <c r="NN668"/>
      <c r="NO668"/>
      <c r="NP668"/>
      <c r="NQ668"/>
      <c r="NR668"/>
      <c r="NS668"/>
      <c r="NT668"/>
      <c r="NU668"/>
      <c r="NV668"/>
      <c r="NW668"/>
      <c r="NX668"/>
      <c r="NY668"/>
      <c r="NZ668"/>
      <c r="OA668"/>
      <c r="OB668"/>
      <c r="OC668"/>
      <c r="OD668"/>
      <c r="OE668"/>
      <c r="OF668"/>
      <c r="OG668"/>
      <c r="OH668"/>
      <c r="OI668"/>
      <c r="OJ668"/>
      <c r="OK668"/>
      <c r="OL668"/>
      <c r="OM668"/>
      <c r="ON668"/>
      <c r="OO668"/>
      <c r="OP668"/>
      <c r="OQ668"/>
      <c r="OR668"/>
      <c r="OS668"/>
      <c r="OT668"/>
      <c r="OU668"/>
      <c r="OV668"/>
      <c r="OW668"/>
      <c r="OX668"/>
      <c r="OY668"/>
      <c r="OZ668"/>
      <c r="PA668"/>
      <c r="PB668"/>
      <c r="PC668"/>
      <c r="PD668"/>
      <c r="PE668"/>
      <c r="PF668"/>
      <c r="PG668"/>
      <c r="PH668"/>
      <c r="PI668"/>
      <c r="PJ668"/>
      <c r="PK668"/>
      <c r="PL668"/>
      <c r="PM668"/>
      <c r="PN668"/>
      <c r="PO668"/>
      <c r="PP668"/>
      <c r="PQ668"/>
      <c r="PR668"/>
      <c r="PS668"/>
      <c r="PT668"/>
      <c r="PU668"/>
      <c r="PV668"/>
      <c r="PW668"/>
      <c r="PX668"/>
      <c r="PY668"/>
      <c r="PZ668"/>
      <c r="QA668"/>
      <c r="QB668"/>
      <c r="QC668"/>
      <c r="QD668"/>
      <c r="QE668"/>
      <c r="QF668"/>
      <c r="QG668"/>
      <c r="QH668"/>
      <c r="QI668"/>
      <c r="QJ668"/>
      <c r="QK668"/>
      <c r="QL668"/>
      <c r="QM668"/>
      <c r="QN668"/>
      <c r="QO668"/>
      <c r="QP668"/>
      <c r="QQ668"/>
      <c r="QR668"/>
      <c r="QS668"/>
      <c r="QT668"/>
      <c r="QU668"/>
      <c r="QV668"/>
      <c r="QW668"/>
      <c r="QX668"/>
      <c r="QY668"/>
      <c r="QZ668"/>
      <c r="RA668"/>
      <c r="RB668"/>
      <c r="RC668"/>
      <c r="RD668"/>
      <c r="RE668"/>
      <c r="RF668"/>
      <c r="RG668"/>
      <c r="RH668"/>
      <c r="RI668"/>
      <c r="RJ668"/>
      <c r="RK668"/>
      <c r="RL668"/>
      <c r="RM668"/>
      <c r="RN668"/>
      <c r="RO668"/>
      <c r="RP668"/>
      <c r="RQ668"/>
      <c r="RR668"/>
      <c r="RS668"/>
      <c r="RT668"/>
      <c r="RU668"/>
      <c r="RV668"/>
      <c r="RW668"/>
      <c r="RX668"/>
      <c r="RY668"/>
      <c r="RZ668"/>
      <c r="SA668"/>
      <c r="SB668"/>
      <c r="SC668"/>
      <c r="SD668"/>
      <c r="SE668"/>
      <c r="SF668"/>
      <c r="SG668"/>
      <c r="SH668"/>
      <c r="SI668"/>
      <c r="SJ668"/>
      <c r="SK668"/>
      <c r="SL668"/>
      <c r="SM668"/>
      <c r="SN668"/>
      <c r="SO668"/>
      <c r="SP668"/>
      <c r="SQ668"/>
      <c r="SR668"/>
      <c r="SS668"/>
      <c r="ST668"/>
      <c r="SU668"/>
      <c r="SV668"/>
      <c r="SW668"/>
      <c r="SX668"/>
      <c r="SY668"/>
      <c r="SZ668"/>
      <c r="TA668"/>
      <c r="TB668"/>
      <c r="TC668"/>
      <c r="TD668"/>
      <c r="TE668"/>
      <c r="TF668"/>
      <c r="TG668"/>
      <c r="TH668"/>
      <c r="TI668"/>
      <c r="TJ668"/>
      <c r="TK668"/>
      <c r="TL668"/>
      <c r="TM668"/>
      <c r="TN668"/>
      <c r="TO668"/>
      <c r="TP668"/>
      <c r="TQ668"/>
      <c r="TR668"/>
      <c r="TS668"/>
      <c r="TT668"/>
      <c r="TU668"/>
      <c r="TV668"/>
      <c r="TW668"/>
      <c r="TX668"/>
      <c r="TY668"/>
      <c r="TZ668"/>
      <c r="UA668"/>
      <c r="UB668"/>
      <c r="UC668"/>
      <c r="UD668"/>
      <c r="UE668"/>
      <c r="UF668"/>
      <c r="UG668"/>
      <c r="UH668"/>
      <c r="UI668"/>
      <c r="UJ668"/>
      <c r="UK668"/>
      <c r="UL668"/>
      <c r="UM668"/>
      <c r="UN668"/>
      <c r="UO668"/>
      <c r="UP668"/>
      <c r="UQ668"/>
      <c r="UR668"/>
      <c r="US668"/>
      <c r="UT668"/>
      <c r="UU668"/>
      <c r="UV668"/>
      <c r="UW668"/>
      <c r="UX668"/>
      <c r="UY668"/>
      <c r="UZ668"/>
      <c r="VA668"/>
      <c r="VB668"/>
      <c r="VC668"/>
      <c r="VD668"/>
      <c r="VE668"/>
      <c r="VF668"/>
      <c r="VG668"/>
      <c r="VH668"/>
      <c r="VI668"/>
      <c r="VJ668"/>
      <c r="VK668"/>
      <c r="VL668"/>
      <c r="VM668"/>
      <c r="VN668"/>
      <c r="VO668"/>
      <c r="VP668"/>
      <c r="VQ668"/>
      <c r="VR668"/>
      <c r="VS668"/>
      <c r="VT668"/>
      <c r="VU668"/>
      <c r="VV668"/>
      <c r="VW668"/>
      <c r="VX668"/>
      <c r="VY668"/>
      <c r="VZ668"/>
      <c r="WA668"/>
      <c r="WB668"/>
      <c r="WC668"/>
      <c r="WD668"/>
      <c r="WE668"/>
      <c r="WF668"/>
      <c r="WG668"/>
      <c r="WH668"/>
      <c r="WI668"/>
      <c r="WJ668"/>
      <c r="WK668"/>
      <c r="WL668"/>
      <c r="WM668"/>
      <c r="WN668"/>
      <c r="WO668"/>
      <c r="WP668"/>
      <c r="WQ668"/>
      <c r="WR668"/>
      <c r="WS668"/>
      <c r="WT668"/>
      <c r="WU668"/>
      <c r="WV668"/>
      <c r="WW668"/>
      <c r="WX668"/>
      <c r="WY668"/>
      <c r="WZ668"/>
      <c r="XA668"/>
      <c r="XB668"/>
      <c r="XC668"/>
      <c r="XD668"/>
      <c r="XE668"/>
      <c r="XF668"/>
      <c r="XG668"/>
      <c r="XH668"/>
      <c r="XI668"/>
      <c r="XJ668"/>
      <c r="XK668"/>
      <c r="XL668"/>
      <c r="XM668"/>
      <c r="XN668"/>
      <c r="XO668"/>
      <c r="XP668"/>
      <c r="XQ668"/>
      <c r="XR668"/>
      <c r="XS668"/>
      <c r="XT668"/>
      <c r="XU668"/>
      <c r="XV668"/>
      <c r="XW668"/>
      <c r="XX668"/>
      <c r="XY668"/>
      <c r="XZ668"/>
      <c r="YA668"/>
      <c r="YB668"/>
      <c r="YC668"/>
      <c r="YD668"/>
      <c r="YE668"/>
      <c r="YF668"/>
      <c r="YG668"/>
      <c r="YH668"/>
      <c r="YI668"/>
      <c r="YJ668"/>
      <c r="YK668"/>
      <c r="YL668"/>
      <c r="YM668"/>
      <c r="YN668"/>
      <c r="YO668"/>
      <c r="YP668"/>
      <c r="YQ668"/>
      <c r="YR668"/>
      <c r="YS668"/>
      <c r="YT668"/>
      <c r="YU668"/>
      <c r="YV668"/>
      <c r="YW668"/>
      <c r="YX668"/>
      <c r="YY668"/>
      <c r="YZ668"/>
      <c r="ZA668"/>
      <c r="ZB668"/>
      <c r="ZC668"/>
      <c r="ZD668"/>
      <c r="ZE668"/>
      <c r="ZF668"/>
      <c r="ZG668"/>
      <c r="ZH668"/>
      <c r="ZI668"/>
      <c r="ZJ668"/>
      <c r="ZK668"/>
      <c r="ZL668"/>
      <c r="ZM668"/>
      <c r="ZN668"/>
      <c r="ZO668"/>
      <c r="ZP668"/>
      <c r="ZQ668"/>
      <c r="ZR668"/>
      <c r="ZS668"/>
      <c r="ZT668"/>
      <c r="ZU668"/>
      <c r="ZV668"/>
      <c r="ZW668"/>
      <c r="ZX668"/>
      <c r="ZY668"/>
      <c r="ZZ668" s="52"/>
      <c r="AAA668" s="192"/>
      <c r="AAD668" s="90"/>
      <c r="AAE668" s="519">
        <f>IF(S.EQC.ApprovePacketLoop3="Y",1,0)</f>
        <v>1</v>
      </c>
      <c r="AAF668" s="90"/>
      <c r="AAG668" s="73">
        <f>IF(AAE668=0,,G666)</f>
        <v>41676</v>
      </c>
      <c r="AAH668" s="73">
        <f t="shared" si="565"/>
        <v>41676</v>
      </c>
      <c r="AAI668" s="72"/>
      <c r="AAJ668" s="185"/>
      <c r="AAK668" s="56"/>
      <c r="AAL668" s="90"/>
    </row>
    <row r="669" spans="1:715" s="23" customFormat="1" ht="15" hidden="1" customHeight="1" outlineLevel="3">
      <c r="A669" s="171"/>
      <c r="B669" s="712" t="s">
        <v>376</v>
      </c>
      <c r="C669" s="376" t="s">
        <v>0</v>
      </c>
      <c r="D669" s="423"/>
      <c r="E669" s="397">
        <f t="shared" si="579"/>
        <v>1</v>
      </c>
      <c r="F669" s="457">
        <f t="shared" ca="1" si="543"/>
        <v>69</v>
      </c>
      <c r="G669" s="400">
        <f t="shared" si="564"/>
        <v>41676</v>
      </c>
      <c r="H669" s="400">
        <f t="shared" si="564"/>
        <v>41676</v>
      </c>
      <c r="I669" s="244"/>
      <c r="J669" s="194"/>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49"/>
      <c r="BF669" s="49"/>
      <c r="BG669" s="49"/>
      <c r="BH669" s="49"/>
      <c r="BI669" s="49"/>
      <c r="BJ669" s="49"/>
      <c r="BK669" s="49"/>
      <c r="BL669" s="49"/>
      <c r="BM669" s="49"/>
      <c r="BN669" s="49"/>
      <c r="BO669" s="49"/>
      <c r="BP669" s="49"/>
      <c r="BQ669" s="49"/>
      <c r="BR669" s="49"/>
      <c r="BS669" s="49"/>
      <c r="BT669" s="49"/>
      <c r="BU669" s="49"/>
      <c r="BV669" s="49"/>
      <c r="BW669" s="49"/>
      <c r="BX669" s="49"/>
      <c r="BY669" s="49"/>
      <c r="BZ669" s="49"/>
      <c r="CA669" s="49"/>
      <c r="CB669" s="49"/>
      <c r="CC669" s="49"/>
      <c r="CD669" s="49"/>
      <c r="CE669" s="49"/>
      <c r="CF669" s="49"/>
      <c r="CG669" s="49"/>
      <c r="CH669" s="49"/>
      <c r="CI669" s="49"/>
      <c r="CJ669" s="49"/>
      <c r="CK669" s="49"/>
      <c r="CL669" s="49"/>
      <c r="CM669" s="49"/>
      <c r="CN669" s="49"/>
      <c r="CO669" s="49"/>
      <c r="CP669" s="49"/>
      <c r="CQ669" s="49"/>
      <c r="CR669" s="49"/>
      <c r="CS669" s="49"/>
      <c r="CT669" s="49"/>
      <c r="CU669" s="49"/>
      <c r="CV669" s="49"/>
      <c r="CW669" s="49"/>
      <c r="CX669" s="49"/>
      <c r="CY669" s="49"/>
      <c r="CZ669" s="49"/>
      <c r="DA669" s="49"/>
      <c r="DB669" s="49"/>
      <c r="DC669" s="49"/>
      <c r="DD669" s="49"/>
      <c r="DE669" s="49"/>
      <c r="DF669" s="49"/>
      <c r="DG669" s="49"/>
      <c r="DH669" s="49"/>
      <c r="DI669" s="49"/>
      <c r="DJ669" s="49"/>
      <c r="DK669" s="49"/>
      <c r="DL669" s="49"/>
      <c r="DM669" s="49"/>
      <c r="DN669" s="49"/>
      <c r="DO669" s="49"/>
      <c r="DP669" s="4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c r="IW669"/>
      <c r="IX669"/>
      <c r="IY669"/>
      <c r="IZ669"/>
      <c r="JA669"/>
      <c r="JB669"/>
      <c r="JC669"/>
      <c r="JD669"/>
      <c r="JE669"/>
      <c r="JF669"/>
      <c r="JG669"/>
      <c r="JH669"/>
      <c r="JI669"/>
      <c r="JJ669"/>
      <c r="JK669"/>
      <c r="JL669"/>
      <c r="JM669"/>
      <c r="JN669"/>
      <c r="JO669"/>
      <c r="JP669"/>
      <c r="JQ669"/>
      <c r="JR669"/>
      <c r="JS669"/>
      <c r="JT669"/>
      <c r="JU669"/>
      <c r="JV669"/>
      <c r="JW669"/>
      <c r="JX669"/>
      <c r="JY669"/>
      <c r="JZ669"/>
      <c r="KA669"/>
      <c r="KB669"/>
      <c r="KC669"/>
      <c r="KD669"/>
      <c r="KE669"/>
      <c r="KF669"/>
      <c r="KG669"/>
      <c r="KH669"/>
      <c r="KI669"/>
      <c r="KJ669"/>
      <c r="KK669"/>
      <c r="KL669"/>
      <c r="KM669"/>
      <c r="KN669"/>
      <c r="KO669"/>
      <c r="KP669"/>
      <c r="KQ669"/>
      <c r="KR669"/>
      <c r="KS669"/>
      <c r="KT669"/>
      <c r="KU669"/>
      <c r="KV669"/>
      <c r="KW669"/>
      <c r="KX669"/>
      <c r="KY669"/>
      <c r="KZ669"/>
      <c r="LA669"/>
      <c r="LB669"/>
      <c r="LC669"/>
      <c r="LD669"/>
      <c r="LE669"/>
      <c r="LF669"/>
      <c r="LG669"/>
      <c r="LH669"/>
      <c r="LI669"/>
      <c r="LJ669"/>
      <c r="LK669"/>
      <c r="LL669"/>
      <c r="LM669"/>
      <c r="LN669"/>
      <c r="LO669"/>
      <c r="LP669"/>
      <c r="LQ669"/>
      <c r="LR669"/>
      <c r="LS669"/>
      <c r="LT669"/>
      <c r="LU669"/>
      <c r="LV669"/>
      <c r="LW669"/>
      <c r="LX669"/>
      <c r="LY669"/>
      <c r="LZ669"/>
      <c r="MA669"/>
      <c r="MB669"/>
      <c r="MC669"/>
      <c r="MD669"/>
      <c r="ME669"/>
      <c r="MF669"/>
      <c r="MG669"/>
      <c r="MH669"/>
      <c r="MI669"/>
      <c r="MJ669"/>
      <c r="MK669"/>
      <c r="ML669"/>
      <c r="MM669"/>
      <c r="MN669"/>
      <c r="MO669"/>
      <c r="MP669"/>
      <c r="MQ669"/>
      <c r="MR669"/>
      <c r="MS669"/>
      <c r="MT669"/>
      <c r="MU669"/>
      <c r="MV669"/>
      <c r="MW669"/>
      <c r="MX669"/>
      <c r="MY669"/>
      <c r="MZ669"/>
      <c r="NA669"/>
      <c r="NB669"/>
      <c r="NC669"/>
      <c r="ND669"/>
      <c r="NE669"/>
      <c r="NF669"/>
      <c r="NG669"/>
      <c r="NH669"/>
      <c r="NI669"/>
      <c r="NJ669"/>
      <c r="NK669"/>
      <c r="NL669"/>
      <c r="NM669"/>
      <c r="NN669"/>
      <c r="NO669"/>
      <c r="NP669"/>
      <c r="NQ669"/>
      <c r="NR669"/>
      <c r="NS669"/>
      <c r="NT669"/>
      <c r="NU669"/>
      <c r="NV669"/>
      <c r="NW669"/>
      <c r="NX669"/>
      <c r="NY669"/>
      <c r="NZ669"/>
      <c r="OA669"/>
      <c r="OB669"/>
      <c r="OC669"/>
      <c r="OD669"/>
      <c r="OE669"/>
      <c r="OF669"/>
      <c r="OG669"/>
      <c r="OH669"/>
      <c r="OI669"/>
      <c r="OJ669"/>
      <c r="OK669"/>
      <c r="OL669"/>
      <c r="OM669"/>
      <c r="ON669"/>
      <c r="OO669"/>
      <c r="OP669"/>
      <c r="OQ669"/>
      <c r="OR669"/>
      <c r="OS669"/>
      <c r="OT669"/>
      <c r="OU669"/>
      <c r="OV669"/>
      <c r="OW669"/>
      <c r="OX669"/>
      <c r="OY669"/>
      <c r="OZ669"/>
      <c r="PA669"/>
      <c r="PB669"/>
      <c r="PC669"/>
      <c r="PD669"/>
      <c r="PE669"/>
      <c r="PF669"/>
      <c r="PG669"/>
      <c r="PH669"/>
      <c r="PI669"/>
      <c r="PJ669"/>
      <c r="PK669"/>
      <c r="PL669"/>
      <c r="PM669"/>
      <c r="PN669"/>
      <c r="PO669"/>
      <c r="PP669"/>
      <c r="PQ669"/>
      <c r="PR669"/>
      <c r="PS669"/>
      <c r="PT669"/>
      <c r="PU669"/>
      <c r="PV669"/>
      <c r="PW669"/>
      <c r="PX669"/>
      <c r="PY669"/>
      <c r="PZ669"/>
      <c r="QA669"/>
      <c r="QB669"/>
      <c r="QC669"/>
      <c r="QD669"/>
      <c r="QE669"/>
      <c r="QF669"/>
      <c r="QG669"/>
      <c r="QH669"/>
      <c r="QI669"/>
      <c r="QJ669"/>
      <c r="QK669"/>
      <c r="QL669"/>
      <c r="QM669"/>
      <c r="QN669"/>
      <c r="QO669"/>
      <c r="QP669"/>
      <c r="QQ669"/>
      <c r="QR669"/>
      <c r="QS669"/>
      <c r="QT669"/>
      <c r="QU669"/>
      <c r="QV669"/>
      <c r="QW669"/>
      <c r="QX669"/>
      <c r="QY669"/>
      <c r="QZ669"/>
      <c r="RA669"/>
      <c r="RB669"/>
      <c r="RC669"/>
      <c r="RD669"/>
      <c r="RE669"/>
      <c r="RF669"/>
      <c r="RG669"/>
      <c r="RH669"/>
      <c r="RI669"/>
      <c r="RJ669"/>
      <c r="RK669"/>
      <c r="RL669"/>
      <c r="RM669"/>
      <c r="RN669"/>
      <c r="RO669"/>
      <c r="RP669"/>
      <c r="RQ669"/>
      <c r="RR669"/>
      <c r="RS669"/>
      <c r="RT669"/>
      <c r="RU669"/>
      <c r="RV669"/>
      <c r="RW669"/>
      <c r="RX669"/>
      <c r="RY669"/>
      <c r="RZ669"/>
      <c r="SA669"/>
      <c r="SB669"/>
      <c r="SC669"/>
      <c r="SD669"/>
      <c r="SE669"/>
      <c r="SF669"/>
      <c r="SG669"/>
      <c r="SH669"/>
      <c r="SI669"/>
      <c r="SJ669"/>
      <c r="SK669"/>
      <c r="SL669"/>
      <c r="SM669"/>
      <c r="SN669"/>
      <c r="SO669"/>
      <c r="SP669"/>
      <c r="SQ669"/>
      <c r="SR669"/>
      <c r="SS669"/>
      <c r="ST669"/>
      <c r="SU669"/>
      <c r="SV669"/>
      <c r="SW669"/>
      <c r="SX669"/>
      <c r="SY669"/>
      <c r="SZ669"/>
      <c r="TA669"/>
      <c r="TB669"/>
      <c r="TC669"/>
      <c r="TD669"/>
      <c r="TE669"/>
      <c r="TF669"/>
      <c r="TG669"/>
      <c r="TH669"/>
      <c r="TI669"/>
      <c r="TJ669"/>
      <c r="TK669"/>
      <c r="TL669"/>
      <c r="TM669"/>
      <c r="TN669"/>
      <c r="TO669"/>
      <c r="TP669"/>
      <c r="TQ669"/>
      <c r="TR669"/>
      <c r="TS669"/>
      <c r="TT669"/>
      <c r="TU669"/>
      <c r="TV669"/>
      <c r="TW669"/>
      <c r="TX669"/>
      <c r="TY669"/>
      <c r="TZ669"/>
      <c r="UA669"/>
      <c r="UB669"/>
      <c r="UC669"/>
      <c r="UD669"/>
      <c r="UE669"/>
      <c r="UF669"/>
      <c r="UG669"/>
      <c r="UH669"/>
      <c r="UI669"/>
      <c r="UJ669"/>
      <c r="UK669"/>
      <c r="UL669"/>
      <c r="UM669"/>
      <c r="UN669"/>
      <c r="UO669"/>
      <c r="UP669"/>
      <c r="UQ669"/>
      <c r="UR669"/>
      <c r="US669"/>
      <c r="UT669"/>
      <c r="UU669"/>
      <c r="UV669"/>
      <c r="UW669"/>
      <c r="UX669"/>
      <c r="UY669"/>
      <c r="UZ669"/>
      <c r="VA669"/>
      <c r="VB669"/>
      <c r="VC669"/>
      <c r="VD669"/>
      <c r="VE669"/>
      <c r="VF669"/>
      <c r="VG669"/>
      <c r="VH669"/>
      <c r="VI669"/>
      <c r="VJ669"/>
      <c r="VK669"/>
      <c r="VL669"/>
      <c r="VM669"/>
      <c r="VN669"/>
      <c r="VO669"/>
      <c r="VP669"/>
      <c r="VQ669"/>
      <c r="VR669"/>
      <c r="VS669"/>
      <c r="VT669"/>
      <c r="VU669"/>
      <c r="VV669"/>
      <c r="VW669"/>
      <c r="VX669"/>
      <c r="VY669"/>
      <c r="VZ669"/>
      <c r="WA669"/>
      <c r="WB669"/>
      <c r="WC669"/>
      <c r="WD669"/>
      <c r="WE669"/>
      <c r="WF669"/>
      <c r="WG669"/>
      <c r="WH669"/>
      <c r="WI669"/>
      <c r="WJ669"/>
      <c r="WK669"/>
      <c r="WL669"/>
      <c r="WM669"/>
      <c r="WN669"/>
      <c r="WO669"/>
      <c r="WP669"/>
      <c r="WQ669"/>
      <c r="WR669"/>
      <c r="WS669"/>
      <c r="WT669"/>
      <c r="WU669"/>
      <c r="WV669"/>
      <c r="WW669"/>
      <c r="WX669"/>
      <c r="WY669"/>
      <c r="WZ669"/>
      <c r="XA669"/>
      <c r="XB669"/>
      <c r="XC669"/>
      <c r="XD669"/>
      <c r="XE669"/>
      <c r="XF669"/>
      <c r="XG669"/>
      <c r="XH669"/>
      <c r="XI669"/>
      <c r="XJ669"/>
      <c r="XK669"/>
      <c r="XL669"/>
      <c r="XM669"/>
      <c r="XN669"/>
      <c r="XO669"/>
      <c r="XP669"/>
      <c r="XQ669"/>
      <c r="XR669"/>
      <c r="XS669"/>
      <c r="XT669"/>
      <c r="XU669"/>
      <c r="XV669"/>
      <c r="XW669"/>
      <c r="XX669"/>
      <c r="XY669"/>
      <c r="XZ669"/>
      <c r="YA669"/>
      <c r="YB669"/>
      <c r="YC669"/>
      <c r="YD669"/>
      <c r="YE669"/>
      <c r="YF669"/>
      <c r="YG669"/>
      <c r="YH669"/>
      <c r="YI669"/>
      <c r="YJ669"/>
      <c r="YK669"/>
      <c r="YL669"/>
      <c r="YM669"/>
      <c r="YN669"/>
      <c r="YO669"/>
      <c r="YP669"/>
      <c r="YQ669"/>
      <c r="YR669"/>
      <c r="YS669"/>
      <c r="YT669"/>
      <c r="YU669"/>
      <c r="YV669"/>
      <c r="YW669"/>
      <c r="YX669"/>
      <c r="YY669"/>
      <c r="YZ669"/>
      <c r="ZA669"/>
      <c r="ZB669"/>
      <c r="ZC669"/>
      <c r="ZD669"/>
      <c r="ZE669"/>
      <c r="ZF669"/>
      <c r="ZG669"/>
      <c r="ZH669"/>
      <c r="ZI669"/>
      <c r="ZJ669"/>
      <c r="ZK669"/>
      <c r="ZL669"/>
      <c r="ZM669"/>
      <c r="ZN669"/>
      <c r="ZO669"/>
      <c r="ZP669"/>
      <c r="ZQ669"/>
      <c r="ZR669"/>
      <c r="ZS669"/>
      <c r="ZT669"/>
      <c r="ZU669"/>
      <c r="ZV669"/>
      <c r="ZW669"/>
      <c r="ZX669"/>
      <c r="ZY669"/>
      <c r="ZZ669" s="52"/>
      <c r="AAA669" s="192"/>
      <c r="AAD669" s="90"/>
      <c r="AAE669" s="519">
        <f>IF(S.EQC.ApprovePacketLoop3="Y",1,0)</f>
        <v>1</v>
      </c>
      <c r="AAF669" s="90"/>
      <c r="AAG669" s="73">
        <f>IF(AAE669=0,,G666)</f>
        <v>41676</v>
      </c>
      <c r="AAH669" s="73">
        <f t="shared" si="565"/>
        <v>41676</v>
      </c>
      <c r="AAI669" s="72"/>
      <c r="AAJ669" s="185"/>
      <c r="AAK669" s="56"/>
      <c r="AAL669" s="90"/>
    </row>
    <row r="670" spans="1:715" s="23" customFormat="1" ht="15" customHeight="1" outlineLevel="2" collapsed="1" thickBot="1">
      <c r="A670" s="171" t="s">
        <v>0</v>
      </c>
      <c r="B670" s="389" t="str">
        <f>AAK670</f>
        <v>AndreaRW:</v>
      </c>
      <c r="C670" s="376" t="s">
        <v>0</v>
      </c>
      <c r="D670" s="758"/>
      <c r="E670"/>
      <c r="F670"/>
      <c r="G670"/>
      <c r="H670"/>
      <c r="I670" s="244"/>
      <c r="J670" s="222"/>
      <c r="K670" s="223"/>
      <c r="L670" s="223"/>
      <c r="M670" s="223"/>
      <c r="N670" s="223"/>
      <c r="O670" s="223"/>
      <c r="P670" s="223"/>
      <c r="Q670" s="223"/>
      <c r="R670" s="223"/>
      <c r="S670" s="223"/>
      <c r="T670" s="223"/>
      <c r="U670" s="223"/>
      <c r="V670" s="223"/>
      <c r="W670" s="223"/>
      <c r="X670" s="223"/>
      <c r="Y670" s="223"/>
      <c r="Z670" s="223"/>
      <c r="AA670" s="223"/>
      <c r="AB670" s="223"/>
      <c r="AC670" s="223"/>
      <c r="AD670" s="223"/>
      <c r="AE670" s="223"/>
      <c r="AF670" s="223"/>
      <c r="AG670" s="223"/>
      <c r="AH670" s="223"/>
      <c r="AI670" s="223"/>
      <c r="AJ670" s="223"/>
      <c r="AK670" s="223"/>
      <c r="AL670" s="223"/>
      <c r="AM670" s="223"/>
      <c r="AN670" s="223"/>
      <c r="AO670" s="223"/>
      <c r="AP670" s="223"/>
      <c r="AQ670" s="223"/>
      <c r="AR670" s="223"/>
      <c r="AS670" s="223"/>
      <c r="AT670" s="223"/>
      <c r="AU670" s="223"/>
      <c r="AV670" s="223"/>
      <c r="AW670" s="223"/>
      <c r="AX670" s="223"/>
      <c r="AY670" s="223"/>
      <c r="AZ670" s="223"/>
      <c r="BA670" s="223"/>
      <c r="BB670" s="223"/>
      <c r="BC670" s="223"/>
      <c r="BD670" s="223"/>
      <c r="BE670" s="223"/>
      <c r="BF670" s="223"/>
      <c r="BG670" s="223"/>
      <c r="BH670" s="223"/>
      <c r="BI670" s="223"/>
      <c r="BJ670" s="223"/>
      <c r="BK670" s="223"/>
      <c r="BL670" s="223"/>
      <c r="BM670" s="223"/>
      <c r="BN670" s="223"/>
      <c r="BO670" s="223"/>
      <c r="BP670" s="223"/>
      <c r="BQ670" s="223"/>
      <c r="BR670" s="223"/>
      <c r="BS670" s="223"/>
      <c r="BT670" s="223"/>
      <c r="BU670" s="223"/>
      <c r="BV670" s="223"/>
      <c r="BW670" s="223"/>
      <c r="BX670" s="223"/>
      <c r="BY670" s="223"/>
      <c r="BZ670" s="223"/>
      <c r="CA670" s="223"/>
      <c r="CB670" s="223"/>
      <c r="CC670" s="223"/>
      <c r="CD670" s="223"/>
      <c r="CE670" s="223"/>
      <c r="CF670" s="223"/>
      <c r="CG670" s="223"/>
      <c r="CH670" s="223"/>
      <c r="CI670" s="223"/>
      <c r="CJ670" s="223"/>
      <c r="CK670" s="223"/>
      <c r="CL670" s="223"/>
      <c r="CM670" s="223"/>
      <c r="CN670" s="223"/>
      <c r="CO670" s="223"/>
      <c r="CP670" s="223"/>
      <c r="CQ670" s="223"/>
      <c r="CR670" s="223"/>
      <c r="CS670" s="223"/>
      <c r="CT670" s="223"/>
      <c r="CU670" s="223"/>
      <c r="CV670" s="223"/>
      <c r="CW670" s="223"/>
      <c r="CX670" s="223"/>
      <c r="CY670" s="223"/>
      <c r="CZ670" s="223"/>
      <c r="DA670" s="223"/>
      <c r="DB670" s="223"/>
      <c r="DC670" s="223"/>
      <c r="DD670" s="223"/>
      <c r="DE670" s="223"/>
      <c r="DF670" s="223"/>
      <c r="DG670" s="223"/>
      <c r="DH670" s="223"/>
      <c r="DI670" s="223"/>
      <c r="DJ670" s="223"/>
      <c r="DK670" s="223"/>
      <c r="DL670" s="223"/>
      <c r="DM670" s="223"/>
      <c r="DN670" s="223"/>
      <c r="DO670" s="223"/>
      <c r="DP670" s="223"/>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c r="IW670"/>
      <c r="IX670"/>
      <c r="IY670"/>
      <c r="IZ670"/>
      <c r="JA670"/>
      <c r="JB670"/>
      <c r="JC670"/>
      <c r="JD670"/>
      <c r="JE670"/>
      <c r="JF670"/>
      <c r="JG670"/>
      <c r="JH670"/>
      <c r="JI670"/>
      <c r="JJ670"/>
      <c r="JK670"/>
      <c r="JL670"/>
      <c r="JM670"/>
      <c r="JN670"/>
      <c r="JO670"/>
      <c r="JP670"/>
      <c r="JQ670"/>
      <c r="JR670"/>
      <c r="JS670"/>
      <c r="JT670"/>
      <c r="JU670"/>
      <c r="JV670"/>
      <c r="JW670"/>
      <c r="JX670"/>
      <c r="JY670"/>
      <c r="JZ670"/>
      <c r="KA670"/>
      <c r="KB670"/>
      <c r="KC670"/>
      <c r="KD670"/>
      <c r="KE670"/>
      <c r="KF670"/>
      <c r="KG670"/>
      <c r="KH670"/>
      <c r="KI670"/>
      <c r="KJ670"/>
      <c r="KK670"/>
      <c r="KL670"/>
      <c r="KM670"/>
      <c r="KN670"/>
      <c r="KO670"/>
      <c r="KP670"/>
      <c r="KQ670"/>
      <c r="KR670"/>
      <c r="KS670"/>
      <c r="KT670"/>
      <c r="KU670"/>
      <c r="KV670"/>
      <c r="KW670"/>
      <c r="KX670"/>
      <c r="KY670"/>
      <c r="KZ670"/>
      <c r="LA670"/>
      <c r="LB670"/>
      <c r="LC670"/>
      <c r="LD670"/>
      <c r="LE670"/>
      <c r="LF670"/>
      <c r="LG670"/>
      <c r="LH670"/>
      <c r="LI670"/>
      <c r="LJ670"/>
      <c r="LK670"/>
      <c r="LL670"/>
      <c r="LM670"/>
      <c r="LN670"/>
      <c r="LO670"/>
      <c r="LP670"/>
      <c r="LQ670"/>
      <c r="LR670"/>
      <c r="LS670"/>
      <c r="LT670"/>
      <c r="LU670"/>
      <c r="LV670"/>
      <c r="LW670"/>
      <c r="LX670"/>
      <c r="LY670"/>
      <c r="LZ670"/>
      <c r="MA670"/>
      <c r="MB670"/>
      <c r="MC670"/>
      <c r="MD670"/>
      <c r="ME670"/>
      <c r="MF670"/>
      <c r="MG670"/>
      <c r="MH670"/>
      <c r="MI670"/>
      <c r="MJ670"/>
      <c r="MK670"/>
      <c r="ML670"/>
      <c r="MM670"/>
      <c r="MN670"/>
      <c r="MO670"/>
      <c r="MP670"/>
      <c r="MQ670"/>
      <c r="MR670"/>
      <c r="MS670"/>
      <c r="MT670"/>
      <c r="MU670"/>
      <c r="MV670"/>
      <c r="MW670"/>
      <c r="MX670"/>
      <c r="MY670"/>
      <c r="MZ670"/>
      <c r="NA670"/>
      <c r="NB670"/>
      <c r="NC670"/>
      <c r="ND670"/>
      <c r="NE670"/>
      <c r="NF670"/>
      <c r="NG670"/>
      <c r="NH670"/>
      <c r="NI670"/>
      <c r="NJ670"/>
      <c r="NK670"/>
      <c r="NL670"/>
      <c r="NM670"/>
      <c r="NN670"/>
      <c r="NO670"/>
      <c r="NP670"/>
      <c r="NQ670"/>
      <c r="NR670"/>
      <c r="NS670"/>
      <c r="NT670"/>
      <c r="NU670"/>
      <c r="NV670"/>
      <c r="NW670"/>
      <c r="NX670"/>
      <c r="NY670"/>
      <c r="NZ670"/>
      <c r="OA670"/>
      <c r="OB670"/>
      <c r="OC670"/>
      <c r="OD670"/>
      <c r="OE670"/>
      <c r="OF670"/>
      <c r="OG670"/>
      <c r="OH670"/>
      <c r="OI670"/>
      <c r="OJ670"/>
      <c r="OK670"/>
      <c r="OL670"/>
      <c r="OM670"/>
      <c r="ON670"/>
      <c r="OO670"/>
      <c r="OP670"/>
      <c r="OQ670"/>
      <c r="OR670"/>
      <c r="OS670"/>
      <c r="OT670"/>
      <c r="OU670"/>
      <c r="OV670"/>
      <c r="OW670"/>
      <c r="OX670"/>
      <c r="OY670"/>
      <c r="OZ670"/>
      <c r="PA670"/>
      <c r="PB670"/>
      <c r="PC670"/>
      <c r="PD670"/>
      <c r="PE670"/>
      <c r="PF670"/>
      <c r="PG670"/>
      <c r="PH670"/>
      <c r="PI670"/>
      <c r="PJ670"/>
      <c r="PK670"/>
      <c r="PL670"/>
      <c r="PM670"/>
      <c r="PN670"/>
      <c r="PO670"/>
      <c r="PP670"/>
      <c r="PQ670"/>
      <c r="PR670"/>
      <c r="PS670"/>
      <c r="PT670"/>
      <c r="PU670"/>
      <c r="PV670"/>
      <c r="PW670"/>
      <c r="PX670"/>
      <c r="PY670"/>
      <c r="PZ670"/>
      <c r="QA670"/>
      <c r="QB670"/>
      <c r="QC670"/>
      <c r="QD670"/>
      <c r="QE670"/>
      <c r="QF670"/>
      <c r="QG670"/>
      <c r="QH670"/>
      <c r="QI670"/>
      <c r="QJ670"/>
      <c r="QK670"/>
      <c r="QL670"/>
      <c r="QM670"/>
      <c r="QN670"/>
      <c r="QO670"/>
      <c r="QP670"/>
      <c r="QQ670"/>
      <c r="QR670"/>
      <c r="QS670"/>
      <c r="QT670"/>
      <c r="QU670"/>
      <c r="QV670"/>
      <c r="QW670"/>
      <c r="QX670"/>
      <c r="QY670"/>
      <c r="QZ670"/>
      <c r="RA670"/>
      <c r="RB670"/>
      <c r="RC670"/>
      <c r="RD670"/>
      <c r="RE670"/>
      <c r="RF670"/>
      <c r="RG670"/>
      <c r="RH670"/>
      <c r="RI670"/>
      <c r="RJ670"/>
      <c r="RK670"/>
      <c r="RL670"/>
      <c r="RM670"/>
      <c r="RN670"/>
      <c r="RO670"/>
      <c r="RP670"/>
      <c r="RQ670"/>
      <c r="RR670"/>
      <c r="RS670"/>
      <c r="RT670"/>
      <c r="RU670"/>
      <c r="RV670"/>
      <c r="RW670"/>
      <c r="RX670"/>
      <c r="RY670"/>
      <c r="RZ670"/>
      <c r="SA670"/>
      <c r="SB670"/>
      <c r="SC670"/>
      <c r="SD670"/>
      <c r="SE670"/>
      <c r="SF670"/>
      <c r="SG670"/>
      <c r="SH670"/>
      <c r="SI670"/>
      <c r="SJ670"/>
      <c r="SK670"/>
      <c r="SL670"/>
      <c r="SM670"/>
      <c r="SN670"/>
      <c r="SO670"/>
      <c r="SP670"/>
      <c r="SQ670"/>
      <c r="SR670"/>
      <c r="SS670"/>
      <c r="ST670"/>
      <c r="SU670"/>
      <c r="SV670"/>
      <c r="SW670"/>
      <c r="SX670"/>
      <c r="SY670"/>
      <c r="SZ670"/>
      <c r="TA670"/>
      <c r="TB670"/>
      <c r="TC670"/>
      <c r="TD670"/>
      <c r="TE670"/>
      <c r="TF670"/>
      <c r="TG670"/>
      <c r="TH670"/>
      <c r="TI670"/>
      <c r="TJ670"/>
      <c r="TK670"/>
      <c r="TL670"/>
      <c r="TM670"/>
      <c r="TN670"/>
      <c r="TO670"/>
      <c r="TP670"/>
      <c r="TQ670"/>
      <c r="TR670"/>
      <c r="TS670"/>
      <c r="TT670"/>
      <c r="TU670"/>
      <c r="TV670"/>
      <c r="TW670"/>
      <c r="TX670"/>
      <c r="TY670"/>
      <c r="TZ670"/>
      <c r="UA670"/>
      <c r="UB670"/>
      <c r="UC670"/>
      <c r="UD670"/>
      <c r="UE670"/>
      <c r="UF670"/>
      <c r="UG670"/>
      <c r="UH670"/>
      <c r="UI670"/>
      <c r="UJ670"/>
      <c r="UK670"/>
      <c r="UL670"/>
      <c r="UM670"/>
      <c r="UN670"/>
      <c r="UO670"/>
      <c r="UP670"/>
      <c r="UQ670"/>
      <c r="UR670"/>
      <c r="US670"/>
      <c r="UT670"/>
      <c r="UU670"/>
      <c r="UV670"/>
      <c r="UW670"/>
      <c r="UX670"/>
      <c r="UY670"/>
      <c r="UZ670"/>
      <c r="VA670"/>
      <c r="VB670"/>
      <c r="VC670"/>
      <c r="VD670"/>
      <c r="VE670"/>
      <c r="VF670"/>
      <c r="VG670"/>
      <c r="VH670"/>
      <c r="VI670"/>
      <c r="VJ670"/>
      <c r="VK670"/>
      <c r="VL670"/>
      <c r="VM670"/>
      <c r="VN670"/>
      <c r="VO670"/>
      <c r="VP670"/>
      <c r="VQ670"/>
      <c r="VR670"/>
      <c r="VS670"/>
      <c r="VT670"/>
      <c r="VU670"/>
      <c r="VV670"/>
      <c r="VW670"/>
      <c r="VX670"/>
      <c r="VY670"/>
      <c r="VZ670"/>
      <c r="WA670"/>
      <c r="WB670"/>
      <c r="WC670"/>
      <c r="WD670"/>
      <c r="WE670"/>
      <c r="WF670"/>
      <c r="WG670"/>
      <c r="WH670"/>
      <c r="WI670"/>
      <c r="WJ670"/>
      <c r="WK670"/>
      <c r="WL670"/>
      <c r="WM670"/>
      <c r="WN670"/>
      <c r="WO670"/>
      <c r="WP670"/>
      <c r="WQ670"/>
      <c r="WR670"/>
      <c r="WS670"/>
      <c r="WT670"/>
      <c r="WU670"/>
      <c r="WV670"/>
      <c r="WW670"/>
      <c r="WX670"/>
      <c r="WY670"/>
      <c r="WZ670"/>
      <c r="XA670"/>
      <c r="XB670"/>
      <c r="XC670"/>
      <c r="XD670"/>
      <c r="XE670"/>
      <c r="XF670"/>
      <c r="XG670"/>
      <c r="XH670"/>
      <c r="XI670"/>
      <c r="XJ670"/>
      <c r="XK670"/>
      <c r="XL670"/>
      <c r="XM670"/>
      <c r="XN670"/>
      <c r="XO670"/>
      <c r="XP670"/>
      <c r="XQ670"/>
      <c r="XR670"/>
      <c r="XS670"/>
      <c r="XT670"/>
      <c r="XU670"/>
      <c r="XV670"/>
      <c r="XW670"/>
      <c r="XX670"/>
      <c r="XY670"/>
      <c r="XZ670"/>
      <c r="YA670"/>
      <c r="YB670"/>
      <c r="YC670"/>
      <c r="YD670"/>
      <c r="YE670"/>
      <c r="YF670"/>
      <c r="YG670"/>
      <c r="YH670"/>
      <c r="YI670"/>
      <c r="YJ670"/>
      <c r="YK670"/>
      <c r="YL670"/>
      <c r="YM670"/>
      <c r="YN670"/>
      <c r="YO670"/>
      <c r="YP670"/>
      <c r="YQ670"/>
      <c r="YR670"/>
      <c r="YS670"/>
      <c r="YT670"/>
      <c r="YU670"/>
      <c r="YV670"/>
      <c r="YW670"/>
      <c r="YX670"/>
      <c r="YY670"/>
      <c r="YZ670"/>
      <c r="ZA670"/>
      <c r="ZB670"/>
      <c r="ZC670"/>
      <c r="ZD670"/>
      <c r="ZE670"/>
      <c r="ZF670"/>
      <c r="ZG670"/>
      <c r="ZH670"/>
      <c r="ZI670"/>
      <c r="ZJ670"/>
      <c r="ZK670"/>
      <c r="ZL670"/>
      <c r="ZM670"/>
      <c r="ZN670"/>
      <c r="ZO670"/>
      <c r="ZP670"/>
      <c r="ZQ670"/>
      <c r="ZR670"/>
      <c r="ZS670"/>
      <c r="ZT670"/>
      <c r="ZU670"/>
      <c r="ZV670"/>
      <c r="ZW670"/>
      <c r="ZX670"/>
      <c r="ZY670"/>
      <c r="ZZ670" s="52"/>
      <c r="AAA670" s="192"/>
      <c r="AAD670" s="90"/>
      <c r="AAE670" s="519">
        <v>1</v>
      </c>
      <c r="AAF670" s="190" t="s">
        <v>52</v>
      </c>
      <c r="AAG670" s="90"/>
      <c r="AAH670" s="90"/>
      <c r="AAI670" s="72"/>
      <c r="AAJ670" s="56"/>
      <c r="AAK670" s="80" t="str">
        <f>S.Staff.Lead&amp;":"</f>
        <v>AndreaRW:</v>
      </c>
      <c r="AAL670" s="90"/>
    </row>
    <row r="671" spans="1:715" s="23" customFormat="1" ht="15" customHeight="1" outlineLevel="2" thickBot="1">
      <c r="A671" s="171"/>
      <c r="B671" s="713" t="str">
        <f>AAK671</f>
        <v>* discusses need for 1|1 briefings with commissioners with MargaretMGR &amp; Andy</v>
      </c>
      <c r="C671" s="611" t="s">
        <v>17</v>
      </c>
      <c r="D671" s="423"/>
      <c r="E671" s="646">
        <f t="shared" si="579"/>
        <v>1</v>
      </c>
      <c r="F671" s="457">
        <f t="shared" ca="1" si="543"/>
        <v>69</v>
      </c>
      <c r="G671" s="400">
        <f t="shared" si="564"/>
        <v>41676</v>
      </c>
      <c r="H671" s="400">
        <f t="shared" si="564"/>
        <v>41676</v>
      </c>
      <c r="I671" s="244"/>
      <c r="J671" s="194"/>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49"/>
      <c r="BF671" s="49"/>
      <c r="BG671" s="49"/>
      <c r="BH671" s="49"/>
      <c r="BI671" s="49"/>
      <c r="BJ671" s="49"/>
      <c r="BK671" s="49"/>
      <c r="BL671" s="49"/>
      <c r="BM671" s="49"/>
      <c r="BN671" s="49"/>
      <c r="BO671" s="49"/>
      <c r="BP671" s="49"/>
      <c r="BQ671" s="49"/>
      <c r="BR671" s="49"/>
      <c r="BS671" s="49"/>
      <c r="BT671" s="49"/>
      <c r="BU671" s="49"/>
      <c r="BV671" s="49"/>
      <c r="BW671" s="49"/>
      <c r="BX671" s="49"/>
      <c r="BY671" s="49"/>
      <c r="BZ671" s="49"/>
      <c r="CA671" s="49"/>
      <c r="CB671" s="49"/>
      <c r="CC671" s="49"/>
      <c r="CD671" s="49"/>
      <c r="CE671" s="49"/>
      <c r="CF671" s="49"/>
      <c r="CG671" s="49"/>
      <c r="CH671" s="49"/>
      <c r="CI671" s="49"/>
      <c r="CJ671" s="49"/>
      <c r="CK671" s="49"/>
      <c r="CL671" s="49"/>
      <c r="CM671" s="49"/>
      <c r="CN671" s="49"/>
      <c r="CO671" s="49"/>
      <c r="CP671" s="49"/>
      <c r="CQ671" s="49"/>
      <c r="CR671" s="49"/>
      <c r="CS671" s="49"/>
      <c r="CT671" s="49"/>
      <c r="CU671" s="49"/>
      <c r="CV671" s="49"/>
      <c r="CW671" s="49"/>
      <c r="CX671" s="49"/>
      <c r="CY671" s="49"/>
      <c r="CZ671" s="49"/>
      <c r="DA671" s="49"/>
      <c r="DB671" s="49"/>
      <c r="DC671" s="49"/>
      <c r="DD671" s="49"/>
      <c r="DE671" s="49"/>
      <c r="DF671" s="49"/>
      <c r="DG671" s="49"/>
      <c r="DH671" s="49"/>
      <c r="DI671" s="49"/>
      <c r="DJ671" s="49"/>
      <c r="DK671" s="49"/>
      <c r="DL671" s="49"/>
      <c r="DM671" s="49"/>
      <c r="DN671" s="49"/>
      <c r="DO671" s="49"/>
      <c r="DP671" s="49"/>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c r="IW671"/>
      <c r="IX671"/>
      <c r="IY671"/>
      <c r="IZ671"/>
      <c r="JA671"/>
      <c r="JB671"/>
      <c r="JC671"/>
      <c r="JD671"/>
      <c r="JE671"/>
      <c r="JF671"/>
      <c r="JG671"/>
      <c r="JH671"/>
      <c r="JI671"/>
      <c r="JJ671"/>
      <c r="JK671"/>
      <c r="JL671"/>
      <c r="JM671"/>
      <c r="JN671"/>
      <c r="JO671"/>
      <c r="JP671"/>
      <c r="JQ671"/>
      <c r="JR671"/>
      <c r="JS671"/>
      <c r="JT671"/>
      <c r="JU671"/>
      <c r="JV671"/>
      <c r="JW671"/>
      <c r="JX671"/>
      <c r="JY671"/>
      <c r="JZ671"/>
      <c r="KA671"/>
      <c r="KB671"/>
      <c r="KC671"/>
      <c r="KD671"/>
      <c r="KE671"/>
      <c r="KF671"/>
      <c r="KG671"/>
      <c r="KH671"/>
      <c r="KI671"/>
      <c r="KJ671"/>
      <c r="KK671"/>
      <c r="KL671"/>
      <c r="KM671"/>
      <c r="KN671"/>
      <c r="KO671"/>
      <c r="KP671"/>
      <c r="KQ671"/>
      <c r="KR671"/>
      <c r="KS671"/>
      <c r="KT671"/>
      <c r="KU671"/>
      <c r="KV671"/>
      <c r="KW671"/>
      <c r="KX671"/>
      <c r="KY671"/>
      <c r="KZ671"/>
      <c r="LA671"/>
      <c r="LB671"/>
      <c r="LC671"/>
      <c r="LD671"/>
      <c r="LE671"/>
      <c r="LF671"/>
      <c r="LG671"/>
      <c r="LH671"/>
      <c r="LI671"/>
      <c r="LJ671"/>
      <c r="LK671"/>
      <c r="LL671"/>
      <c r="LM671"/>
      <c r="LN671"/>
      <c r="LO671"/>
      <c r="LP671"/>
      <c r="LQ671"/>
      <c r="LR671"/>
      <c r="LS671"/>
      <c r="LT671"/>
      <c r="LU671"/>
      <c r="LV671"/>
      <c r="LW671"/>
      <c r="LX671"/>
      <c r="LY671"/>
      <c r="LZ671"/>
      <c r="MA671"/>
      <c r="MB671"/>
      <c r="MC671"/>
      <c r="MD671"/>
      <c r="ME671"/>
      <c r="MF671"/>
      <c r="MG671"/>
      <c r="MH671"/>
      <c r="MI671"/>
      <c r="MJ671"/>
      <c r="MK671"/>
      <c r="ML671"/>
      <c r="MM671"/>
      <c r="MN671"/>
      <c r="MO671"/>
      <c r="MP671"/>
      <c r="MQ671"/>
      <c r="MR671"/>
      <c r="MS671"/>
      <c r="MT671"/>
      <c r="MU671"/>
      <c r="MV671"/>
      <c r="MW671"/>
      <c r="MX671"/>
      <c r="MY671"/>
      <c r="MZ671"/>
      <c r="NA671"/>
      <c r="NB671"/>
      <c r="NC671"/>
      <c r="ND671"/>
      <c r="NE671"/>
      <c r="NF671"/>
      <c r="NG671"/>
      <c r="NH671"/>
      <c r="NI671"/>
      <c r="NJ671"/>
      <c r="NK671"/>
      <c r="NL671"/>
      <c r="NM671"/>
      <c r="NN671"/>
      <c r="NO671"/>
      <c r="NP671"/>
      <c r="NQ671"/>
      <c r="NR671"/>
      <c r="NS671"/>
      <c r="NT671"/>
      <c r="NU671"/>
      <c r="NV671"/>
      <c r="NW671"/>
      <c r="NX671"/>
      <c r="NY671"/>
      <c r="NZ671"/>
      <c r="OA671"/>
      <c r="OB671"/>
      <c r="OC671"/>
      <c r="OD671"/>
      <c r="OE671"/>
      <c r="OF671"/>
      <c r="OG671"/>
      <c r="OH671"/>
      <c r="OI671"/>
      <c r="OJ671"/>
      <c r="OK671"/>
      <c r="OL671"/>
      <c r="OM671"/>
      <c r="ON671"/>
      <c r="OO671"/>
      <c r="OP671"/>
      <c r="OQ671"/>
      <c r="OR671"/>
      <c r="OS671"/>
      <c r="OT671"/>
      <c r="OU671"/>
      <c r="OV671"/>
      <c r="OW671"/>
      <c r="OX671"/>
      <c r="OY671"/>
      <c r="OZ671"/>
      <c r="PA671"/>
      <c r="PB671"/>
      <c r="PC671"/>
      <c r="PD671"/>
      <c r="PE671"/>
      <c r="PF671"/>
      <c r="PG671"/>
      <c r="PH671"/>
      <c r="PI671"/>
      <c r="PJ671"/>
      <c r="PK671"/>
      <c r="PL671"/>
      <c r="PM671"/>
      <c r="PN671"/>
      <c r="PO671"/>
      <c r="PP671"/>
      <c r="PQ671"/>
      <c r="PR671"/>
      <c r="PS671"/>
      <c r="PT671"/>
      <c r="PU671"/>
      <c r="PV671"/>
      <c r="PW671"/>
      <c r="PX671"/>
      <c r="PY671"/>
      <c r="PZ671"/>
      <c r="QA671"/>
      <c r="QB671"/>
      <c r="QC671"/>
      <c r="QD671"/>
      <c r="QE671"/>
      <c r="QF671"/>
      <c r="QG671"/>
      <c r="QH671"/>
      <c r="QI671"/>
      <c r="QJ671"/>
      <c r="QK671"/>
      <c r="QL671"/>
      <c r="QM671"/>
      <c r="QN671"/>
      <c r="QO671"/>
      <c r="QP671"/>
      <c r="QQ671"/>
      <c r="QR671"/>
      <c r="QS671"/>
      <c r="QT671"/>
      <c r="QU671"/>
      <c r="QV671"/>
      <c r="QW671"/>
      <c r="QX671"/>
      <c r="QY671"/>
      <c r="QZ671"/>
      <c r="RA671"/>
      <c r="RB671"/>
      <c r="RC671"/>
      <c r="RD671"/>
      <c r="RE671"/>
      <c r="RF671"/>
      <c r="RG671"/>
      <c r="RH671"/>
      <c r="RI671"/>
      <c r="RJ671"/>
      <c r="RK671"/>
      <c r="RL671"/>
      <c r="RM671"/>
      <c r="RN671"/>
      <c r="RO671"/>
      <c r="RP671"/>
      <c r="RQ671"/>
      <c r="RR671"/>
      <c r="RS671"/>
      <c r="RT671"/>
      <c r="RU671"/>
      <c r="RV671"/>
      <c r="RW671"/>
      <c r="RX671"/>
      <c r="RY671"/>
      <c r="RZ671"/>
      <c r="SA671"/>
      <c r="SB671"/>
      <c r="SC671"/>
      <c r="SD671"/>
      <c r="SE671"/>
      <c r="SF671"/>
      <c r="SG671"/>
      <c r="SH671"/>
      <c r="SI671"/>
      <c r="SJ671"/>
      <c r="SK671"/>
      <c r="SL671"/>
      <c r="SM671"/>
      <c r="SN671"/>
      <c r="SO671"/>
      <c r="SP671"/>
      <c r="SQ671"/>
      <c r="SR671"/>
      <c r="SS671"/>
      <c r="ST671"/>
      <c r="SU671"/>
      <c r="SV671"/>
      <c r="SW671"/>
      <c r="SX671"/>
      <c r="SY671"/>
      <c r="SZ671"/>
      <c r="TA671"/>
      <c r="TB671"/>
      <c r="TC671"/>
      <c r="TD671"/>
      <c r="TE671"/>
      <c r="TF671"/>
      <c r="TG671"/>
      <c r="TH671"/>
      <c r="TI671"/>
      <c r="TJ671"/>
      <c r="TK671"/>
      <c r="TL671"/>
      <c r="TM671"/>
      <c r="TN671"/>
      <c r="TO671"/>
      <c r="TP671"/>
      <c r="TQ671"/>
      <c r="TR671"/>
      <c r="TS671"/>
      <c r="TT671"/>
      <c r="TU671"/>
      <c r="TV671"/>
      <c r="TW671"/>
      <c r="TX671"/>
      <c r="TY671"/>
      <c r="TZ671"/>
      <c r="UA671"/>
      <c r="UB671"/>
      <c r="UC671"/>
      <c r="UD671"/>
      <c r="UE671"/>
      <c r="UF671"/>
      <c r="UG671"/>
      <c r="UH671"/>
      <c r="UI671"/>
      <c r="UJ671"/>
      <c r="UK671"/>
      <c r="UL671"/>
      <c r="UM671"/>
      <c r="UN671"/>
      <c r="UO671"/>
      <c r="UP671"/>
      <c r="UQ671"/>
      <c r="UR671"/>
      <c r="US671"/>
      <c r="UT671"/>
      <c r="UU671"/>
      <c r="UV671"/>
      <c r="UW671"/>
      <c r="UX671"/>
      <c r="UY671"/>
      <c r="UZ671"/>
      <c r="VA671"/>
      <c r="VB671"/>
      <c r="VC671"/>
      <c r="VD671"/>
      <c r="VE671"/>
      <c r="VF671"/>
      <c r="VG671"/>
      <c r="VH671"/>
      <c r="VI671"/>
      <c r="VJ671"/>
      <c r="VK671"/>
      <c r="VL671"/>
      <c r="VM671"/>
      <c r="VN671"/>
      <c r="VO671"/>
      <c r="VP671"/>
      <c r="VQ671"/>
      <c r="VR671"/>
      <c r="VS671"/>
      <c r="VT671"/>
      <c r="VU671"/>
      <c r="VV671"/>
      <c r="VW671"/>
      <c r="VX671"/>
      <c r="VY671"/>
      <c r="VZ671"/>
      <c r="WA671"/>
      <c r="WB671"/>
      <c r="WC671"/>
      <c r="WD671"/>
      <c r="WE671"/>
      <c r="WF671"/>
      <c r="WG671"/>
      <c r="WH671"/>
      <c r="WI671"/>
      <c r="WJ671"/>
      <c r="WK671"/>
      <c r="WL671"/>
      <c r="WM671"/>
      <c r="WN671"/>
      <c r="WO671"/>
      <c r="WP671"/>
      <c r="WQ671"/>
      <c r="WR671"/>
      <c r="WS671"/>
      <c r="WT671"/>
      <c r="WU671"/>
      <c r="WV671"/>
      <c r="WW671"/>
      <c r="WX671"/>
      <c r="WY671"/>
      <c r="WZ671"/>
      <c r="XA671"/>
      <c r="XB671"/>
      <c r="XC671"/>
      <c r="XD671"/>
      <c r="XE671"/>
      <c r="XF671"/>
      <c r="XG671"/>
      <c r="XH671"/>
      <c r="XI671"/>
      <c r="XJ671"/>
      <c r="XK671"/>
      <c r="XL671"/>
      <c r="XM671"/>
      <c r="XN671"/>
      <c r="XO671"/>
      <c r="XP671"/>
      <c r="XQ671"/>
      <c r="XR671"/>
      <c r="XS671"/>
      <c r="XT671"/>
      <c r="XU671"/>
      <c r="XV671"/>
      <c r="XW671"/>
      <c r="XX671"/>
      <c r="XY671"/>
      <c r="XZ671"/>
      <c r="YA671"/>
      <c r="YB671"/>
      <c r="YC671"/>
      <c r="YD671"/>
      <c r="YE671"/>
      <c r="YF671"/>
      <c r="YG671"/>
      <c r="YH671"/>
      <c r="YI671"/>
      <c r="YJ671"/>
      <c r="YK671"/>
      <c r="YL671"/>
      <c r="YM671"/>
      <c r="YN671"/>
      <c r="YO671"/>
      <c r="YP671"/>
      <c r="YQ671"/>
      <c r="YR671"/>
      <c r="YS671"/>
      <c r="YT671"/>
      <c r="YU671"/>
      <c r="YV671"/>
      <c r="YW671"/>
      <c r="YX671"/>
      <c r="YY671"/>
      <c r="YZ671"/>
      <c r="ZA671"/>
      <c r="ZB671"/>
      <c r="ZC671"/>
      <c r="ZD671"/>
      <c r="ZE671"/>
      <c r="ZF671"/>
      <c r="ZG671"/>
      <c r="ZH671"/>
      <c r="ZI671"/>
      <c r="ZJ671"/>
      <c r="ZK671"/>
      <c r="ZL671"/>
      <c r="ZM671"/>
      <c r="ZN671"/>
      <c r="ZO671"/>
      <c r="ZP671"/>
      <c r="ZQ671"/>
      <c r="ZR671"/>
      <c r="ZS671"/>
      <c r="ZT671"/>
      <c r="ZU671"/>
      <c r="ZV671"/>
      <c r="ZW671"/>
      <c r="ZX671"/>
      <c r="ZY671"/>
      <c r="ZZ671" s="52"/>
      <c r="AAA671" s="192" t="s">
        <v>0</v>
      </c>
      <c r="AAB671" s="23" t="s">
        <v>0</v>
      </c>
      <c r="AAD671" s="90"/>
      <c r="AAE671" s="519">
        <f>IF(S.EQC.1on1Briefing="Y",1,0)</f>
        <v>1</v>
      </c>
      <c r="AAF671" s="90"/>
      <c r="AAG671" s="73">
        <f>IF(AAE671=0,,MAX(H651:H669))</f>
        <v>41676</v>
      </c>
      <c r="AAH671" s="73">
        <f>IF(AAE671=0,,S.EQC.SubmitStaffRpt)</f>
        <v>41676</v>
      </c>
      <c r="AAI671" s="72"/>
      <c r="AAJ671" s="185"/>
      <c r="AAK671" s="80" t="str">
        <f>"* discusses need for 1|1 briefings with commissioners with "&amp;S.Staff.Mgr&amp;" &amp; "&amp;S.Staff.DA</f>
        <v>* discusses need for 1|1 briefings with commissioners with MargaretMGR &amp; Andy</v>
      </c>
      <c r="AAL671" s="90"/>
    </row>
    <row r="672" spans="1:715" s="23" customFormat="1" ht="15" customHeight="1" outlineLevel="2">
      <c r="A672" s="171"/>
      <c r="B672" s="708" t="s">
        <v>381</v>
      </c>
      <c r="C672"/>
      <c r="D672"/>
      <c r="E672" s="763"/>
      <c r="F672" s="763"/>
      <c r="G672"/>
      <c r="H672"/>
      <c r="I672" s="244"/>
      <c r="J672" s="194"/>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49"/>
      <c r="BF672" s="49"/>
      <c r="BG672" s="49"/>
      <c r="BH672" s="49"/>
      <c r="BI672" s="49"/>
      <c r="BJ672" s="49"/>
      <c r="BK672" s="49"/>
      <c r="BL672" s="49"/>
      <c r="BM672" s="49"/>
      <c r="BN672" s="49"/>
      <c r="BO672" s="49"/>
      <c r="BP672" s="49"/>
      <c r="BQ672" s="49"/>
      <c r="BR672" s="49"/>
      <c r="BS672" s="49"/>
      <c r="BT672" s="49"/>
      <c r="BU672" s="49"/>
      <c r="BV672" s="49"/>
      <c r="BW672" s="49"/>
      <c r="BX672" s="49"/>
      <c r="BY672" s="49"/>
      <c r="BZ672" s="49"/>
      <c r="CA672" s="49"/>
      <c r="CB672" s="49"/>
      <c r="CC672" s="49"/>
      <c r="CD672" s="49"/>
      <c r="CE672" s="49"/>
      <c r="CF672" s="49"/>
      <c r="CG672" s="49"/>
      <c r="CH672" s="49"/>
      <c r="CI672" s="49"/>
      <c r="CJ672" s="49"/>
      <c r="CK672" s="49"/>
      <c r="CL672" s="49"/>
      <c r="CM672" s="49"/>
      <c r="CN672" s="49"/>
      <c r="CO672" s="49"/>
      <c r="CP672" s="49"/>
      <c r="CQ672" s="49"/>
      <c r="CR672" s="49"/>
      <c r="CS672" s="49"/>
      <c r="CT672" s="49"/>
      <c r="CU672" s="49"/>
      <c r="CV672" s="49"/>
      <c r="CW672" s="49"/>
      <c r="CX672" s="49"/>
      <c r="CY672" s="49"/>
      <c r="CZ672" s="49"/>
      <c r="DA672" s="49"/>
      <c r="DB672" s="49"/>
      <c r="DC672" s="49"/>
      <c r="DD672" s="49"/>
      <c r="DE672" s="49"/>
      <c r="DF672" s="49"/>
      <c r="DG672" s="49"/>
      <c r="DH672" s="49"/>
      <c r="DI672" s="49"/>
      <c r="DJ672" s="49"/>
      <c r="DK672" s="49"/>
      <c r="DL672" s="49"/>
      <c r="DM672" s="49"/>
      <c r="DN672" s="49"/>
      <c r="DO672" s="49"/>
      <c r="DP672" s="49"/>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c r="IW672"/>
      <c r="IX672"/>
      <c r="IY672"/>
      <c r="IZ672"/>
      <c r="JA672"/>
      <c r="JB672"/>
      <c r="JC672"/>
      <c r="JD672"/>
      <c r="JE672"/>
      <c r="JF672"/>
      <c r="JG672"/>
      <c r="JH672"/>
      <c r="JI672"/>
      <c r="JJ672"/>
      <c r="JK672"/>
      <c r="JL672"/>
      <c r="JM672"/>
      <c r="JN672"/>
      <c r="JO672"/>
      <c r="JP672"/>
      <c r="JQ672"/>
      <c r="JR672"/>
      <c r="JS672"/>
      <c r="JT672"/>
      <c r="JU672"/>
      <c r="JV672"/>
      <c r="JW672"/>
      <c r="JX672"/>
      <c r="JY672"/>
      <c r="JZ672"/>
      <c r="KA672"/>
      <c r="KB672"/>
      <c r="KC672"/>
      <c r="KD672"/>
      <c r="KE672"/>
      <c r="KF672"/>
      <c r="KG672"/>
      <c r="KH672"/>
      <c r="KI672"/>
      <c r="KJ672"/>
      <c r="KK672"/>
      <c r="KL672"/>
      <c r="KM672"/>
      <c r="KN672"/>
      <c r="KO672"/>
      <c r="KP672"/>
      <c r="KQ672"/>
      <c r="KR672"/>
      <c r="KS672"/>
      <c r="KT672"/>
      <c r="KU672"/>
      <c r="KV672"/>
      <c r="KW672"/>
      <c r="KX672"/>
      <c r="KY672"/>
      <c r="KZ672"/>
      <c r="LA672"/>
      <c r="LB672"/>
      <c r="LC672"/>
      <c r="LD672"/>
      <c r="LE672"/>
      <c r="LF672"/>
      <c r="LG672"/>
      <c r="LH672"/>
      <c r="LI672"/>
      <c r="LJ672"/>
      <c r="LK672"/>
      <c r="LL672"/>
      <c r="LM672"/>
      <c r="LN672"/>
      <c r="LO672"/>
      <c r="LP672"/>
      <c r="LQ672"/>
      <c r="LR672"/>
      <c r="LS672"/>
      <c r="LT672"/>
      <c r="LU672"/>
      <c r="LV672"/>
      <c r="LW672"/>
      <c r="LX672"/>
      <c r="LY672"/>
      <c r="LZ672"/>
      <c r="MA672"/>
      <c r="MB672"/>
      <c r="MC672"/>
      <c r="MD672"/>
      <c r="ME672"/>
      <c r="MF672"/>
      <c r="MG672"/>
      <c r="MH672"/>
      <c r="MI672"/>
      <c r="MJ672"/>
      <c r="MK672"/>
      <c r="ML672"/>
      <c r="MM672"/>
      <c r="MN672"/>
      <c r="MO672"/>
      <c r="MP672"/>
      <c r="MQ672"/>
      <c r="MR672"/>
      <c r="MS672"/>
      <c r="MT672"/>
      <c r="MU672"/>
      <c r="MV672"/>
      <c r="MW672"/>
      <c r="MX672"/>
      <c r="MY672"/>
      <c r="MZ672"/>
      <c r="NA672"/>
      <c r="NB672"/>
      <c r="NC672"/>
      <c r="ND672"/>
      <c r="NE672"/>
      <c r="NF672"/>
      <c r="NG672"/>
      <c r="NH672"/>
      <c r="NI672"/>
      <c r="NJ672"/>
      <c r="NK672"/>
      <c r="NL672"/>
      <c r="NM672"/>
      <c r="NN672"/>
      <c r="NO672"/>
      <c r="NP672"/>
      <c r="NQ672"/>
      <c r="NR672"/>
      <c r="NS672"/>
      <c r="NT672"/>
      <c r="NU672"/>
      <c r="NV672"/>
      <c r="NW672"/>
      <c r="NX672"/>
      <c r="NY672"/>
      <c r="NZ672"/>
      <c r="OA672"/>
      <c r="OB672"/>
      <c r="OC672"/>
      <c r="OD672"/>
      <c r="OE672"/>
      <c r="OF672"/>
      <c r="OG672"/>
      <c r="OH672"/>
      <c r="OI672"/>
      <c r="OJ672"/>
      <c r="OK672"/>
      <c r="OL672"/>
      <c r="OM672"/>
      <c r="ON672"/>
      <c r="OO672"/>
      <c r="OP672"/>
      <c r="OQ672"/>
      <c r="OR672"/>
      <c r="OS672"/>
      <c r="OT672"/>
      <c r="OU672"/>
      <c r="OV672"/>
      <c r="OW672"/>
      <c r="OX672"/>
      <c r="OY672"/>
      <c r="OZ672"/>
      <c r="PA672"/>
      <c r="PB672"/>
      <c r="PC672"/>
      <c r="PD672"/>
      <c r="PE672"/>
      <c r="PF672"/>
      <c r="PG672"/>
      <c r="PH672"/>
      <c r="PI672"/>
      <c r="PJ672"/>
      <c r="PK672"/>
      <c r="PL672"/>
      <c r="PM672"/>
      <c r="PN672"/>
      <c r="PO672"/>
      <c r="PP672"/>
      <c r="PQ672"/>
      <c r="PR672"/>
      <c r="PS672"/>
      <c r="PT672"/>
      <c r="PU672"/>
      <c r="PV672"/>
      <c r="PW672"/>
      <c r="PX672"/>
      <c r="PY672"/>
      <c r="PZ672"/>
      <c r="QA672"/>
      <c r="QB672"/>
      <c r="QC672"/>
      <c r="QD672"/>
      <c r="QE672"/>
      <c r="QF672"/>
      <c r="QG672"/>
      <c r="QH672"/>
      <c r="QI672"/>
      <c r="QJ672"/>
      <c r="QK672"/>
      <c r="QL672"/>
      <c r="QM672"/>
      <c r="QN672"/>
      <c r="QO672"/>
      <c r="QP672"/>
      <c r="QQ672"/>
      <c r="QR672"/>
      <c r="QS672"/>
      <c r="QT672"/>
      <c r="QU672"/>
      <c r="QV672"/>
      <c r="QW672"/>
      <c r="QX672"/>
      <c r="QY672"/>
      <c r="QZ672"/>
      <c r="RA672"/>
      <c r="RB672"/>
      <c r="RC672"/>
      <c r="RD672"/>
      <c r="RE672"/>
      <c r="RF672"/>
      <c r="RG672"/>
      <c r="RH672"/>
      <c r="RI672"/>
      <c r="RJ672"/>
      <c r="RK672"/>
      <c r="RL672"/>
      <c r="RM672"/>
      <c r="RN672"/>
      <c r="RO672"/>
      <c r="RP672"/>
      <c r="RQ672"/>
      <c r="RR672"/>
      <c r="RS672"/>
      <c r="RT672"/>
      <c r="RU672"/>
      <c r="RV672"/>
      <c r="RW672"/>
      <c r="RX672"/>
      <c r="RY672"/>
      <c r="RZ672"/>
      <c r="SA672"/>
      <c r="SB672"/>
      <c r="SC672"/>
      <c r="SD672"/>
      <c r="SE672"/>
      <c r="SF672"/>
      <c r="SG672"/>
      <c r="SH672"/>
      <c r="SI672"/>
      <c r="SJ672"/>
      <c r="SK672"/>
      <c r="SL672"/>
      <c r="SM672"/>
      <c r="SN672"/>
      <c r="SO672"/>
      <c r="SP672"/>
      <c r="SQ672"/>
      <c r="SR672"/>
      <c r="SS672"/>
      <c r="ST672"/>
      <c r="SU672"/>
      <c r="SV672"/>
      <c r="SW672"/>
      <c r="SX672"/>
      <c r="SY672"/>
      <c r="SZ672"/>
      <c r="TA672"/>
      <c r="TB672"/>
      <c r="TC672"/>
      <c r="TD672"/>
      <c r="TE672"/>
      <c r="TF672"/>
      <c r="TG672"/>
      <c r="TH672"/>
      <c r="TI672"/>
      <c r="TJ672"/>
      <c r="TK672"/>
      <c r="TL672"/>
      <c r="TM672"/>
      <c r="TN672"/>
      <c r="TO672"/>
      <c r="TP672"/>
      <c r="TQ672"/>
      <c r="TR672"/>
      <c r="TS672"/>
      <c r="TT672"/>
      <c r="TU672"/>
      <c r="TV672"/>
      <c r="TW672"/>
      <c r="TX672"/>
      <c r="TY672"/>
      <c r="TZ672"/>
      <c r="UA672"/>
      <c r="UB672"/>
      <c r="UC672"/>
      <c r="UD672"/>
      <c r="UE672"/>
      <c r="UF672"/>
      <c r="UG672"/>
      <c r="UH672"/>
      <c r="UI672"/>
      <c r="UJ672"/>
      <c r="UK672"/>
      <c r="UL672"/>
      <c r="UM672"/>
      <c r="UN672"/>
      <c r="UO672"/>
      <c r="UP672"/>
      <c r="UQ672"/>
      <c r="UR672"/>
      <c r="US672"/>
      <c r="UT672"/>
      <c r="UU672"/>
      <c r="UV672"/>
      <c r="UW672"/>
      <c r="UX672"/>
      <c r="UY672"/>
      <c r="UZ672"/>
      <c r="VA672"/>
      <c r="VB672"/>
      <c r="VC672"/>
      <c r="VD672"/>
      <c r="VE672"/>
      <c r="VF672"/>
      <c r="VG672"/>
      <c r="VH672"/>
      <c r="VI672"/>
      <c r="VJ672"/>
      <c r="VK672"/>
      <c r="VL672"/>
      <c r="VM672"/>
      <c r="VN672"/>
      <c r="VO672"/>
      <c r="VP672"/>
      <c r="VQ672"/>
      <c r="VR672"/>
      <c r="VS672"/>
      <c r="VT672"/>
      <c r="VU672"/>
      <c r="VV672"/>
      <c r="VW672"/>
      <c r="VX672"/>
      <c r="VY672"/>
      <c r="VZ672"/>
      <c r="WA672"/>
      <c r="WB672"/>
      <c r="WC672"/>
      <c r="WD672"/>
      <c r="WE672"/>
      <c r="WF672"/>
      <c r="WG672"/>
      <c r="WH672"/>
      <c r="WI672"/>
      <c r="WJ672"/>
      <c r="WK672"/>
      <c r="WL672"/>
      <c r="WM672"/>
      <c r="WN672"/>
      <c r="WO672"/>
      <c r="WP672"/>
      <c r="WQ672"/>
      <c r="WR672"/>
      <c r="WS672"/>
      <c r="WT672"/>
      <c r="WU672"/>
      <c r="WV672"/>
      <c r="WW672"/>
      <c r="WX672"/>
      <c r="WY672"/>
      <c r="WZ672"/>
      <c r="XA672"/>
      <c r="XB672"/>
      <c r="XC672"/>
      <c r="XD672"/>
      <c r="XE672"/>
      <c r="XF672"/>
      <c r="XG672"/>
      <c r="XH672"/>
      <c r="XI672"/>
      <c r="XJ672"/>
      <c r="XK672"/>
      <c r="XL672"/>
      <c r="XM672"/>
      <c r="XN672"/>
      <c r="XO672"/>
      <c r="XP672"/>
      <c r="XQ672"/>
      <c r="XR672"/>
      <c r="XS672"/>
      <c r="XT672"/>
      <c r="XU672"/>
      <c r="XV672"/>
      <c r="XW672"/>
      <c r="XX672"/>
      <c r="XY672"/>
      <c r="XZ672"/>
      <c r="YA672"/>
      <c r="YB672"/>
      <c r="YC672"/>
      <c r="YD672"/>
      <c r="YE672"/>
      <c r="YF672"/>
      <c r="YG672"/>
      <c r="YH672"/>
      <c r="YI672"/>
      <c r="YJ672"/>
      <c r="YK672"/>
      <c r="YL672"/>
      <c r="YM672"/>
      <c r="YN672"/>
      <c r="YO672"/>
      <c r="YP672"/>
      <c r="YQ672"/>
      <c r="YR672"/>
      <c r="YS672"/>
      <c r="YT672"/>
      <c r="YU672"/>
      <c r="YV672"/>
      <c r="YW672"/>
      <c r="YX672"/>
      <c r="YY672"/>
      <c r="YZ672"/>
      <c r="ZA672"/>
      <c r="ZB672"/>
      <c r="ZC672"/>
      <c r="ZD672"/>
      <c r="ZE672"/>
      <c r="ZF672"/>
      <c r="ZG672"/>
      <c r="ZH672"/>
      <c r="ZI672"/>
      <c r="ZJ672"/>
      <c r="ZK672"/>
      <c r="ZL672"/>
      <c r="ZM672"/>
      <c r="ZN672"/>
      <c r="ZO672"/>
      <c r="ZP672"/>
      <c r="ZQ672"/>
      <c r="ZR672"/>
      <c r="ZS672"/>
      <c r="ZT672"/>
      <c r="ZU672"/>
      <c r="ZV672"/>
      <c r="ZW672"/>
      <c r="ZX672"/>
      <c r="ZY672"/>
      <c r="ZZ672" s="52"/>
      <c r="AAA672" s="192"/>
      <c r="AAD672" s="90"/>
      <c r="AAE672" s="519">
        <f>IF(S.EQC.1on1Briefing="Y",1,0)</f>
        <v>1</v>
      </c>
      <c r="AAF672" s="90"/>
      <c r="AAG672" s="90"/>
      <c r="AAH672" s="90"/>
      <c r="AAI672" s="72"/>
      <c r="AAJ672" s="185"/>
      <c r="AAK672" s="56"/>
      <c r="AAL672" s="90"/>
    </row>
    <row r="673" spans="1:715" ht="15" customHeight="1" outlineLevel="2">
      <c r="A673" s="171"/>
      <c r="B673" s="286" t="s">
        <v>377</v>
      </c>
      <c r="C673"/>
      <c r="D673"/>
      <c r="E673" s="763"/>
      <c r="F673" s="763"/>
      <c r="G673"/>
      <c r="H673"/>
      <c r="I673" s="244"/>
      <c r="J673" s="194"/>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49"/>
      <c r="BF673" s="49"/>
      <c r="BG673" s="49"/>
      <c r="BH673" s="49"/>
      <c r="BI673" s="49"/>
      <c r="BJ673" s="49"/>
      <c r="BK673" s="49"/>
      <c r="BL673" s="49"/>
      <c r="BM673" s="49"/>
      <c r="BN673" s="49"/>
      <c r="BO673" s="49"/>
      <c r="BP673" s="49"/>
      <c r="BQ673" s="49"/>
      <c r="BR673" s="49"/>
      <c r="BS673" s="49"/>
      <c r="BT673" s="49"/>
      <c r="BU673" s="49"/>
      <c r="BV673" s="49"/>
      <c r="BW673" s="49"/>
      <c r="BX673" s="49"/>
      <c r="BY673" s="49"/>
      <c r="BZ673" s="49"/>
      <c r="CA673" s="49"/>
      <c r="CB673" s="49"/>
      <c r="CC673" s="49"/>
      <c r="CD673" s="49"/>
      <c r="CE673" s="49"/>
      <c r="CF673" s="49"/>
      <c r="CG673" s="49"/>
      <c r="CH673" s="49"/>
      <c r="CI673" s="49"/>
      <c r="CJ673" s="49"/>
      <c r="CK673" s="49"/>
      <c r="CL673" s="49"/>
      <c r="CM673" s="49"/>
      <c r="CN673" s="49"/>
      <c r="CO673" s="49"/>
      <c r="CP673" s="49"/>
      <c r="CQ673" s="49"/>
      <c r="CR673" s="49"/>
      <c r="CS673" s="49"/>
      <c r="CT673" s="49"/>
      <c r="CU673" s="49"/>
      <c r="CV673" s="49"/>
      <c r="CW673" s="49"/>
      <c r="CX673" s="49"/>
      <c r="CY673" s="49"/>
      <c r="CZ673" s="49"/>
      <c r="DA673" s="49"/>
      <c r="DB673" s="49"/>
      <c r="DC673" s="49"/>
      <c r="DD673" s="49"/>
      <c r="DE673" s="49"/>
      <c r="DF673" s="49"/>
      <c r="DG673" s="49"/>
      <c r="DH673" s="49"/>
      <c r="DI673" s="49"/>
      <c r="DJ673" s="49"/>
      <c r="DK673" s="49"/>
      <c r="DL673" s="49"/>
      <c r="DM673" s="49"/>
      <c r="DN673" s="49"/>
      <c r="DO673" s="49"/>
      <c r="DP673" s="49"/>
      <c r="AAA673" s="192"/>
      <c r="AAD673" s="90"/>
      <c r="AAE673" s="519">
        <v>1</v>
      </c>
      <c r="AAF673" s="190" t="s">
        <v>52</v>
      </c>
      <c r="AAG673" s="90"/>
      <c r="AAH673" s="90"/>
      <c r="AAI673" s="72"/>
      <c r="AAJ673" s="56"/>
      <c r="AAK673" s="56"/>
      <c r="AAL673" s="90"/>
      <c r="AAM673"/>
    </row>
    <row r="674" spans="1:715" s="23" customFormat="1" ht="15" customHeight="1" outlineLevel="2">
      <c r="A674" s="171"/>
      <c r="B674" s="714" t="str">
        <f>AAK674</f>
        <v>- MargaretMGR for lead manager approval</v>
      </c>
      <c r="C674" s="376" t="s">
        <v>0</v>
      </c>
      <c r="D674" s="423"/>
      <c r="E674" s="646">
        <f t="shared" ref="E674:E675" si="580">NETWORKDAYS(G674,H674,S.DDL_DEQClosed)</f>
        <v>70</v>
      </c>
      <c r="F674" s="457">
        <f t="shared" ref="F674:F675" ca="1" si="581">IF(YEAR(H674)&gt;2000,NETWORKDAYS(TODAY(),H674,S.DDL_DEQClosed),0)</f>
        <v>69</v>
      </c>
      <c r="G674" s="400">
        <f t="shared" ref="G674:G675" si="582">AAG674</f>
        <v>41572</v>
      </c>
      <c r="H674" s="400">
        <f t="shared" ref="H674:H675" si="583">AAH674</f>
        <v>41676</v>
      </c>
      <c r="I674" s="244"/>
      <c r="J674" s="194"/>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c r="BG674" s="49"/>
      <c r="BH674" s="49"/>
      <c r="BI674" s="49"/>
      <c r="BJ674" s="49"/>
      <c r="BK674" s="49"/>
      <c r="BL674" s="49"/>
      <c r="BM674" s="49"/>
      <c r="BN674" s="49"/>
      <c r="BO674" s="49"/>
      <c r="BP674" s="49"/>
      <c r="BQ674" s="49"/>
      <c r="BR674" s="49"/>
      <c r="BS674" s="49"/>
      <c r="BT674" s="49"/>
      <c r="BU674" s="49"/>
      <c r="BV674" s="49"/>
      <c r="BW674" s="49"/>
      <c r="BX674" s="49"/>
      <c r="BY674" s="49"/>
      <c r="BZ674" s="49"/>
      <c r="CA674" s="49"/>
      <c r="CB674" s="49"/>
      <c r="CC674" s="49"/>
      <c r="CD674" s="49"/>
      <c r="CE674" s="49"/>
      <c r="CF674" s="49"/>
      <c r="CG674" s="49"/>
      <c r="CH674" s="49"/>
      <c r="CI674" s="49"/>
      <c r="CJ674" s="49"/>
      <c r="CK674" s="49"/>
      <c r="CL674" s="49"/>
      <c r="CM674" s="49"/>
      <c r="CN674" s="49"/>
      <c r="CO674" s="49"/>
      <c r="CP674" s="49"/>
      <c r="CQ674" s="49"/>
      <c r="CR674" s="49"/>
      <c r="CS674" s="49"/>
      <c r="CT674" s="49"/>
      <c r="CU674" s="49"/>
      <c r="CV674" s="49"/>
      <c r="CW674" s="49"/>
      <c r="CX674" s="49"/>
      <c r="CY674" s="49"/>
      <c r="CZ674" s="49"/>
      <c r="DA674" s="49"/>
      <c r="DB674" s="49"/>
      <c r="DC674" s="49"/>
      <c r="DD674" s="49"/>
      <c r="DE674" s="49"/>
      <c r="DF674" s="49"/>
      <c r="DG674" s="49"/>
      <c r="DH674" s="49"/>
      <c r="DI674" s="49"/>
      <c r="DJ674" s="49"/>
      <c r="DK674" s="49"/>
      <c r="DL674" s="49"/>
      <c r="DM674" s="49"/>
      <c r="DN674" s="49"/>
      <c r="DO674" s="49"/>
      <c r="DP674" s="49"/>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c r="IW674"/>
      <c r="IX674"/>
      <c r="IY674"/>
      <c r="IZ674"/>
      <c r="JA674"/>
      <c r="JB674"/>
      <c r="JC674"/>
      <c r="JD674"/>
      <c r="JE674"/>
      <c r="JF674"/>
      <c r="JG674"/>
      <c r="JH674"/>
      <c r="JI674"/>
      <c r="JJ674"/>
      <c r="JK674"/>
      <c r="JL674"/>
      <c r="JM674"/>
      <c r="JN674"/>
      <c r="JO674"/>
      <c r="JP674"/>
      <c r="JQ674"/>
      <c r="JR674"/>
      <c r="JS674"/>
      <c r="JT674"/>
      <c r="JU674"/>
      <c r="JV674"/>
      <c r="JW674"/>
      <c r="JX674"/>
      <c r="JY674"/>
      <c r="JZ674"/>
      <c r="KA674"/>
      <c r="KB674"/>
      <c r="KC674"/>
      <c r="KD674"/>
      <c r="KE674"/>
      <c r="KF674"/>
      <c r="KG674"/>
      <c r="KH674"/>
      <c r="KI674"/>
      <c r="KJ674"/>
      <c r="KK674"/>
      <c r="KL674"/>
      <c r="KM674"/>
      <c r="KN674"/>
      <c r="KO674"/>
      <c r="KP674"/>
      <c r="KQ674"/>
      <c r="KR674"/>
      <c r="KS674"/>
      <c r="KT674"/>
      <c r="KU674"/>
      <c r="KV674"/>
      <c r="KW674"/>
      <c r="KX674"/>
      <c r="KY674"/>
      <c r="KZ674"/>
      <c r="LA674"/>
      <c r="LB674"/>
      <c r="LC674"/>
      <c r="LD674"/>
      <c r="LE674"/>
      <c r="LF674"/>
      <c r="LG674"/>
      <c r="LH674"/>
      <c r="LI674"/>
      <c r="LJ674"/>
      <c r="LK674"/>
      <c r="LL674"/>
      <c r="LM674"/>
      <c r="LN674"/>
      <c r="LO674"/>
      <c r="LP674"/>
      <c r="LQ674"/>
      <c r="LR674"/>
      <c r="LS674"/>
      <c r="LT674"/>
      <c r="LU674"/>
      <c r="LV674"/>
      <c r="LW674"/>
      <c r="LX674"/>
      <c r="LY674"/>
      <c r="LZ674"/>
      <c r="MA674"/>
      <c r="MB674"/>
      <c r="MC674"/>
      <c r="MD674"/>
      <c r="ME674"/>
      <c r="MF674"/>
      <c r="MG674"/>
      <c r="MH674"/>
      <c r="MI674"/>
      <c r="MJ674"/>
      <c r="MK674"/>
      <c r="ML674"/>
      <c r="MM674"/>
      <c r="MN674"/>
      <c r="MO674"/>
      <c r="MP674"/>
      <c r="MQ674"/>
      <c r="MR674"/>
      <c r="MS674"/>
      <c r="MT674"/>
      <c r="MU674"/>
      <c r="MV674"/>
      <c r="MW674"/>
      <c r="MX674"/>
      <c r="MY674"/>
      <c r="MZ674"/>
      <c r="NA674"/>
      <c r="NB674"/>
      <c r="NC674"/>
      <c r="ND674"/>
      <c r="NE674"/>
      <c r="NF674"/>
      <c r="NG674"/>
      <c r="NH674"/>
      <c r="NI674"/>
      <c r="NJ674"/>
      <c r="NK674"/>
      <c r="NL674"/>
      <c r="NM674"/>
      <c r="NN674"/>
      <c r="NO674"/>
      <c r="NP674"/>
      <c r="NQ674"/>
      <c r="NR674"/>
      <c r="NS674"/>
      <c r="NT674"/>
      <c r="NU674"/>
      <c r="NV674"/>
      <c r="NW674"/>
      <c r="NX674"/>
      <c r="NY674"/>
      <c r="NZ674"/>
      <c r="OA674"/>
      <c r="OB674"/>
      <c r="OC674"/>
      <c r="OD674"/>
      <c r="OE674"/>
      <c r="OF674"/>
      <c r="OG674"/>
      <c r="OH674"/>
      <c r="OI674"/>
      <c r="OJ674"/>
      <c r="OK674"/>
      <c r="OL674"/>
      <c r="OM674"/>
      <c r="ON674"/>
      <c r="OO674"/>
      <c r="OP674"/>
      <c r="OQ674"/>
      <c r="OR674"/>
      <c r="OS674"/>
      <c r="OT674"/>
      <c r="OU674"/>
      <c r="OV674"/>
      <c r="OW674"/>
      <c r="OX674"/>
      <c r="OY674"/>
      <c r="OZ674"/>
      <c r="PA674"/>
      <c r="PB674"/>
      <c r="PC674"/>
      <c r="PD674"/>
      <c r="PE674"/>
      <c r="PF674"/>
      <c r="PG674"/>
      <c r="PH674"/>
      <c r="PI674"/>
      <c r="PJ674"/>
      <c r="PK674"/>
      <c r="PL674"/>
      <c r="PM674"/>
      <c r="PN674"/>
      <c r="PO674"/>
      <c r="PP674"/>
      <c r="PQ674"/>
      <c r="PR674"/>
      <c r="PS674"/>
      <c r="PT674"/>
      <c r="PU674"/>
      <c r="PV674"/>
      <c r="PW674"/>
      <c r="PX674"/>
      <c r="PY674"/>
      <c r="PZ674"/>
      <c r="QA674"/>
      <c r="QB674"/>
      <c r="QC674"/>
      <c r="QD674"/>
      <c r="QE674"/>
      <c r="QF674"/>
      <c r="QG674"/>
      <c r="QH674"/>
      <c r="QI674"/>
      <c r="QJ674"/>
      <c r="QK674"/>
      <c r="QL674"/>
      <c r="QM674"/>
      <c r="QN674"/>
      <c r="QO674"/>
      <c r="QP674"/>
      <c r="QQ674"/>
      <c r="QR674"/>
      <c r="QS674"/>
      <c r="QT674"/>
      <c r="QU674"/>
      <c r="QV674"/>
      <c r="QW674"/>
      <c r="QX674"/>
      <c r="QY674"/>
      <c r="QZ674"/>
      <c r="RA674"/>
      <c r="RB674"/>
      <c r="RC674"/>
      <c r="RD674"/>
      <c r="RE674"/>
      <c r="RF674"/>
      <c r="RG674"/>
      <c r="RH674"/>
      <c r="RI674"/>
      <c r="RJ674"/>
      <c r="RK674"/>
      <c r="RL674"/>
      <c r="RM674"/>
      <c r="RN674"/>
      <c r="RO674"/>
      <c r="RP674"/>
      <c r="RQ674"/>
      <c r="RR674"/>
      <c r="RS674"/>
      <c r="RT674"/>
      <c r="RU674"/>
      <c r="RV674"/>
      <c r="RW674"/>
      <c r="RX674"/>
      <c r="RY674"/>
      <c r="RZ674"/>
      <c r="SA674"/>
      <c r="SB674"/>
      <c r="SC674"/>
      <c r="SD674"/>
      <c r="SE674"/>
      <c r="SF674"/>
      <c r="SG674"/>
      <c r="SH674"/>
      <c r="SI674"/>
      <c r="SJ674"/>
      <c r="SK674"/>
      <c r="SL674"/>
      <c r="SM674"/>
      <c r="SN674"/>
      <c r="SO674"/>
      <c r="SP674"/>
      <c r="SQ674"/>
      <c r="SR674"/>
      <c r="SS674"/>
      <c r="ST674"/>
      <c r="SU674"/>
      <c r="SV674"/>
      <c r="SW674"/>
      <c r="SX674"/>
      <c r="SY674"/>
      <c r="SZ674"/>
      <c r="TA674"/>
      <c r="TB674"/>
      <c r="TC674"/>
      <c r="TD674"/>
      <c r="TE674"/>
      <c r="TF674"/>
      <c r="TG674"/>
      <c r="TH674"/>
      <c r="TI674"/>
      <c r="TJ674"/>
      <c r="TK674"/>
      <c r="TL674"/>
      <c r="TM674"/>
      <c r="TN674"/>
      <c r="TO674"/>
      <c r="TP674"/>
      <c r="TQ674"/>
      <c r="TR674"/>
      <c r="TS674"/>
      <c r="TT674"/>
      <c r="TU674"/>
      <c r="TV674"/>
      <c r="TW674"/>
      <c r="TX674"/>
      <c r="TY674"/>
      <c r="TZ674"/>
      <c r="UA674"/>
      <c r="UB674"/>
      <c r="UC674"/>
      <c r="UD674"/>
      <c r="UE674"/>
      <c r="UF674"/>
      <c r="UG674"/>
      <c r="UH674"/>
      <c r="UI674"/>
      <c r="UJ674"/>
      <c r="UK674"/>
      <c r="UL674"/>
      <c r="UM674"/>
      <c r="UN674"/>
      <c r="UO674"/>
      <c r="UP674"/>
      <c r="UQ674"/>
      <c r="UR674"/>
      <c r="US674"/>
      <c r="UT674"/>
      <c r="UU674"/>
      <c r="UV674"/>
      <c r="UW674"/>
      <c r="UX674"/>
      <c r="UY674"/>
      <c r="UZ674"/>
      <c r="VA674"/>
      <c r="VB674"/>
      <c r="VC674"/>
      <c r="VD674"/>
      <c r="VE674"/>
      <c r="VF674"/>
      <c r="VG674"/>
      <c r="VH674"/>
      <c r="VI674"/>
      <c r="VJ674"/>
      <c r="VK674"/>
      <c r="VL674"/>
      <c r="VM674"/>
      <c r="VN674"/>
      <c r="VO674"/>
      <c r="VP674"/>
      <c r="VQ674"/>
      <c r="VR674"/>
      <c r="VS674"/>
      <c r="VT674"/>
      <c r="VU674"/>
      <c r="VV674"/>
      <c r="VW674"/>
      <c r="VX674"/>
      <c r="VY674"/>
      <c r="VZ674"/>
      <c r="WA674"/>
      <c r="WB674"/>
      <c r="WC674"/>
      <c r="WD674"/>
      <c r="WE674"/>
      <c r="WF674"/>
      <c r="WG674"/>
      <c r="WH674"/>
      <c r="WI674"/>
      <c r="WJ674"/>
      <c r="WK674"/>
      <c r="WL674"/>
      <c r="WM674"/>
      <c r="WN674"/>
      <c r="WO674"/>
      <c r="WP674"/>
      <c r="WQ674"/>
      <c r="WR674"/>
      <c r="WS674"/>
      <c r="WT674"/>
      <c r="WU674"/>
      <c r="WV674"/>
      <c r="WW674"/>
      <c r="WX674"/>
      <c r="WY674"/>
      <c r="WZ674"/>
      <c r="XA674"/>
      <c r="XB674"/>
      <c r="XC674"/>
      <c r="XD674"/>
      <c r="XE674"/>
      <c r="XF674"/>
      <c r="XG674"/>
      <c r="XH674"/>
      <c r="XI674"/>
      <c r="XJ674"/>
      <c r="XK674"/>
      <c r="XL674"/>
      <c r="XM674"/>
      <c r="XN674"/>
      <c r="XO674"/>
      <c r="XP674"/>
      <c r="XQ674"/>
      <c r="XR674"/>
      <c r="XS674"/>
      <c r="XT674"/>
      <c r="XU674"/>
      <c r="XV674"/>
      <c r="XW674"/>
      <c r="XX674"/>
      <c r="XY674"/>
      <c r="XZ674"/>
      <c r="YA674"/>
      <c r="YB674"/>
      <c r="YC674"/>
      <c r="YD674"/>
      <c r="YE674"/>
      <c r="YF674"/>
      <c r="YG674"/>
      <c r="YH674"/>
      <c r="YI674"/>
      <c r="YJ674"/>
      <c r="YK674"/>
      <c r="YL674"/>
      <c r="YM674"/>
      <c r="YN674"/>
      <c r="YO674"/>
      <c r="YP674"/>
      <c r="YQ674"/>
      <c r="YR674"/>
      <c r="YS674"/>
      <c r="YT674"/>
      <c r="YU674"/>
      <c r="YV674"/>
      <c r="YW674"/>
      <c r="YX674"/>
      <c r="YY674"/>
      <c r="YZ674"/>
      <c r="ZA674"/>
      <c r="ZB674"/>
      <c r="ZC674"/>
      <c r="ZD674"/>
      <c r="ZE674"/>
      <c r="ZF674"/>
      <c r="ZG674"/>
      <c r="ZH674"/>
      <c r="ZI674"/>
      <c r="ZJ674"/>
      <c r="ZK674"/>
      <c r="ZL674"/>
      <c r="ZM674"/>
      <c r="ZN674"/>
      <c r="ZO674"/>
      <c r="ZP674"/>
      <c r="ZQ674"/>
      <c r="ZR674"/>
      <c r="ZS674"/>
      <c r="ZT674"/>
      <c r="ZU674"/>
      <c r="ZV674"/>
      <c r="ZW674"/>
      <c r="ZX674"/>
      <c r="ZY674"/>
      <c r="ZZ674" s="52"/>
      <c r="AAA674" s="192"/>
      <c r="AAD674" s="90"/>
      <c r="AAE674" s="519">
        <v>1</v>
      </c>
      <c r="AAF674" s="90"/>
      <c r="AAG674" s="73">
        <f>S.EQC.BANNER.Begin</f>
        <v>41572</v>
      </c>
      <c r="AAH674" s="73">
        <f t="shared" si="545"/>
        <v>41676</v>
      </c>
      <c r="AAI674" s="72"/>
      <c r="AAJ674" s="185"/>
      <c r="AAK674" s="80" t="str">
        <f>"- "&amp;S.Staff.Mgr&amp;" for lead manager approval"</f>
        <v>- MargaretMGR for lead manager approval</v>
      </c>
      <c r="AAL674" s="90"/>
    </row>
    <row r="675" spans="1:715" s="23" customFormat="1" ht="15" customHeight="1" outlineLevel="2" thickBot="1">
      <c r="A675" s="171"/>
      <c r="B675" s="714" t="str">
        <f>AAK675</f>
        <v>- Andy for division administrator approval</v>
      </c>
      <c r="C675" s="376" t="s">
        <v>0</v>
      </c>
      <c r="D675" s="423"/>
      <c r="E675" s="646">
        <f t="shared" si="580"/>
        <v>70</v>
      </c>
      <c r="F675" s="457">
        <f t="shared" ca="1" si="581"/>
        <v>69</v>
      </c>
      <c r="G675" s="400">
        <f t="shared" si="582"/>
        <v>41572</v>
      </c>
      <c r="H675" s="400">
        <f t="shared" si="583"/>
        <v>41676</v>
      </c>
      <c r="I675" s="244"/>
      <c r="J675" s="194"/>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c r="BG675" s="49"/>
      <c r="BH675" s="49"/>
      <c r="BI675" s="49"/>
      <c r="BJ675" s="49"/>
      <c r="BK675" s="49"/>
      <c r="BL675" s="49"/>
      <c r="BM675" s="49"/>
      <c r="BN675" s="49"/>
      <c r="BO675" s="49"/>
      <c r="BP675" s="49"/>
      <c r="BQ675" s="49"/>
      <c r="BR675" s="49"/>
      <c r="BS675" s="49"/>
      <c r="BT675" s="49"/>
      <c r="BU675" s="49"/>
      <c r="BV675" s="49"/>
      <c r="BW675" s="49"/>
      <c r="BX675" s="49"/>
      <c r="BY675" s="49"/>
      <c r="BZ675" s="49"/>
      <c r="CA675" s="49"/>
      <c r="CB675" s="49"/>
      <c r="CC675" s="49"/>
      <c r="CD675" s="49"/>
      <c r="CE675" s="49"/>
      <c r="CF675" s="49"/>
      <c r="CG675" s="49"/>
      <c r="CH675" s="49"/>
      <c r="CI675" s="49"/>
      <c r="CJ675" s="49"/>
      <c r="CK675" s="49"/>
      <c r="CL675" s="49"/>
      <c r="CM675" s="49"/>
      <c r="CN675" s="49"/>
      <c r="CO675" s="49"/>
      <c r="CP675" s="49"/>
      <c r="CQ675" s="49"/>
      <c r="CR675" s="49"/>
      <c r="CS675" s="49"/>
      <c r="CT675" s="49"/>
      <c r="CU675" s="49"/>
      <c r="CV675" s="49"/>
      <c r="CW675" s="49"/>
      <c r="CX675" s="49"/>
      <c r="CY675" s="49"/>
      <c r="CZ675" s="49"/>
      <c r="DA675" s="49"/>
      <c r="DB675" s="49"/>
      <c r="DC675" s="49"/>
      <c r="DD675" s="49"/>
      <c r="DE675" s="49"/>
      <c r="DF675" s="49"/>
      <c r="DG675" s="49"/>
      <c r="DH675" s="49"/>
      <c r="DI675" s="49"/>
      <c r="DJ675" s="49"/>
      <c r="DK675" s="49"/>
      <c r="DL675" s="49"/>
      <c r="DM675" s="49"/>
      <c r="DN675" s="49"/>
      <c r="DO675" s="49"/>
      <c r="DP675" s="49"/>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c r="IW675"/>
      <c r="IX675"/>
      <c r="IY675"/>
      <c r="IZ675"/>
      <c r="JA675"/>
      <c r="JB675"/>
      <c r="JC675"/>
      <c r="JD675"/>
      <c r="JE675"/>
      <c r="JF675"/>
      <c r="JG675"/>
      <c r="JH675"/>
      <c r="JI675"/>
      <c r="JJ675"/>
      <c r="JK675"/>
      <c r="JL675"/>
      <c r="JM675"/>
      <c r="JN675"/>
      <c r="JO675"/>
      <c r="JP675"/>
      <c r="JQ675"/>
      <c r="JR675"/>
      <c r="JS675"/>
      <c r="JT675"/>
      <c r="JU675"/>
      <c r="JV675"/>
      <c r="JW675"/>
      <c r="JX675"/>
      <c r="JY675"/>
      <c r="JZ675"/>
      <c r="KA675"/>
      <c r="KB675"/>
      <c r="KC675"/>
      <c r="KD675"/>
      <c r="KE675"/>
      <c r="KF675"/>
      <c r="KG675"/>
      <c r="KH675"/>
      <c r="KI675"/>
      <c r="KJ675"/>
      <c r="KK675"/>
      <c r="KL675"/>
      <c r="KM675"/>
      <c r="KN675"/>
      <c r="KO675"/>
      <c r="KP675"/>
      <c r="KQ675"/>
      <c r="KR675"/>
      <c r="KS675"/>
      <c r="KT675"/>
      <c r="KU675"/>
      <c r="KV675"/>
      <c r="KW675"/>
      <c r="KX675"/>
      <c r="KY675"/>
      <c r="KZ675"/>
      <c r="LA675"/>
      <c r="LB675"/>
      <c r="LC675"/>
      <c r="LD675"/>
      <c r="LE675"/>
      <c r="LF675"/>
      <c r="LG675"/>
      <c r="LH675"/>
      <c r="LI675"/>
      <c r="LJ675"/>
      <c r="LK675"/>
      <c r="LL675"/>
      <c r="LM675"/>
      <c r="LN675"/>
      <c r="LO675"/>
      <c r="LP675"/>
      <c r="LQ675"/>
      <c r="LR675"/>
      <c r="LS675"/>
      <c r="LT675"/>
      <c r="LU675"/>
      <c r="LV675"/>
      <c r="LW675"/>
      <c r="LX675"/>
      <c r="LY675"/>
      <c r="LZ675"/>
      <c r="MA675"/>
      <c r="MB675"/>
      <c r="MC675"/>
      <c r="MD675"/>
      <c r="ME675"/>
      <c r="MF675"/>
      <c r="MG675"/>
      <c r="MH675"/>
      <c r="MI675"/>
      <c r="MJ675"/>
      <c r="MK675"/>
      <c r="ML675"/>
      <c r="MM675"/>
      <c r="MN675"/>
      <c r="MO675"/>
      <c r="MP675"/>
      <c r="MQ675"/>
      <c r="MR675"/>
      <c r="MS675"/>
      <c r="MT675"/>
      <c r="MU675"/>
      <c r="MV675"/>
      <c r="MW675"/>
      <c r="MX675"/>
      <c r="MY675"/>
      <c r="MZ675"/>
      <c r="NA675"/>
      <c r="NB675"/>
      <c r="NC675"/>
      <c r="ND675"/>
      <c r="NE675"/>
      <c r="NF675"/>
      <c r="NG675"/>
      <c r="NH675"/>
      <c r="NI675"/>
      <c r="NJ675"/>
      <c r="NK675"/>
      <c r="NL675"/>
      <c r="NM675"/>
      <c r="NN675"/>
      <c r="NO675"/>
      <c r="NP675"/>
      <c r="NQ675"/>
      <c r="NR675"/>
      <c r="NS675"/>
      <c r="NT675"/>
      <c r="NU675"/>
      <c r="NV675"/>
      <c r="NW675"/>
      <c r="NX675"/>
      <c r="NY675"/>
      <c r="NZ675"/>
      <c r="OA675"/>
      <c r="OB675"/>
      <c r="OC675"/>
      <c r="OD675"/>
      <c r="OE675"/>
      <c r="OF675"/>
      <c r="OG675"/>
      <c r="OH675"/>
      <c r="OI675"/>
      <c r="OJ675"/>
      <c r="OK675"/>
      <c r="OL675"/>
      <c r="OM675"/>
      <c r="ON675"/>
      <c r="OO675"/>
      <c r="OP675"/>
      <c r="OQ675"/>
      <c r="OR675"/>
      <c r="OS675"/>
      <c r="OT675"/>
      <c r="OU675"/>
      <c r="OV675"/>
      <c r="OW675"/>
      <c r="OX675"/>
      <c r="OY675"/>
      <c r="OZ675"/>
      <c r="PA675"/>
      <c r="PB675"/>
      <c r="PC675"/>
      <c r="PD675"/>
      <c r="PE675"/>
      <c r="PF675"/>
      <c r="PG675"/>
      <c r="PH675"/>
      <c r="PI675"/>
      <c r="PJ675"/>
      <c r="PK675"/>
      <c r="PL675"/>
      <c r="PM675"/>
      <c r="PN675"/>
      <c r="PO675"/>
      <c r="PP675"/>
      <c r="PQ675"/>
      <c r="PR675"/>
      <c r="PS675"/>
      <c r="PT675"/>
      <c r="PU675"/>
      <c r="PV675"/>
      <c r="PW675"/>
      <c r="PX675"/>
      <c r="PY675"/>
      <c r="PZ675"/>
      <c r="QA675"/>
      <c r="QB675"/>
      <c r="QC675"/>
      <c r="QD675"/>
      <c r="QE675"/>
      <c r="QF675"/>
      <c r="QG675"/>
      <c r="QH675"/>
      <c r="QI675"/>
      <c r="QJ675"/>
      <c r="QK675"/>
      <c r="QL675"/>
      <c r="QM675"/>
      <c r="QN675"/>
      <c r="QO675"/>
      <c r="QP675"/>
      <c r="QQ675"/>
      <c r="QR675"/>
      <c r="QS675"/>
      <c r="QT675"/>
      <c r="QU675"/>
      <c r="QV675"/>
      <c r="QW675"/>
      <c r="QX675"/>
      <c r="QY675"/>
      <c r="QZ675"/>
      <c r="RA675"/>
      <c r="RB675"/>
      <c r="RC675"/>
      <c r="RD675"/>
      <c r="RE675"/>
      <c r="RF675"/>
      <c r="RG675"/>
      <c r="RH675"/>
      <c r="RI675"/>
      <c r="RJ675"/>
      <c r="RK675"/>
      <c r="RL675"/>
      <c r="RM675"/>
      <c r="RN675"/>
      <c r="RO675"/>
      <c r="RP675"/>
      <c r="RQ675"/>
      <c r="RR675"/>
      <c r="RS675"/>
      <c r="RT675"/>
      <c r="RU675"/>
      <c r="RV675"/>
      <c r="RW675"/>
      <c r="RX675"/>
      <c r="RY675"/>
      <c r="RZ675"/>
      <c r="SA675"/>
      <c r="SB675"/>
      <c r="SC675"/>
      <c r="SD675"/>
      <c r="SE675"/>
      <c r="SF675"/>
      <c r="SG675"/>
      <c r="SH675"/>
      <c r="SI675"/>
      <c r="SJ675"/>
      <c r="SK675"/>
      <c r="SL675"/>
      <c r="SM675"/>
      <c r="SN675"/>
      <c r="SO675"/>
      <c r="SP675"/>
      <c r="SQ675"/>
      <c r="SR675"/>
      <c r="SS675"/>
      <c r="ST675"/>
      <c r="SU675"/>
      <c r="SV675"/>
      <c r="SW675"/>
      <c r="SX675"/>
      <c r="SY675"/>
      <c r="SZ675"/>
      <c r="TA675"/>
      <c r="TB675"/>
      <c r="TC675"/>
      <c r="TD675"/>
      <c r="TE675"/>
      <c r="TF675"/>
      <c r="TG675"/>
      <c r="TH675"/>
      <c r="TI675"/>
      <c r="TJ675"/>
      <c r="TK675"/>
      <c r="TL675"/>
      <c r="TM675"/>
      <c r="TN675"/>
      <c r="TO675"/>
      <c r="TP675"/>
      <c r="TQ675"/>
      <c r="TR675"/>
      <c r="TS675"/>
      <c r="TT675"/>
      <c r="TU675"/>
      <c r="TV675"/>
      <c r="TW675"/>
      <c r="TX675"/>
      <c r="TY675"/>
      <c r="TZ675"/>
      <c r="UA675"/>
      <c r="UB675"/>
      <c r="UC675"/>
      <c r="UD675"/>
      <c r="UE675"/>
      <c r="UF675"/>
      <c r="UG675"/>
      <c r="UH675"/>
      <c r="UI675"/>
      <c r="UJ675"/>
      <c r="UK675"/>
      <c r="UL675"/>
      <c r="UM675"/>
      <c r="UN675"/>
      <c r="UO675"/>
      <c r="UP675"/>
      <c r="UQ675"/>
      <c r="UR675"/>
      <c r="US675"/>
      <c r="UT675"/>
      <c r="UU675"/>
      <c r="UV675"/>
      <c r="UW675"/>
      <c r="UX675"/>
      <c r="UY675"/>
      <c r="UZ675"/>
      <c r="VA675"/>
      <c r="VB675"/>
      <c r="VC675"/>
      <c r="VD675"/>
      <c r="VE675"/>
      <c r="VF675"/>
      <c r="VG675"/>
      <c r="VH675"/>
      <c r="VI675"/>
      <c r="VJ675"/>
      <c r="VK675"/>
      <c r="VL675"/>
      <c r="VM675"/>
      <c r="VN675"/>
      <c r="VO675"/>
      <c r="VP675"/>
      <c r="VQ675"/>
      <c r="VR675"/>
      <c r="VS675"/>
      <c r="VT675"/>
      <c r="VU675"/>
      <c r="VV675"/>
      <c r="VW675"/>
      <c r="VX675"/>
      <c r="VY675"/>
      <c r="VZ675"/>
      <c r="WA675"/>
      <c r="WB675"/>
      <c r="WC675"/>
      <c r="WD675"/>
      <c r="WE675"/>
      <c r="WF675"/>
      <c r="WG675"/>
      <c r="WH675"/>
      <c r="WI675"/>
      <c r="WJ675"/>
      <c r="WK675"/>
      <c r="WL675"/>
      <c r="WM675"/>
      <c r="WN675"/>
      <c r="WO675"/>
      <c r="WP675"/>
      <c r="WQ675"/>
      <c r="WR675"/>
      <c r="WS675"/>
      <c r="WT675"/>
      <c r="WU675"/>
      <c r="WV675"/>
      <c r="WW675"/>
      <c r="WX675"/>
      <c r="WY675"/>
      <c r="WZ675"/>
      <c r="XA675"/>
      <c r="XB675"/>
      <c r="XC675"/>
      <c r="XD675"/>
      <c r="XE675"/>
      <c r="XF675"/>
      <c r="XG675"/>
      <c r="XH675"/>
      <c r="XI675"/>
      <c r="XJ675"/>
      <c r="XK675"/>
      <c r="XL675"/>
      <c r="XM675"/>
      <c r="XN675"/>
      <c r="XO675"/>
      <c r="XP675"/>
      <c r="XQ675"/>
      <c r="XR675"/>
      <c r="XS675"/>
      <c r="XT675"/>
      <c r="XU675"/>
      <c r="XV675"/>
      <c r="XW675"/>
      <c r="XX675"/>
      <c r="XY675"/>
      <c r="XZ675"/>
      <c r="YA675"/>
      <c r="YB675"/>
      <c r="YC675"/>
      <c r="YD675"/>
      <c r="YE675"/>
      <c r="YF675"/>
      <c r="YG675"/>
      <c r="YH675"/>
      <c r="YI675"/>
      <c r="YJ675"/>
      <c r="YK675"/>
      <c r="YL675"/>
      <c r="YM675"/>
      <c r="YN675"/>
      <c r="YO675"/>
      <c r="YP675"/>
      <c r="YQ675"/>
      <c r="YR675"/>
      <c r="YS675"/>
      <c r="YT675"/>
      <c r="YU675"/>
      <c r="YV675"/>
      <c r="YW675"/>
      <c r="YX675"/>
      <c r="YY675"/>
      <c r="YZ675"/>
      <c r="ZA675"/>
      <c r="ZB675"/>
      <c r="ZC675"/>
      <c r="ZD675"/>
      <c r="ZE675"/>
      <c r="ZF675"/>
      <c r="ZG675"/>
      <c r="ZH675"/>
      <c r="ZI675"/>
      <c r="ZJ675"/>
      <c r="ZK675"/>
      <c r="ZL675"/>
      <c r="ZM675"/>
      <c r="ZN675"/>
      <c r="ZO675"/>
      <c r="ZP675"/>
      <c r="ZQ675"/>
      <c r="ZR675"/>
      <c r="ZS675"/>
      <c r="ZT675"/>
      <c r="ZU675"/>
      <c r="ZV675"/>
      <c r="ZW675"/>
      <c r="ZX675"/>
      <c r="ZY675"/>
      <c r="ZZ675" s="52"/>
      <c r="AAA675" s="192"/>
      <c r="AAD675" s="90"/>
      <c r="AAE675" s="519">
        <v>1</v>
      </c>
      <c r="AAF675" s="90"/>
      <c r="AAG675" s="73">
        <f>S.EQC.BANNER.Begin</f>
        <v>41572</v>
      </c>
      <c r="AAH675" s="73">
        <f t="shared" si="545"/>
        <v>41676</v>
      </c>
      <c r="AAI675" s="72"/>
      <c r="AAJ675" s="185"/>
      <c r="AAK675" s="80" t="str">
        <f>"- "&amp;S.Staff.DA&amp; " for division administrator approval"</f>
        <v>- Andy for division administrator approval</v>
      </c>
      <c r="AAL675" s="90"/>
    </row>
    <row r="676" spans="1:715" s="23" customFormat="1" ht="15" customHeight="1" outlineLevel="2" thickBot="1">
      <c r="A676" s="171"/>
      <c r="B676" s="396" t="s">
        <v>369</v>
      </c>
      <c r="C676" s="687" t="s">
        <v>53</v>
      </c>
      <c r="D676" s="380"/>
      <c r="E676"/>
      <c r="F676"/>
      <c r="G676"/>
      <c r="H676" s="343">
        <f>AAH676</f>
        <v>41676</v>
      </c>
      <c r="I676" s="244"/>
      <c r="J676" s="198"/>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51"/>
      <c r="BR676" s="51"/>
      <c r="BS676" s="51"/>
      <c r="BT676" s="51"/>
      <c r="BU676" s="51"/>
      <c r="BV676" s="51"/>
      <c r="BW676" s="51"/>
      <c r="BX676" s="51"/>
      <c r="BY676" s="51"/>
      <c r="BZ676" s="51"/>
      <c r="CA676" s="51"/>
      <c r="CB676" s="51"/>
      <c r="CC676" s="51"/>
      <c r="CD676" s="51"/>
      <c r="CE676" s="51"/>
      <c r="CF676" s="51"/>
      <c r="CG676" s="51"/>
      <c r="CH676" s="51"/>
      <c r="CI676" s="51"/>
      <c r="CJ676" s="51"/>
      <c r="CK676" s="51"/>
      <c r="CL676" s="51"/>
      <c r="CM676" s="51"/>
      <c r="CN676" s="51"/>
      <c r="CO676" s="51"/>
      <c r="CP676" s="51"/>
      <c r="CQ676" s="51"/>
      <c r="CR676" s="51"/>
      <c r="CS676" s="51"/>
      <c r="CT676" s="51"/>
      <c r="CU676" s="51"/>
      <c r="CV676" s="51"/>
      <c r="CW676" s="51"/>
      <c r="CX676" s="51"/>
      <c r="CY676" s="51"/>
      <c r="CZ676" s="51"/>
      <c r="DA676" s="51"/>
      <c r="DB676" s="51"/>
      <c r="DC676" s="51"/>
      <c r="DD676" s="51"/>
      <c r="DE676" s="51"/>
      <c r="DF676" s="51"/>
      <c r="DG676" s="51"/>
      <c r="DH676" s="51"/>
      <c r="DI676" s="51"/>
      <c r="DJ676" s="51"/>
      <c r="DK676" s="51"/>
      <c r="DL676" s="51"/>
      <c r="DM676" s="51"/>
      <c r="DN676" s="51"/>
      <c r="DO676" s="51"/>
      <c r="DP676" s="51"/>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c r="IW676"/>
      <c r="IX676"/>
      <c r="IY676"/>
      <c r="IZ676"/>
      <c r="JA676"/>
      <c r="JB676"/>
      <c r="JC676"/>
      <c r="JD676"/>
      <c r="JE676"/>
      <c r="JF676"/>
      <c r="JG676"/>
      <c r="JH676"/>
      <c r="JI676"/>
      <c r="JJ676"/>
      <c r="JK676"/>
      <c r="JL676"/>
      <c r="JM676"/>
      <c r="JN676"/>
      <c r="JO676"/>
      <c r="JP676"/>
      <c r="JQ676"/>
      <c r="JR676"/>
      <c r="JS676"/>
      <c r="JT676"/>
      <c r="JU676"/>
      <c r="JV676"/>
      <c r="JW676"/>
      <c r="JX676"/>
      <c r="JY676"/>
      <c r="JZ676"/>
      <c r="KA676"/>
      <c r="KB676"/>
      <c r="KC676"/>
      <c r="KD676"/>
      <c r="KE676"/>
      <c r="KF676"/>
      <c r="KG676"/>
      <c r="KH676"/>
      <c r="KI676"/>
      <c r="KJ676"/>
      <c r="KK676"/>
      <c r="KL676"/>
      <c r="KM676"/>
      <c r="KN676"/>
      <c r="KO676"/>
      <c r="KP676"/>
      <c r="KQ676"/>
      <c r="KR676"/>
      <c r="KS676"/>
      <c r="KT676"/>
      <c r="KU676"/>
      <c r="KV676"/>
      <c r="KW676"/>
      <c r="KX676"/>
      <c r="KY676"/>
      <c r="KZ676"/>
      <c r="LA676"/>
      <c r="LB676"/>
      <c r="LC676"/>
      <c r="LD676"/>
      <c r="LE676"/>
      <c r="LF676"/>
      <c r="LG676"/>
      <c r="LH676"/>
      <c r="LI676"/>
      <c r="LJ676"/>
      <c r="LK676"/>
      <c r="LL676"/>
      <c r="LM676"/>
      <c r="LN676"/>
      <c r="LO676"/>
      <c r="LP676"/>
      <c r="LQ676"/>
      <c r="LR676"/>
      <c r="LS676"/>
      <c r="LT676"/>
      <c r="LU676"/>
      <c r="LV676"/>
      <c r="LW676"/>
      <c r="LX676"/>
      <c r="LY676"/>
      <c r="LZ676"/>
      <c r="MA676"/>
      <c r="MB676"/>
      <c r="MC676"/>
      <c r="MD676"/>
      <c r="ME676"/>
      <c r="MF676"/>
      <c r="MG676"/>
      <c r="MH676"/>
      <c r="MI676"/>
      <c r="MJ676"/>
      <c r="MK676"/>
      <c r="ML676"/>
      <c r="MM676"/>
      <c r="MN676"/>
      <c r="MO676"/>
      <c r="MP676"/>
      <c r="MQ676"/>
      <c r="MR676"/>
      <c r="MS676"/>
      <c r="MT676"/>
      <c r="MU676"/>
      <c r="MV676"/>
      <c r="MW676"/>
      <c r="MX676"/>
      <c r="MY676"/>
      <c r="MZ676"/>
      <c r="NA676"/>
      <c r="NB676"/>
      <c r="NC676"/>
      <c r="ND676"/>
      <c r="NE676"/>
      <c r="NF676"/>
      <c r="NG676"/>
      <c r="NH676"/>
      <c r="NI676"/>
      <c r="NJ676"/>
      <c r="NK676"/>
      <c r="NL676"/>
      <c r="NM676"/>
      <c r="NN676"/>
      <c r="NO676"/>
      <c r="NP676"/>
      <c r="NQ676"/>
      <c r="NR676"/>
      <c r="NS676"/>
      <c r="NT676"/>
      <c r="NU676"/>
      <c r="NV676"/>
      <c r="NW676"/>
      <c r="NX676"/>
      <c r="NY676"/>
      <c r="NZ676"/>
      <c r="OA676"/>
      <c r="OB676"/>
      <c r="OC676"/>
      <c r="OD676"/>
      <c r="OE676"/>
      <c r="OF676"/>
      <c r="OG676"/>
      <c r="OH676"/>
      <c r="OI676"/>
      <c r="OJ676"/>
      <c r="OK676"/>
      <c r="OL676"/>
      <c r="OM676"/>
      <c r="ON676"/>
      <c r="OO676"/>
      <c r="OP676"/>
      <c r="OQ676"/>
      <c r="OR676"/>
      <c r="OS676"/>
      <c r="OT676"/>
      <c r="OU676"/>
      <c r="OV676"/>
      <c r="OW676"/>
      <c r="OX676"/>
      <c r="OY676"/>
      <c r="OZ676"/>
      <c r="PA676"/>
      <c r="PB676"/>
      <c r="PC676"/>
      <c r="PD676"/>
      <c r="PE676"/>
      <c r="PF676"/>
      <c r="PG676"/>
      <c r="PH676"/>
      <c r="PI676"/>
      <c r="PJ676"/>
      <c r="PK676"/>
      <c r="PL676"/>
      <c r="PM676"/>
      <c r="PN676"/>
      <c r="PO676"/>
      <c r="PP676"/>
      <c r="PQ676"/>
      <c r="PR676"/>
      <c r="PS676"/>
      <c r="PT676"/>
      <c r="PU676"/>
      <c r="PV676"/>
      <c r="PW676"/>
      <c r="PX676"/>
      <c r="PY676"/>
      <c r="PZ676"/>
      <c r="QA676"/>
      <c r="QB676"/>
      <c r="QC676"/>
      <c r="QD676"/>
      <c r="QE676"/>
      <c r="QF676"/>
      <c r="QG676"/>
      <c r="QH676"/>
      <c r="QI676"/>
      <c r="QJ676"/>
      <c r="QK676"/>
      <c r="QL676"/>
      <c r="QM676"/>
      <c r="QN676"/>
      <c r="QO676"/>
      <c r="QP676"/>
      <c r="QQ676"/>
      <c r="QR676"/>
      <c r="QS676"/>
      <c r="QT676"/>
      <c r="QU676"/>
      <c r="QV676"/>
      <c r="QW676"/>
      <c r="QX676"/>
      <c r="QY676"/>
      <c r="QZ676"/>
      <c r="RA676"/>
      <c r="RB676"/>
      <c r="RC676"/>
      <c r="RD676"/>
      <c r="RE676"/>
      <c r="RF676"/>
      <c r="RG676"/>
      <c r="RH676"/>
      <c r="RI676"/>
      <c r="RJ676"/>
      <c r="RK676"/>
      <c r="RL676"/>
      <c r="RM676"/>
      <c r="RN676"/>
      <c r="RO676"/>
      <c r="RP676"/>
      <c r="RQ676"/>
      <c r="RR676"/>
      <c r="RS676"/>
      <c r="RT676"/>
      <c r="RU676"/>
      <c r="RV676"/>
      <c r="RW676"/>
      <c r="RX676"/>
      <c r="RY676"/>
      <c r="RZ676"/>
      <c r="SA676"/>
      <c r="SB676"/>
      <c r="SC676"/>
      <c r="SD676"/>
      <c r="SE676"/>
      <c r="SF676"/>
      <c r="SG676"/>
      <c r="SH676"/>
      <c r="SI676"/>
      <c r="SJ676"/>
      <c r="SK676"/>
      <c r="SL676"/>
      <c r="SM676"/>
      <c r="SN676"/>
      <c r="SO676"/>
      <c r="SP676"/>
      <c r="SQ676"/>
      <c r="SR676"/>
      <c r="SS676"/>
      <c r="ST676"/>
      <c r="SU676"/>
      <c r="SV676"/>
      <c r="SW676"/>
      <c r="SX676"/>
      <c r="SY676"/>
      <c r="SZ676"/>
      <c r="TA676"/>
      <c r="TB676"/>
      <c r="TC676"/>
      <c r="TD676"/>
      <c r="TE676"/>
      <c r="TF676"/>
      <c r="TG676"/>
      <c r="TH676"/>
      <c r="TI676"/>
      <c r="TJ676"/>
      <c r="TK676"/>
      <c r="TL676"/>
      <c r="TM676"/>
      <c r="TN676"/>
      <c r="TO676"/>
      <c r="TP676"/>
      <c r="TQ676"/>
      <c r="TR676"/>
      <c r="TS676"/>
      <c r="TT676"/>
      <c r="TU676"/>
      <c r="TV676"/>
      <c r="TW676"/>
      <c r="TX676"/>
      <c r="TY676"/>
      <c r="TZ676"/>
      <c r="UA676"/>
      <c r="UB676"/>
      <c r="UC676"/>
      <c r="UD676"/>
      <c r="UE676"/>
      <c r="UF676"/>
      <c r="UG676"/>
      <c r="UH676"/>
      <c r="UI676"/>
      <c r="UJ676"/>
      <c r="UK676"/>
      <c r="UL676"/>
      <c r="UM676"/>
      <c r="UN676"/>
      <c r="UO676"/>
      <c r="UP676"/>
      <c r="UQ676"/>
      <c r="UR676"/>
      <c r="US676"/>
      <c r="UT676"/>
      <c r="UU676"/>
      <c r="UV676"/>
      <c r="UW676"/>
      <c r="UX676"/>
      <c r="UY676"/>
      <c r="UZ676"/>
      <c r="VA676"/>
      <c r="VB676"/>
      <c r="VC676"/>
      <c r="VD676"/>
      <c r="VE676"/>
      <c r="VF676"/>
      <c r="VG676"/>
      <c r="VH676"/>
      <c r="VI676"/>
      <c r="VJ676"/>
      <c r="VK676"/>
      <c r="VL676"/>
      <c r="VM676"/>
      <c r="VN676"/>
      <c r="VO676"/>
      <c r="VP676"/>
      <c r="VQ676"/>
      <c r="VR676"/>
      <c r="VS676"/>
      <c r="VT676"/>
      <c r="VU676"/>
      <c r="VV676"/>
      <c r="VW676"/>
      <c r="VX676"/>
      <c r="VY676"/>
      <c r="VZ676"/>
      <c r="WA676"/>
      <c r="WB676"/>
      <c r="WC676"/>
      <c r="WD676"/>
      <c r="WE676"/>
      <c r="WF676"/>
      <c r="WG676"/>
      <c r="WH676"/>
      <c r="WI676"/>
      <c r="WJ676"/>
      <c r="WK676"/>
      <c r="WL676"/>
      <c r="WM676"/>
      <c r="WN676"/>
      <c r="WO676"/>
      <c r="WP676"/>
      <c r="WQ676"/>
      <c r="WR676"/>
      <c r="WS676"/>
      <c r="WT676"/>
      <c r="WU676"/>
      <c r="WV676"/>
      <c r="WW676"/>
      <c r="WX676"/>
      <c r="WY676"/>
      <c r="WZ676"/>
      <c r="XA676"/>
      <c r="XB676"/>
      <c r="XC676"/>
      <c r="XD676"/>
      <c r="XE676"/>
      <c r="XF676"/>
      <c r="XG676"/>
      <c r="XH676"/>
      <c r="XI676"/>
      <c r="XJ676"/>
      <c r="XK676"/>
      <c r="XL676"/>
      <c r="XM676"/>
      <c r="XN676"/>
      <c r="XO676"/>
      <c r="XP676"/>
      <c r="XQ676"/>
      <c r="XR676"/>
      <c r="XS676"/>
      <c r="XT676"/>
      <c r="XU676"/>
      <c r="XV676"/>
      <c r="XW676"/>
      <c r="XX676"/>
      <c r="XY676"/>
      <c r="XZ676"/>
      <c r="YA676"/>
      <c r="YB676"/>
      <c r="YC676"/>
      <c r="YD676"/>
      <c r="YE676"/>
      <c r="YF676"/>
      <c r="YG676"/>
      <c r="YH676"/>
      <c r="YI676"/>
      <c r="YJ676"/>
      <c r="YK676"/>
      <c r="YL676"/>
      <c r="YM676"/>
      <c r="YN676"/>
      <c r="YO676"/>
      <c r="YP676"/>
      <c r="YQ676"/>
      <c r="YR676"/>
      <c r="YS676"/>
      <c r="YT676"/>
      <c r="YU676"/>
      <c r="YV676"/>
      <c r="YW676"/>
      <c r="YX676"/>
      <c r="YY676"/>
      <c r="YZ676"/>
      <c r="ZA676"/>
      <c r="ZB676"/>
      <c r="ZC676"/>
      <c r="ZD676"/>
      <c r="ZE676"/>
      <c r="ZF676"/>
      <c r="ZG676"/>
      <c r="ZH676"/>
      <c r="ZI676"/>
      <c r="ZJ676"/>
      <c r="ZK676"/>
      <c r="ZL676"/>
      <c r="ZM676"/>
      <c r="ZN676"/>
      <c r="ZO676"/>
      <c r="ZP676"/>
      <c r="ZQ676"/>
      <c r="ZR676"/>
      <c r="ZS676"/>
      <c r="ZT676"/>
      <c r="ZU676"/>
      <c r="ZV676"/>
      <c r="ZW676"/>
      <c r="ZX676"/>
      <c r="ZY676"/>
      <c r="ZZ676" s="52"/>
      <c r="AAA676" s="192"/>
      <c r="AAD676" s="90"/>
      <c r="AAE676" s="519">
        <v>1</v>
      </c>
      <c r="AAF676" s="90"/>
      <c r="AAG676" s="72"/>
      <c r="AAH676" s="73">
        <f>H675</f>
        <v>41676</v>
      </c>
      <c r="AAI676" s="72"/>
      <c r="AAJ676" s="72"/>
      <c r="AAK676" s="87"/>
      <c r="AAL676" s="90"/>
    </row>
    <row r="677" spans="1:715" s="23" customFormat="1" ht="15" customHeight="1" outlineLevel="2">
      <c r="A677" s="171" t="s">
        <v>0</v>
      </c>
      <c r="B677" s="396" t="s">
        <v>337</v>
      </c>
      <c r="C677" s="374"/>
      <c r="D677" s="393"/>
      <c r="E677" s="394"/>
      <c r="F677" s="394"/>
      <c r="G677" s="395"/>
      <c r="H677" s="395"/>
      <c r="I677" s="244"/>
      <c r="J677" s="198"/>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51"/>
      <c r="BR677" s="51"/>
      <c r="BS677" s="51"/>
      <c r="BT677" s="51"/>
      <c r="BU677" s="51"/>
      <c r="BV677" s="51"/>
      <c r="BW677" s="51"/>
      <c r="BX677" s="51"/>
      <c r="BY677" s="51"/>
      <c r="BZ677" s="51"/>
      <c r="CA677" s="51"/>
      <c r="CB677" s="51"/>
      <c r="CC677" s="51"/>
      <c r="CD677" s="51"/>
      <c r="CE677" s="51"/>
      <c r="CF677" s="51"/>
      <c r="CG677" s="51"/>
      <c r="CH677" s="51"/>
      <c r="CI677" s="51"/>
      <c r="CJ677" s="51"/>
      <c r="CK677" s="51"/>
      <c r="CL677" s="51"/>
      <c r="CM677" s="51"/>
      <c r="CN677" s="51"/>
      <c r="CO677" s="51"/>
      <c r="CP677" s="51"/>
      <c r="CQ677" s="51"/>
      <c r="CR677" s="51"/>
      <c r="CS677" s="51"/>
      <c r="CT677" s="51"/>
      <c r="CU677" s="51"/>
      <c r="CV677" s="51"/>
      <c r="CW677" s="51"/>
      <c r="CX677" s="51"/>
      <c r="CY677" s="51"/>
      <c r="CZ677" s="51"/>
      <c r="DA677" s="51"/>
      <c r="DB677" s="51"/>
      <c r="DC677" s="51"/>
      <c r="DD677" s="51"/>
      <c r="DE677" s="51"/>
      <c r="DF677" s="51"/>
      <c r="DG677" s="51"/>
      <c r="DH677" s="51"/>
      <c r="DI677" s="51"/>
      <c r="DJ677" s="51"/>
      <c r="DK677" s="51"/>
      <c r="DL677" s="51"/>
      <c r="DM677" s="51"/>
      <c r="DN677" s="51"/>
      <c r="DO677" s="51"/>
      <c r="DP677" s="51"/>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c r="IW677"/>
      <c r="IX677"/>
      <c r="IY677"/>
      <c r="IZ677"/>
      <c r="JA677"/>
      <c r="JB677"/>
      <c r="JC677"/>
      <c r="JD677"/>
      <c r="JE677"/>
      <c r="JF677"/>
      <c r="JG677"/>
      <c r="JH677"/>
      <c r="JI677"/>
      <c r="JJ677"/>
      <c r="JK677"/>
      <c r="JL677"/>
      <c r="JM677"/>
      <c r="JN677"/>
      <c r="JO677"/>
      <c r="JP677"/>
      <c r="JQ677"/>
      <c r="JR677"/>
      <c r="JS677"/>
      <c r="JT677"/>
      <c r="JU677"/>
      <c r="JV677"/>
      <c r="JW677"/>
      <c r="JX677"/>
      <c r="JY677"/>
      <c r="JZ677"/>
      <c r="KA677"/>
      <c r="KB677"/>
      <c r="KC677"/>
      <c r="KD677"/>
      <c r="KE677"/>
      <c r="KF677"/>
      <c r="KG677"/>
      <c r="KH677"/>
      <c r="KI677"/>
      <c r="KJ677"/>
      <c r="KK677"/>
      <c r="KL677"/>
      <c r="KM677"/>
      <c r="KN677"/>
      <c r="KO677"/>
      <c r="KP677"/>
      <c r="KQ677"/>
      <c r="KR677"/>
      <c r="KS677"/>
      <c r="KT677"/>
      <c r="KU677"/>
      <c r="KV677"/>
      <c r="KW677"/>
      <c r="KX677"/>
      <c r="KY677"/>
      <c r="KZ677"/>
      <c r="LA677"/>
      <c r="LB677"/>
      <c r="LC677"/>
      <c r="LD677"/>
      <c r="LE677"/>
      <c r="LF677"/>
      <c r="LG677"/>
      <c r="LH677"/>
      <c r="LI677"/>
      <c r="LJ677"/>
      <c r="LK677"/>
      <c r="LL677"/>
      <c r="LM677"/>
      <c r="LN677"/>
      <c r="LO677"/>
      <c r="LP677"/>
      <c r="LQ677"/>
      <c r="LR677"/>
      <c r="LS677"/>
      <c r="LT677"/>
      <c r="LU677"/>
      <c r="LV677"/>
      <c r="LW677"/>
      <c r="LX677"/>
      <c r="LY677"/>
      <c r="LZ677"/>
      <c r="MA677"/>
      <c r="MB677"/>
      <c r="MC677"/>
      <c r="MD677"/>
      <c r="ME677"/>
      <c r="MF677"/>
      <c r="MG677"/>
      <c r="MH677"/>
      <c r="MI677"/>
      <c r="MJ677"/>
      <c r="MK677"/>
      <c r="ML677"/>
      <c r="MM677"/>
      <c r="MN677"/>
      <c r="MO677"/>
      <c r="MP677"/>
      <c r="MQ677"/>
      <c r="MR677"/>
      <c r="MS677"/>
      <c r="MT677"/>
      <c r="MU677"/>
      <c r="MV677"/>
      <c r="MW677"/>
      <c r="MX677"/>
      <c r="MY677"/>
      <c r="MZ677"/>
      <c r="NA677"/>
      <c r="NB677"/>
      <c r="NC677"/>
      <c r="ND677"/>
      <c r="NE677"/>
      <c r="NF677"/>
      <c r="NG677"/>
      <c r="NH677"/>
      <c r="NI677"/>
      <c r="NJ677"/>
      <c r="NK677"/>
      <c r="NL677"/>
      <c r="NM677"/>
      <c r="NN677"/>
      <c r="NO677"/>
      <c r="NP677"/>
      <c r="NQ677"/>
      <c r="NR677"/>
      <c r="NS677"/>
      <c r="NT677"/>
      <c r="NU677"/>
      <c r="NV677"/>
      <c r="NW677"/>
      <c r="NX677"/>
      <c r="NY677"/>
      <c r="NZ677"/>
      <c r="OA677"/>
      <c r="OB677"/>
      <c r="OC677"/>
      <c r="OD677"/>
      <c r="OE677"/>
      <c r="OF677"/>
      <c r="OG677"/>
      <c r="OH677"/>
      <c r="OI677"/>
      <c r="OJ677"/>
      <c r="OK677"/>
      <c r="OL677"/>
      <c r="OM677"/>
      <c r="ON677"/>
      <c r="OO677"/>
      <c r="OP677"/>
      <c r="OQ677"/>
      <c r="OR677"/>
      <c r="OS677"/>
      <c r="OT677"/>
      <c r="OU677"/>
      <c r="OV677"/>
      <c r="OW677"/>
      <c r="OX677"/>
      <c r="OY677"/>
      <c r="OZ677"/>
      <c r="PA677"/>
      <c r="PB677"/>
      <c r="PC677"/>
      <c r="PD677"/>
      <c r="PE677"/>
      <c r="PF677"/>
      <c r="PG677"/>
      <c r="PH677"/>
      <c r="PI677"/>
      <c r="PJ677"/>
      <c r="PK677"/>
      <c r="PL677"/>
      <c r="PM677"/>
      <c r="PN677"/>
      <c r="PO677"/>
      <c r="PP677"/>
      <c r="PQ677"/>
      <c r="PR677"/>
      <c r="PS677"/>
      <c r="PT677"/>
      <c r="PU677"/>
      <c r="PV677"/>
      <c r="PW677"/>
      <c r="PX677"/>
      <c r="PY677"/>
      <c r="PZ677"/>
      <c r="QA677"/>
      <c r="QB677"/>
      <c r="QC677"/>
      <c r="QD677"/>
      <c r="QE677"/>
      <c r="QF677"/>
      <c r="QG677"/>
      <c r="QH677"/>
      <c r="QI677"/>
      <c r="QJ677"/>
      <c r="QK677"/>
      <c r="QL677"/>
      <c r="QM677"/>
      <c r="QN677"/>
      <c r="QO677"/>
      <c r="QP677"/>
      <c r="QQ677"/>
      <c r="QR677"/>
      <c r="QS677"/>
      <c r="QT677"/>
      <c r="QU677"/>
      <c r="QV677"/>
      <c r="QW677"/>
      <c r="QX677"/>
      <c r="QY677"/>
      <c r="QZ677"/>
      <c r="RA677"/>
      <c r="RB677"/>
      <c r="RC677"/>
      <c r="RD677"/>
      <c r="RE677"/>
      <c r="RF677"/>
      <c r="RG677"/>
      <c r="RH677"/>
      <c r="RI677"/>
      <c r="RJ677"/>
      <c r="RK677"/>
      <c r="RL677"/>
      <c r="RM677"/>
      <c r="RN677"/>
      <c r="RO677"/>
      <c r="RP677"/>
      <c r="RQ677"/>
      <c r="RR677"/>
      <c r="RS677"/>
      <c r="RT677"/>
      <c r="RU677"/>
      <c r="RV677"/>
      <c r="RW677"/>
      <c r="RX677"/>
      <c r="RY677"/>
      <c r="RZ677"/>
      <c r="SA677"/>
      <c r="SB677"/>
      <c r="SC677"/>
      <c r="SD677"/>
      <c r="SE677"/>
      <c r="SF677"/>
      <c r="SG677"/>
      <c r="SH677"/>
      <c r="SI677"/>
      <c r="SJ677"/>
      <c r="SK677"/>
      <c r="SL677"/>
      <c r="SM677"/>
      <c r="SN677"/>
      <c r="SO677"/>
      <c r="SP677"/>
      <c r="SQ677"/>
      <c r="SR677"/>
      <c r="SS677"/>
      <c r="ST677"/>
      <c r="SU677"/>
      <c r="SV677"/>
      <c r="SW677"/>
      <c r="SX677"/>
      <c r="SY677"/>
      <c r="SZ677"/>
      <c r="TA677"/>
      <c r="TB677"/>
      <c r="TC677"/>
      <c r="TD677"/>
      <c r="TE677"/>
      <c r="TF677"/>
      <c r="TG677"/>
      <c r="TH677"/>
      <c r="TI677"/>
      <c r="TJ677"/>
      <c r="TK677"/>
      <c r="TL677"/>
      <c r="TM677"/>
      <c r="TN677"/>
      <c r="TO677"/>
      <c r="TP677"/>
      <c r="TQ677"/>
      <c r="TR677"/>
      <c r="TS677"/>
      <c r="TT677"/>
      <c r="TU677"/>
      <c r="TV677"/>
      <c r="TW677"/>
      <c r="TX677"/>
      <c r="TY677"/>
      <c r="TZ677"/>
      <c r="UA677"/>
      <c r="UB677"/>
      <c r="UC677"/>
      <c r="UD677"/>
      <c r="UE677"/>
      <c r="UF677"/>
      <c r="UG677"/>
      <c r="UH677"/>
      <c r="UI677"/>
      <c r="UJ677"/>
      <c r="UK677"/>
      <c r="UL677"/>
      <c r="UM677"/>
      <c r="UN677"/>
      <c r="UO677"/>
      <c r="UP677"/>
      <c r="UQ677"/>
      <c r="UR677"/>
      <c r="US677"/>
      <c r="UT677"/>
      <c r="UU677"/>
      <c r="UV677"/>
      <c r="UW677"/>
      <c r="UX677"/>
      <c r="UY677"/>
      <c r="UZ677"/>
      <c r="VA677"/>
      <c r="VB677"/>
      <c r="VC677"/>
      <c r="VD677"/>
      <c r="VE677"/>
      <c r="VF677"/>
      <c r="VG677"/>
      <c r="VH677"/>
      <c r="VI677"/>
      <c r="VJ677"/>
      <c r="VK677"/>
      <c r="VL677"/>
      <c r="VM677"/>
      <c r="VN677"/>
      <c r="VO677"/>
      <c r="VP677"/>
      <c r="VQ677"/>
      <c r="VR677"/>
      <c r="VS677"/>
      <c r="VT677"/>
      <c r="VU677"/>
      <c r="VV677"/>
      <c r="VW677"/>
      <c r="VX677"/>
      <c r="VY677"/>
      <c r="VZ677"/>
      <c r="WA677"/>
      <c r="WB677"/>
      <c r="WC677"/>
      <c r="WD677"/>
      <c r="WE677"/>
      <c r="WF677"/>
      <c r="WG677"/>
      <c r="WH677"/>
      <c r="WI677"/>
      <c r="WJ677"/>
      <c r="WK677"/>
      <c r="WL677"/>
      <c r="WM677"/>
      <c r="WN677"/>
      <c r="WO677"/>
      <c r="WP677"/>
      <c r="WQ677"/>
      <c r="WR677"/>
      <c r="WS677"/>
      <c r="WT677"/>
      <c r="WU677"/>
      <c r="WV677"/>
      <c r="WW677"/>
      <c r="WX677"/>
      <c r="WY677"/>
      <c r="WZ677"/>
      <c r="XA677"/>
      <c r="XB677"/>
      <c r="XC677"/>
      <c r="XD677"/>
      <c r="XE677"/>
      <c r="XF677"/>
      <c r="XG677"/>
      <c r="XH677"/>
      <c r="XI677"/>
      <c r="XJ677"/>
      <c r="XK677"/>
      <c r="XL677"/>
      <c r="XM677"/>
      <c r="XN677"/>
      <c r="XO677"/>
      <c r="XP677"/>
      <c r="XQ677"/>
      <c r="XR677"/>
      <c r="XS677"/>
      <c r="XT677"/>
      <c r="XU677"/>
      <c r="XV677"/>
      <c r="XW677"/>
      <c r="XX677"/>
      <c r="XY677"/>
      <c r="XZ677"/>
      <c r="YA677"/>
      <c r="YB677"/>
      <c r="YC677"/>
      <c r="YD677"/>
      <c r="YE677"/>
      <c r="YF677"/>
      <c r="YG677"/>
      <c r="YH677"/>
      <c r="YI677"/>
      <c r="YJ677"/>
      <c r="YK677"/>
      <c r="YL677"/>
      <c r="YM677"/>
      <c r="YN677"/>
      <c r="YO677"/>
      <c r="YP677"/>
      <c r="YQ677"/>
      <c r="YR677"/>
      <c r="YS677"/>
      <c r="YT677"/>
      <c r="YU677"/>
      <c r="YV677"/>
      <c r="YW677"/>
      <c r="YX677"/>
      <c r="YY677"/>
      <c r="YZ677"/>
      <c r="ZA677"/>
      <c r="ZB677"/>
      <c r="ZC677"/>
      <c r="ZD677"/>
      <c r="ZE677"/>
      <c r="ZF677"/>
      <c r="ZG677"/>
      <c r="ZH677"/>
      <c r="ZI677"/>
      <c r="ZJ677"/>
      <c r="ZK677"/>
      <c r="ZL677"/>
      <c r="ZM677"/>
      <c r="ZN677"/>
      <c r="ZO677"/>
      <c r="ZP677"/>
      <c r="ZQ677"/>
      <c r="ZR677"/>
      <c r="ZS677"/>
      <c r="ZT677"/>
      <c r="ZU677"/>
      <c r="ZV677"/>
      <c r="ZW677"/>
      <c r="ZX677"/>
      <c r="ZY677"/>
      <c r="ZZ677" s="52"/>
      <c r="AAA677" s="192"/>
      <c r="AAD677" s="90"/>
      <c r="AAE677" s="519">
        <v>1</v>
      </c>
      <c r="AAF677" s="190" t="s">
        <v>52</v>
      </c>
      <c r="AAG677" s="71"/>
      <c r="AAH677" s="71"/>
      <c r="AAI677" s="72"/>
      <c r="AAJ677" s="72"/>
      <c r="AAK677" s="87"/>
      <c r="AAL677" s="90"/>
    </row>
    <row r="678" spans="1:715" s="23" customFormat="1" ht="15" customHeight="1" outlineLevel="2">
      <c r="A678" s="171" t="s">
        <v>0</v>
      </c>
      <c r="B678" s="640" t="str">
        <f>AAK678</f>
        <v>- sending AndreaRW an email confirmation</v>
      </c>
      <c r="C678" s="376" t="s">
        <v>0</v>
      </c>
      <c r="I678" s="244"/>
      <c r="J678" s="194"/>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c r="BE678" s="49"/>
      <c r="BF678" s="49"/>
      <c r="BG678" s="49"/>
      <c r="BH678" s="49"/>
      <c r="BI678" s="49"/>
      <c r="BJ678" s="49"/>
      <c r="BK678" s="49"/>
      <c r="BL678" s="49"/>
      <c r="BM678" s="49"/>
      <c r="BN678" s="49"/>
      <c r="BO678" s="49"/>
      <c r="BP678" s="49"/>
      <c r="BQ678" s="49"/>
      <c r="BR678" s="49"/>
      <c r="BS678" s="49"/>
      <c r="BT678" s="49"/>
      <c r="BU678" s="49"/>
      <c r="BV678" s="49"/>
      <c r="BW678" s="49"/>
      <c r="BX678" s="49"/>
      <c r="BY678" s="49"/>
      <c r="BZ678" s="49"/>
      <c r="CA678" s="49"/>
      <c r="CB678" s="49"/>
      <c r="CC678" s="49"/>
      <c r="CD678" s="49"/>
      <c r="CE678" s="49"/>
      <c r="CF678" s="49"/>
      <c r="CG678" s="49"/>
      <c r="CH678" s="49"/>
      <c r="CI678" s="49"/>
      <c r="CJ678" s="49"/>
      <c r="CK678" s="49"/>
      <c r="CL678" s="49"/>
      <c r="CM678" s="49"/>
      <c r="CN678" s="49"/>
      <c r="CO678" s="49"/>
      <c r="CP678" s="49"/>
      <c r="CQ678" s="49"/>
      <c r="CR678" s="49"/>
      <c r="CS678" s="49"/>
      <c r="CT678" s="49"/>
      <c r="CU678" s="49"/>
      <c r="CV678" s="49"/>
      <c r="CW678" s="49"/>
      <c r="CX678" s="49"/>
      <c r="CY678" s="49"/>
      <c r="CZ678" s="49"/>
      <c r="DA678" s="49"/>
      <c r="DB678" s="49"/>
      <c r="DC678" s="49"/>
      <c r="DD678" s="49"/>
      <c r="DE678" s="49"/>
      <c r="DF678" s="49"/>
      <c r="DG678" s="49"/>
      <c r="DH678" s="49"/>
      <c r="DI678" s="49"/>
      <c r="DJ678" s="49"/>
      <c r="DK678" s="49"/>
      <c r="DL678" s="49"/>
      <c r="DM678" s="49"/>
      <c r="DN678" s="49"/>
      <c r="DO678" s="49"/>
      <c r="DP678" s="49"/>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c r="IW678"/>
      <c r="IX678"/>
      <c r="IY678"/>
      <c r="IZ678"/>
      <c r="JA678"/>
      <c r="JB678"/>
      <c r="JC678"/>
      <c r="JD678"/>
      <c r="JE678"/>
      <c r="JF678"/>
      <c r="JG678"/>
      <c r="JH678"/>
      <c r="JI678"/>
      <c r="JJ678"/>
      <c r="JK678"/>
      <c r="JL678"/>
      <c r="JM678"/>
      <c r="JN678"/>
      <c r="JO678"/>
      <c r="JP678"/>
      <c r="JQ678"/>
      <c r="JR678"/>
      <c r="JS678"/>
      <c r="JT678"/>
      <c r="JU678"/>
      <c r="JV678"/>
      <c r="JW678"/>
      <c r="JX678"/>
      <c r="JY678"/>
      <c r="JZ678"/>
      <c r="KA678"/>
      <c r="KB678"/>
      <c r="KC678"/>
      <c r="KD678"/>
      <c r="KE678"/>
      <c r="KF678"/>
      <c r="KG678"/>
      <c r="KH678"/>
      <c r="KI678"/>
      <c r="KJ678"/>
      <c r="KK678"/>
      <c r="KL678"/>
      <c r="KM678"/>
      <c r="KN678"/>
      <c r="KO678"/>
      <c r="KP678"/>
      <c r="KQ678"/>
      <c r="KR678"/>
      <c r="KS678"/>
      <c r="KT678"/>
      <c r="KU678"/>
      <c r="KV678"/>
      <c r="KW678"/>
      <c r="KX678"/>
      <c r="KY678"/>
      <c r="KZ678"/>
      <c r="LA678"/>
      <c r="LB678"/>
      <c r="LC678"/>
      <c r="LD678"/>
      <c r="LE678"/>
      <c r="LF678"/>
      <c r="LG678"/>
      <c r="LH678"/>
      <c r="LI678"/>
      <c r="LJ678"/>
      <c r="LK678"/>
      <c r="LL678"/>
      <c r="LM678"/>
      <c r="LN678"/>
      <c r="LO678"/>
      <c r="LP678"/>
      <c r="LQ678"/>
      <c r="LR678"/>
      <c r="LS678"/>
      <c r="LT678"/>
      <c r="LU678"/>
      <c r="LV678"/>
      <c r="LW678"/>
      <c r="LX678"/>
      <c r="LY678"/>
      <c r="LZ678"/>
      <c r="MA678"/>
      <c r="MB678"/>
      <c r="MC678"/>
      <c r="MD678"/>
      <c r="ME678"/>
      <c r="MF678"/>
      <c r="MG678"/>
      <c r="MH678"/>
      <c r="MI678"/>
      <c r="MJ678"/>
      <c r="MK678"/>
      <c r="ML678"/>
      <c r="MM678"/>
      <c r="MN678"/>
      <c r="MO678"/>
      <c r="MP678"/>
      <c r="MQ678"/>
      <c r="MR678"/>
      <c r="MS678"/>
      <c r="MT678"/>
      <c r="MU678"/>
      <c r="MV678"/>
      <c r="MW678"/>
      <c r="MX678"/>
      <c r="MY678"/>
      <c r="MZ678"/>
      <c r="NA678"/>
      <c r="NB678"/>
      <c r="NC678"/>
      <c r="ND678"/>
      <c r="NE678"/>
      <c r="NF678"/>
      <c r="NG678"/>
      <c r="NH678"/>
      <c r="NI678"/>
      <c r="NJ678"/>
      <c r="NK678"/>
      <c r="NL678"/>
      <c r="NM678"/>
      <c r="NN678"/>
      <c r="NO678"/>
      <c r="NP678"/>
      <c r="NQ678"/>
      <c r="NR678"/>
      <c r="NS678"/>
      <c r="NT678"/>
      <c r="NU678"/>
      <c r="NV678"/>
      <c r="NW678"/>
      <c r="NX678"/>
      <c r="NY678"/>
      <c r="NZ678"/>
      <c r="OA678"/>
      <c r="OB678"/>
      <c r="OC678"/>
      <c r="OD678"/>
      <c r="OE678"/>
      <c r="OF678"/>
      <c r="OG678"/>
      <c r="OH678"/>
      <c r="OI678"/>
      <c r="OJ678"/>
      <c r="OK678"/>
      <c r="OL678"/>
      <c r="OM678"/>
      <c r="ON678"/>
      <c r="OO678"/>
      <c r="OP678"/>
      <c r="OQ678"/>
      <c r="OR678"/>
      <c r="OS678"/>
      <c r="OT678"/>
      <c r="OU678"/>
      <c r="OV678"/>
      <c r="OW678"/>
      <c r="OX678"/>
      <c r="OY678"/>
      <c r="OZ678"/>
      <c r="PA678"/>
      <c r="PB678"/>
      <c r="PC678"/>
      <c r="PD678"/>
      <c r="PE678"/>
      <c r="PF678"/>
      <c r="PG678"/>
      <c r="PH678"/>
      <c r="PI678"/>
      <c r="PJ678"/>
      <c r="PK678"/>
      <c r="PL678"/>
      <c r="PM678"/>
      <c r="PN678"/>
      <c r="PO678"/>
      <c r="PP678"/>
      <c r="PQ678"/>
      <c r="PR678"/>
      <c r="PS678"/>
      <c r="PT678"/>
      <c r="PU678"/>
      <c r="PV678"/>
      <c r="PW678"/>
      <c r="PX678"/>
      <c r="PY678"/>
      <c r="PZ678"/>
      <c r="QA678"/>
      <c r="QB678"/>
      <c r="QC678"/>
      <c r="QD678"/>
      <c r="QE678"/>
      <c r="QF678"/>
      <c r="QG678"/>
      <c r="QH678"/>
      <c r="QI678"/>
      <c r="QJ678"/>
      <c r="QK678"/>
      <c r="QL678"/>
      <c r="QM678"/>
      <c r="QN678"/>
      <c r="QO678"/>
      <c r="QP678"/>
      <c r="QQ678"/>
      <c r="QR678"/>
      <c r="QS678"/>
      <c r="QT678"/>
      <c r="QU678"/>
      <c r="QV678"/>
      <c r="QW678"/>
      <c r="QX678"/>
      <c r="QY678"/>
      <c r="QZ678"/>
      <c r="RA678"/>
      <c r="RB678"/>
      <c r="RC678"/>
      <c r="RD678"/>
      <c r="RE678"/>
      <c r="RF678"/>
      <c r="RG678"/>
      <c r="RH678"/>
      <c r="RI678"/>
      <c r="RJ678"/>
      <c r="RK678"/>
      <c r="RL678"/>
      <c r="RM678"/>
      <c r="RN678"/>
      <c r="RO678"/>
      <c r="RP678"/>
      <c r="RQ678"/>
      <c r="RR678"/>
      <c r="RS678"/>
      <c r="RT678"/>
      <c r="RU678"/>
      <c r="RV678"/>
      <c r="RW678"/>
      <c r="RX678"/>
      <c r="RY678"/>
      <c r="RZ678"/>
      <c r="SA678"/>
      <c r="SB678"/>
      <c r="SC678"/>
      <c r="SD678"/>
      <c r="SE678"/>
      <c r="SF678"/>
      <c r="SG678"/>
      <c r="SH678"/>
      <c r="SI678"/>
      <c r="SJ678"/>
      <c r="SK678"/>
      <c r="SL678"/>
      <c r="SM678"/>
      <c r="SN678"/>
      <c r="SO678"/>
      <c r="SP678"/>
      <c r="SQ678"/>
      <c r="SR678"/>
      <c r="SS678"/>
      <c r="ST678"/>
      <c r="SU678"/>
      <c r="SV678"/>
      <c r="SW678"/>
      <c r="SX678"/>
      <c r="SY678"/>
      <c r="SZ678"/>
      <c r="TA678"/>
      <c r="TB678"/>
      <c r="TC678"/>
      <c r="TD678"/>
      <c r="TE678"/>
      <c r="TF678"/>
      <c r="TG678"/>
      <c r="TH678"/>
      <c r="TI678"/>
      <c r="TJ678"/>
      <c r="TK678"/>
      <c r="TL678"/>
      <c r="TM678"/>
      <c r="TN678"/>
      <c r="TO678"/>
      <c r="TP678"/>
      <c r="TQ678"/>
      <c r="TR678"/>
      <c r="TS678"/>
      <c r="TT678"/>
      <c r="TU678"/>
      <c r="TV678"/>
      <c r="TW678"/>
      <c r="TX678"/>
      <c r="TY678"/>
      <c r="TZ678"/>
      <c r="UA678"/>
      <c r="UB678"/>
      <c r="UC678"/>
      <c r="UD678"/>
      <c r="UE678"/>
      <c r="UF678"/>
      <c r="UG678"/>
      <c r="UH678"/>
      <c r="UI678"/>
      <c r="UJ678"/>
      <c r="UK678"/>
      <c r="UL678"/>
      <c r="UM678"/>
      <c r="UN678"/>
      <c r="UO678"/>
      <c r="UP678"/>
      <c r="UQ678"/>
      <c r="UR678"/>
      <c r="US678"/>
      <c r="UT678"/>
      <c r="UU678"/>
      <c r="UV678"/>
      <c r="UW678"/>
      <c r="UX678"/>
      <c r="UY678"/>
      <c r="UZ678"/>
      <c r="VA678"/>
      <c r="VB678"/>
      <c r="VC678"/>
      <c r="VD678"/>
      <c r="VE678"/>
      <c r="VF678"/>
      <c r="VG678"/>
      <c r="VH678"/>
      <c r="VI678"/>
      <c r="VJ678"/>
      <c r="VK678"/>
      <c r="VL678"/>
      <c r="VM678"/>
      <c r="VN678"/>
      <c r="VO678"/>
      <c r="VP678"/>
      <c r="VQ678"/>
      <c r="VR678"/>
      <c r="VS678"/>
      <c r="VT678"/>
      <c r="VU678"/>
      <c r="VV678"/>
      <c r="VW678"/>
      <c r="VX678"/>
      <c r="VY678"/>
      <c r="VZ678"/>
      <c r="WA678"/>
      <c r="WB678"/>
      <c r="WC678"/>
      <c r="WD678"/>
      <c r="WE678"/>
      <c r="WF678"/>
      <c r="WG678"/>
      <c r="WH678"/>
      <c r="WI678"/>
      <c r="WJ678"/>
      <c r="WK678"/>
      <c r="WL678"/>
      <c r="WM678"/>
      <c r="WN678"/>
      <c r="WO678"/>
      <c r="WP678"/>
      <c r="WQ678"/>
      <c r="WR678"/>
      <c r="WS678"/>
      <c r="WT678"/>
      <c r="WU678"/>
      <c r="WV678"/>
      <c r="WW678"/>
      <c r="WX678"/>
      <c r="WY678"/>
      <c r="WZ678"/>
      <c r="XA678"/>
      <c r="XB678"/>
      <c r="XC678"/>
      <c r="XD678"/>
      <c r="XE678"/>
      <c r="XF678"/>
      <c r="XG678"/>
      <c r="XH678"/>
      <c r="XI678"/>
      <c r="XJ678"/>
      <c r="XK678"/>
      <c r="XL678"/>
      <c r="XM678"/>
      <c r="XN678"/>
      <c r="XO678"/>
      <c r="XP678"/>
      <c r="XQ678"/>
      <c r="XR678"/>
      <c r="XS678"/>
      <c r="XT678"/>
      <c r="XU678"/>
      <c r="XV678"/>
      <c r="XW678"/>
      <c r="XX678"/>
      <c r="XY678"/>
      <c r="XZ678"/>
      <c r="YA678"/>
      <c r="YB678"/>
      <c r="YC678"/>
      <c r="YD678"/>
      <c r="YE678"/>
      <c r="YF678"/>
      <c r="YG678"/>
      <c r="YH678"/>
      <c r="YI678"/>
      <c r="YJ678"/>
      <c r="YK678"/>
      <c r="YL678"/>
      <c r="YM678"/>
      <c r="YN678"/>
      <c r="YO678"/>
      <c r="YP678"/>
      <c r="YQ678"/>
      <c r="YR678"/>
      <c r="YS678"/>
      <c r="YT678"/>
      <c r="YU678"/>
      <c r="YV678"/>
      <c r="YW678"/>
      <c r="YX678"/>
      <c r="YY678"/>
      <c r="YZ678"/>
      <c r="ZA678"/>
      <c r="ZB678"/>
      <c r="ZC678"/>
      <c r="ZD678"/>
      <c r="ZE678"/>
      <c r="ZF678"/>
      <c r="ZG678"/>
      <c r="ZH678"/>
      <c r="ZI678"/>
      <c r="ZJ678"/>
      <c r="ZK678"/>
      <c r="ZL678"/>
      <c r="ZM678"/>
      <c r="ZN678"/>
      <c r="ZO678"/>
      <c r="ZP678"/>
      <c r="ZQ678"/>
      <c r="ZR678"/>
      <c r="ZS678"/>
      <c r="ZT678"/>
      <c r="ZU678"/>
      <c r="ZV678"/>
      <c r="ZW678"/>
      <c r="ZX678"/>
      <c r="ZY678"/>
      <c r="ZZ678" s="52"/>
      <c r="AAA678" s="192"/>
      <c r="AAD678" s="90"/>
      <c r="AAE678" s="519">
        <v>1</v>
      </c>
      <c r="AAF678" s="90"/>
      <c r="AAG678" s="72"/>
      <c r="AAH678" s="72"/>
      <c r="AAI678" s="72"/>
      <c r="AAJ678" s="72"/>
      <c r="AAK678" s="80" t="str">
        <f>"- sending "&amp;S.Staff.Lead&amp;" an email confirmation"</f>
        <v>- sending AndreaRW an email confirmation</v>
      </c>
      <c r="AAL678" s="90"/>
    </row>
    <row r="679" spans="1:715" s="23" customFormat="1" ht="15" customHeight="1" outlineLevel="2">
      <c r="A679" s="171" t="s">
        <v>0</v>
      </c>
      <c r="B679" s="670" t="str">
        <f>AAK679</f>
        <v>- editing with SOS and Legislative Counsel perspective - Maggie</v>
      </c>
      <c r="C679" s="376" t="s">
        <v>0</v>
      </c>
      <c r="I679" s="244"/>
      <c r="J679" s="194"/>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c r="BE679" s="49"/>
      <c r="BF679" s="49"/>
      <c r="BG679" s="49"/>
      <c r="BH679" s="49"/>
      <c r="BI679" s="49"/>
      <c r="BJ679" s="49"/>
      <c r="BK679" s="49"/>
      <c r="BL679" s="49"/>
      <c r="BM679" s="49"/>
      <c r="BN679" s="49"/>
      <c r="BO679" s="49"/>
      <c r="BP679" s="49"/>
      <c r="BQ679" s="49"/>
      <c r="BR679" s="49"/>
      <c r="BS679" s="49"/>
      <c r="BT679" s="49"/>
      <c r="BU679" s="49"/>
      <c r="BV679" s="49"/>
      <c r="BW679" s="49"/>
      <c r="BX679" s="49"/>
      <c r="BY679" s="49"/>
      <c r="BZ679" s="49"/>
      <c r="CA679" s="49"/>
      <c r="CB679" s="49"/>
      <c r="CC679" s="49"/>
      <c r="CD679" s="49"/>
      <c r="CE679" s="49"/>
      <c r="CF679" s="49"/>
      <c r="CG679" s="49"/>
      <c r="CH679" s="49"/>
      <c r="CI679" s="49"/>
      <c r="CJ679" s="49"/>
      <c r="CK679" s="49"/>
      <c r="CL679" s="49"/>
      <c r="CM679" s="49"/>
      <c r="CN679" s="49"/>
      <c r="CO679" s="49"/>
      <c r="CP679" s="49"/>
      <c r="CQ679" s="49"/>
      <c r="CR679" s="49"/>
      <c r="CS679" s="49"/>
      <c r="CT679" s="49"/>
      <c r="CU679" s="49"/>
      <c r="CV679" s="49"/>
      <c r="CW679" s="49"/>
      <c r="CX679" s="49"/>
      <c r="CY679" s="49"/>
      <c r="CZ679" s="49"/>
      <c r="DA679" s="49"/>
      <c r="DB679" s="49"/>
      <c r="DC679" s="49"/>
      <c r="DD679" s="49"/>
      <c r="DE679" s="49"/>
      <c r="DF679" s="49"/>
      <c r="DG679" s="49"/>
      <c r="DH679" s="49"/>
      <c r="DI679" s="49"/>
      <c r="DJ679" s="49"/>
      <c r="DK679" s="49"/>
      <c r="DL679" s="49"/>
      <c r="DM679" s="49"/>
      <c r="DN679" s="49"/>
      <c r="DO679" s="49"/>
      <c r="DP679" s="4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c r="IW679"/>
      <c r="IX679"/>
      <c r="IY679"/>
      <c r="IZ679"/>
      <c r="JA679"/>
      <c r="JB679"/>
      <c r="JC679"/>
      <c r="JD679"/>
      <c r="JE679"/>
      <c r="JF679"/>
      <c r="JG679"/>
      <c r="JH679"/>
      <c r="JI679"/>
      <c r="JJ679"/>
      <c r="JK679"/>
      <c r="JL679"/>
      <c r="JM679"/>
      <c r="JN679"/>
      <c r="JO679"/>
      <c r="JP679"/>
      <c r="JQ679"/>
      <c r="JR679"/>
      <c r="JS679"/>
      <c r="JT679"/>
      <c r="JU679"/>
      <c r="JV679"/>
      <c r="JW679"/>
      <c r="JX679"/>
      <c r="JY679"/>
      <c r="JZ679"/>
      <c r="KA679"/>
      <c r="KB679"/>
      <c r="KC679"/>
      <c r="KD679"/>
      <c r="KE679"/>
      <c r="KF679"/>
      <c r="KG679"/>
      <c r="KH679"/>
      <c r="KI679"/>
      <c r="KJ679"/>
      <c r="KK679"/>
      <c r="KL679"/>
      <c r="KM679"/>
      <c r="KN679"/>
      <c r="KO679"/>
      <c r="KP679"/>
      <c r="KQ679"/>
      <c r="KR679"/>
      <c r="KS679"/>
      <c r="KT679"/>
      <c r="KU679"/>
      <c r="KV679"/>
      <c r="KW679"/>
      <c r="KX679"/>
      <c r="KY679"/>
      <c r="KZ679"/>
      <c r="LA679"/>
      <c r="LB679"/>
      <c r="LC679"/>
      <c r="LD679"/>
      <c r="LE679"/>
      <c r="LF679"/>
      <c r="LG679"/>
      <c r="LH679"/>
      <c r="LI679"/>
      <c r="LJ679"/>
      <c r="LK679"/>
      <c r="LL679"/>
      <c r="LM679"/>
      <c r="LN679"/>
      <c r="LO679"/>
      <c r="LP679"/>
      <c r="LQ679"/>
      <c r="LR679"/>
      <c r="LS679"/>
      <c r="LT679"/>
      <c r="LU679"/>
      <c r="LV679"/>
      <c r="LW679"/>
      <c r="LX679"/>
      <c r="LY679"/>
      <c r="LZ679"/>
      <c r="MA679"/>
      <c r="MB679"/>
      <c r="MC679"/>
      <c r="MD679"/>
      <c r="ME679"/>
      <c r="MF679"/>
      <c r="MG679"/>
      <c r="MH679"/>
      <c r="MI679"/>
      <c r="MJ679"/>
      <c r="MK679"/>
      <c r="ML679"/>
      <c r="MM679"/>
      <c r="MN679"/>
      <c r="MO679"/>
      <c r="MP679"/>
      <c r="MQ679"/>
      <c r="MR679"/>
      <c r="MS679"/>
      <c r="MT679"/>
      <c r="MU679"/>
      <c r="MV679"/>
      <c r="MW679"/>
      <c r="MX679"/>
      <c r="MY679"/>
      <c r="MZ679"/>
      <c r="NA679"/>
      <c r="NB679"/>
      <c r="NC679"/>
      <c r="ND679"/>
      <c r="NE679"/>
      <c r="NF679"/>
      <c r="NG679"/>
      <c r="NH679"/>
      <c r="NI679"/>
      <c r="NJ679"/>
      <c r="NK679"/>
      <c r="NL679"/>
      <c r="NM679"/>
      <c r="NN679"/>
      <c r="NO679"/>
      <c r="NP679"/>
      <c r="NQ679"/>
      <c r="NR679"/>
      <c r="NS679"/>
      <c r="NT679"/>
      <c r="NU679"/>
      <c r="NV679"/>
      <c r="NW679"/>
      <c r="NX679"/>
      <c r="NY679"/>
      <c r="NZ679"/>
      <c r="OA679"/>
      <c r="OB679"/>
      <c r="OC679"/>
      <c r="OD679"/>
      <c r="OE679"/>
      <c r="OF679"/>
      <c r="OG679"/>
      <c r="OH679"/>
      <c r="OI679"/>
      <c r="OJ679"/>
      <c r="OK679"/>
      <c r="OL679"/>
      <c r="OM679"/>
      <c r="ON679"/>
      <c r="OO679"/>
      <c r="OP679"/>
      <c r="OQ679"/>
      <c r="OR679"/>
      <c r="OS679"/>
      <c r="OT679"/>
      <c r="OU679"/>
      <c r="OV679"/>
      <c r="OW679"/>
      <c r="OX679"/>
      <c r="OY679"/>
      <c r="OZ679"/>
      <c r="PA679"/>
      <c r="PB679"/>
      <c r="PC679"/>
      <c r="PD679"/>
      <c r="PE679"/>
      <c r="PF679"/>
      <c r="PG679"/>
      <c r="PH679"/>
      <c r="PI679"/>
      <c r="PJ679"/>
      <c r="PK679"/>
      <c r="PL679"/>
      <c r="PM679"/>
      <c r="PN679"/>
      <c r="PO679"/>
      <c r="PP679"/>
      <c r="PQ679"/>
      <c r="PR679"/>
      <c r="PS679"/>
      <c r="PT679"/>
      <c r="PU679"/>
      <c r="PV679"/>
      <c r="PW679"/>
      <c r="PX679"/>
      <c r="PY679"/>
      <c r="PZ679"/>
      <c r="QA679"/>
      <c r="QB679"/>
      <c r="QC679"/>
      <c r="QD679"/>
      <c r="QE679"/>
      <c r="QF679"/>
      <c r="QG679"/>
      <c r="QH679"/>
      <c r="QI679"/>
      <c r="QJ679"/>
      <c r="QK679"/>
      <c r="QL679"/>
      <c r="QM679"/>
      <c r="QN679"/>
      <c r="QO679"/>
      <c r="QP679"/>
      <c r="QQ679"/>
      <c r="QR679"/>
      <c r="QS679"/>
      <c r="QT679"/>
      <c r="QU679"/>
      <c r="QV679"/>
      <c r="QW679"/>
      <c r="QX679"/>
      <c r="QY679"/>
      <c r="QZ679"/>
      <c r="RA679"/>
      <c r="RB679"/>
      <c r="RC679"/>
      <c r="RD679"/>
      <c r="RE679"/>
      <c r="RF679"/>
      <c r="RG679"/>
      <c r="RH679"/>
      <c r="RI679"/>
      <c r="RJ679"/>
      <c r="RK679"/>
      <c r="RL679"/>
      <c r="RM679"/>
      <c r="RN679"/>
      <c r="RO679"/>
      <c r="RP679"/>
      <c r="RQ679"/>
      <c r="RR679"/>
      <c r="RS679"/>
      <c r="RT679"/>
      <c r="RU679"/>
      <c r="RV679"/>
      <c r="RW679"/>
      <c r="RX679"/>
      <c r="RY679"/>
      <c r="RZ679"/>
      <c r="SA679"/>
      <c r="SB679"/>
      <c r="SC679"/>
      <c r="SD679"/>
      <c r="SE679"/>
      <c r="SF679"/>
      <c r="SG679"/>
      <c r="SH679"/>
      <c r="SI679"/>
      <c r="SJ679"/>
      <c r="SK679"/>
      <c r="SL679"/>
      <c r="SM679"/>
      <c r="SN679"/>
      <c r="SO679"/>
      <c r="SP679"/>
      <c r="SQ679"/>
      <c r="SR679"/>
      <c r="SS679"/>
      <c r="ST679"/>
      <c r="SU679"/>
      <c r="SV679"/>
      <c r="SW679"/>
      <c r="SX679"/>
      <c r="SY679"/>
      <c r="SZ679"/>
      <c r="TA679"/>
      <c r="TB679"/>
      <c r="TC679"/>
      <c r="TD679"/>
      <c r="TE679"/>
      <c r="TF679"/>
      <c r="TG679"/>
      <c r="TH679"/>
      <c r="TI679"/>
      <c r="TJ679"/>
      <c r="TK679"/>
      <c r="TL679"/>
      <c r="TM679"/>
      <c r="TN679"/>
      <c r="TO679"/>
      <c r="TP679"/>
      <c r="TQ679"/>
      <c r="TR679"/>
      <c r="TS679"/>
      <c r="TT679"/>
      <c r="TU679"/>
      <c r="TV679"/>
      <c r="TW679"/>
      <c r="TX679"/>
      <c r="TY679"/>
      <c r="TZ679"/>
      <c r="UA679"/>
      <c r="UB679"/>
      <c r="UC679"/>
      <c r="UD679"/>
      <c r="UE679"/>
      <c r="UF679"/>
      <c r="UG679"/>
      <c r="UH679"/>
      <c r="UI679"/>
      <c r="UJ679"/>
      <c r="UK679"/>
      <c r="UL679"/>
      <c r="UM679"/>
      <c r="UN679"/>
      <c r="UO679"/>
      <c r="UP679"/>
      <c r="UQ679"/>
      <c r="UR679"/>
      <c r="US679"/>
      <c r="UT679"/>
      <c r="UU679"/>
      <c r="UV679"/>
      <c r="UW679"/>
      <c r="UX679"/>
      <c r="UY679"/>
      <c r="UZ679"/>
      <c r="VA679"/>
      <c r="VB679"/>
      <c r="VC679"/>
      <c r="VD679"/>
      <c r="VE679"/>
      <c r="VF679"/>
      <c r="VG679"/>
      <c r="VH679"/>
      <c r="VI679"/>
      <c r="VJ679"/>
      <c r="VK679"/>
      <c r="VL679"/>
      <c r="VM679"/>
      <c r="VN679"/>
      <c r="VO679"/>
      <c r="VP679"/>
      <c r="VQ679"/>
      <c r="VR679"/>
      <c r="VS679"/>
      <c r="VT679"/>
      <c r="VU679"/>
      <c r="VV679"/>
      <c r="VW679"/>
      <c r="VX679"/>
      <c r="VY679"/>
      <c r="VZ679"/>
      <c r="WA679"/>
      <c r="WB679"/>
      <c r="WC679"/>
      <c r="WD679"/>
      <c r="WE679"/>
      <c r="WF679"/>
      <c r="WG679"/>
      <c r="WH679"/>
      <c r="WI679"/>
      <c r="WJ679"/>
      <c r="WK679"/>
      <c r="WL679"/>
      <c r="WM679"/>
      <c r="WN679"/>
      <c r="WO679"/>
      <c r="WP679"/>
      <c r="WQ679"/>
      <c r="WR679"/>
      <c r="WS679"/>
      <c r="WT679"/>
      <c r="WU679"/>
      <c r="WV679"/>
      <c r="WW679"/>
      <c r="WX679"/>
      <c r="WY679"/>
      <c r="WZ679"/>
      <c r="XA679"/>
      <c r="XB679"/>
      <c r="XC679"/>
      <c r="XD679"/>
      <c r="XE679"/>
      <c r="XF679"/>
      <c r="XG679"/>
      <c r="XH679"/>
      <c r="XI679"/>
      <c r="XJ679"/>
      <c r="XK679"/>
      <c r="XL679"/>
      <c r="XM679"/>
      <c r="XN679"/>
      <c r="XO679"/>
      <c r="XP679"/>
      <c r="XQ679"/>
      <c r="XR679"/>
      <c r="XS679"/>
      <c r="XT679"/>
      <c r="XU679"/>
      <c r="XV679"/>
      <c r="XW679"/>
      <c r="XX679"/>
      <c r="XY679"/>
      <c r="XZ679"/>
      <c r="YA679"/>
      <c r="YB679"/>
      <c r="YC679"/>
      <c r="YD679"/>
      <c r="YE679"/>
      <c r="YF679"/>
      <c r="YG679"/>
      <c r="YH679"/>
      <c r="YI679"/>
      <c r="YJ679"/>
      <c r="YK679"/>
      <c r="YL679"/>
      <c r="YM679"/>
      <c r="YN679"/>
      <c r="YO679"/>
      <c r="YP679"/>
      <c r="YQ679"/>
      <c r="YR679"/>
      <c r="YS679"/>
      <c r="YT679"/>
      <c r="YU679"/>
      <c r="YV679"/>
      <c r="YW679"/>
      <c r="YX679"/>
      <c r="YY679"/>
      <c r="YZ679"/>
      <c r="ZA679"/>
      <c r="ZB679"/>
      <c r="ZC679"/>
      <c r="ZD679"/>
      <c r="ZE679"/>
      <c r="ZF679"/>
      <c r="ZG679"/>
      <c r="ZH679"/>
      <c r="ZI679"/>
      <c r="ZJ679"/>
      <c r="ZK679"/>
      <c r="ZL679"/>
      <c r="ZM679"/>
      <c r="ZN679"/>
      <c r="ZO679"/>
      <c r="ZP679"/>
      <c r="ZQ679"/>
      <c r="ZR679"/>
      <c r="ZS679"/>
      <c r="ZT679"/>
      <c r="ZU679"/>
      <c r="ZV679"/>
      <c r="ZW679"/>
      <c r="ZX679"/>
      <c r="ZY679"/>
      <c r="ZZ679" s="52"/>
      <c r="AAA679" s="192"/>
      <c r="AAD679" s="90"/>
      <c r="AAE679" s="519">
        <v>1</v>
      </c>
      <c r="AAF679" s="90"/>
      <c r="AAG679" s="72"/>
      <c r="AAH679" s="72"/>
      <c r="AAI679" s="72"/>
      <c r="AAJ679" s="72"/>
      <c r="AAK679" s="80" t="str">
        <f>"- editing with SOS and Legislative Counsel perspective - "&amp;S.Staff.AgencyRulesCoordinator</f>
        <v>- editing with SOS and Legislative Counsel perspective - Maggie</v>
      </c>
      <c r="AAL679" s="90"/>
    </row>
    <row r="680" spans="1:715" s="23" customFormat="1" ht="15" customHeight="1" outlineLevel="2">
      <c r="A680" s="171" t="s">
        <v>0</v>
      </c>
      <c r="B680" s="670" t="str">
        <f>AAK680</f>
        <v>- editing with EQC perspective, prepares packet for EQC - Stephanie</v>
      </c>
      <c r="C680" s="376" t="s">
        <v>0</v>
      </c>
      <c r="I680" s="244"/>
      <c r="J680" s="194"/>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49"/>
      <c r="BF680" s="49"/>
      <c r="BG680" s="49"/>
      <c r="BH680" s="49"/>
      <c r="BI680" s="49"/>
      <c r="BJ680" s="49"/>
      <c r="BK680" s="49"/>
      <c r="BL680" s="49"/>
      <c r="BM680" s="49"/>
      <c r="BN680" s="49"/>
      <c r="BO680" s="49"/>
      <c r="BP680" s="49"/>
      <c r="BQ680" s="49"/>
      <c r="BR680" s="49"/>
      <c r="BS680" s="49"/>
      <c r="BT680" s="49"/>
      <c r="BU680" s="49"/>
      <c r="BV680" s="49"/>
      <c r="BW680" s="49"/>
      <c r="BX680" s="49"/>
      <c r="BY680" s="49"/>
      <c r="BZ680" s="49"/>
      <c r="CA680" s="49"/>
      <c r="CB680" s="49"/>
      <c r="CC680" s="49"/>
      <c r="CD680" s="49"/>
      <c r="CE680" s="49"/>
      <c r="CF680" s="49"/>
      <c r="CG680" s="49"/>
      <c r="CH680" s="49"/>
      <c r="CI680" s="49"/>
      <c r="CJ680" s="49"/>
      <c r="CK680" s="49"/>
      <c r="CL680" s="49"/>
      <c r="CM680" s="49"/>
      <c r="CN680" s="49"/>
      <c r="CO680" s="49"/>
      <c r="CP680" s="49"/>
      <c r="CQ680" s="49"/>
      <c r="CR680" s="49"/>
      <c r="CS680" s="49"/>
      <c r="CT680" s="49"/>
      <c r="CU680" s="49"/>
      <c r="CV680" s="49"/>
      <c r="CW680" s="49"/>
      <c r="CX680" s="49"/>
      <c r="CY680" s="49"/>
      <c r="CZ680" s="49"/>
      <c r="DA680" s="49"/>
      <c r="DB680" s="49"/>
      <c r="DC680" s="49"/>
      <c r="DD680" s="49"/>
      <c r="DE680" s="49"/>
      <c r="DF680" s="49"/>
      <c r="DG680" s="49"/>
      <c r="DH680" s="49"/>
      <c r="DI680" s="49"/>
      <c r="DJ680" s="49"/>
      <c r="DK680" s="49"/>
      <c r="DL680" s="49"/>
      <c r="DM680" s="49"/>
      <c r="DN680" s="49"/>
      <c r="DO680" s="49"/>
      <c r="DP680" s="49"/>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c r="IW680"/>
      <c r="IX680"/>
      <c r="IY680"/>
      <c r="IZ680"/>
      <c r="JA680"/>
      <c r="JB680"/>
      <c r="JC680"/>
      <c r="JD680"/>
      <c r="JE680"/>
      <c r="JF680"/>
      <c r="JG680"/>
      <c r="JH680"/>
      <c r="JI680"/>
      <c r="JJ680"/>
      <c r="JK680"/>
      <c r="JL680"/>
      <c r="JM680"/>
      <c r="JN680"/>
      <c r="JO680"/>
      <c r="JP680"/>
      <c r="JQ680"/>
      <c r="JR680"/>
      <c r="JS680"/>
      <c r="JT680"/>
      <c r="JU680"/>
      <c r="JV680"/>
      <c r="JW680"/>
      <c r="JX680"/>
      <c r="JY680"/>
      <c r="JZ680"/>
      <c r="KA680"/>
      <c r="KB680"/>
      <c r="KC680"/>
      <c r="KD680"/>
      <c r="KE680"/>
      <c r="KF680"/>
      <c r="KG680"/>
      <c r="KH680"/>
      <c r="KI680"/>
      <c r="KJ680"/>
      <c r="KK680"/>
      <c r="KL680"/>
      <c r="KM680"/>
      <c r="KN680"/>
      <c r="KO680"/>
      <c r="KP680"/>
      <c r="KQ680"/>
      <c r="KR680"/>
      <c r="KS680"/>
      <c r="KT680"/>
      <c r="KU680"/>
      <c r="KV680"/>
      <c r="KW680"/>
      <c r="KX680"/>
      <c r="KY680"/>
      <c r="KZ680"/>
      <c r="LA680"/>
      <c r="LB680"/>
      <c r="LC680"/>
      <c r="LD680"/>
      <c r="LE680"/>
      <c r="LF680"/>
      <c r="LG680"/>
      <c r="LH680"/>
      <c r="LI680"/>
      <c r="LJ680"/>
      <c r="LK680"/>
      <c r="LL680"/>
      <c r="LM680"/>
      <c r="LN680"/>
      <c r="LO680"/>
      <c r="LP680"/>
      <c r="LQ680"/>
      <c r="LR680"/>
      <c r="LS680"/>
      <c r="LT680"/>
      <c r="LU680"/>
      <c r="LV680"/>
      <c r="LW680"/>
      <c r="LX680"/>
      <c r="LY680"/>
      <c r="LZ680"/>
      <c r="MA680"/>
      <c r="MB680"/>
      <c r="MC680"/>
      <c r="MD680"/>
      <c r="ME680"/>
      <c r="MF680"/>
      <c r="MG680"/>
      <c r="MH680"/>
      <c r="MI680"/>
      <c r="MJ680"/>
      <c r="MK680"/>
      <c r="ML680"/>
      <c r="MM680"/>
      <c r="MN680"/>
      <c r="MO680"/>
      <c r="MP680"/>
      <c r="MQ680"/>
      <c r="MR680"/>
      <c r="MS680"/>
      <c r="MT680"/>
      <c r="MU680"/>
      <c r="MV680"/>
      <c r="MW680"/>
      <c r="MX680"/>
      <c r="MY680"/>
      <c r="MZ680"/>
      <c r="NA680"/>
      <c r="NB680"/>
      <c r="NC680"/>
      <c r="ND680"/>
      <c r="NE680"/>
      <c r="NF680"/>
      <c r="NG680"/>
      <c r="NH680"/>
      <c r="NI680"/>
      <c r="NJ680"/>
      <c r="NK680"/>
      <c r="NL680"/>
      <c r="NM680"/>
      <c r="NN680"/>
      <c r="NO680"/>
      <c r="NP680"/>
      <c r="NQ680"/>
      <c r="NR680"/>
      <c r="NS680"/>
      <c r="NT680"/>
      <c r="NU680"/>
      <c r="NV680"/>
      <c r="NW680"/>
      <c r="NX680"/>
      <c r="NY680"/>
      <c r="NZ680"/>
      <c r="OA680"/>
      <c r="OB680"/>
      <c r="OC680"/>
      <c r="OD680"/>
      <c r="OE680"/>
      <c r="OF680"/>
      <c r="OG680"/>
      <c r="OH680"/>
      <c r="OI680"/>
      <c r="OJ680"/>
      <c r="OK680"/>
      <c r="OL680"/>
      <c r="OM680"/>
      <c r="ON680"/>
      <c r="OO680"/>
      <c r="OP680"/>
      <c r="OQ680"/>
      <c r="OR680"/>
      <c r="OS680"/>
      <c r="OT680"/>
      <c r="OU680"/>
      <c r="OV680"/>
      <c r="OW680"/>
      <c r="OX680"/>
      <c r="OY680"/>
      <c r="OZ680"/>
      <c r="PA680"/>
      <c r="PB680"/>
      <c r="PC680"/>
      <c r="PD680"/>
      <c r="PE680"/>
      <c r="PF680"/>
      <c r="PG680"/>
      <c r="PH680"/>
      <c r="PI680"/>
      <c r="PJ680"/>
      <c r="PK680"/>
      <c r="PL680"/>
      <c r="PM680"/>
      <c r="PN680"/>
      <c r="PO680"/>
      <c r="PP680"/>
      <c r="PQ680"/>
      <c r="PR680"/>
      <c r="PS680"/>
      <c r="PT680"/>
      <c r="PU680"/>
      <c r="PV680"/>
      <c r="PW680"/>
      <c r="PX680"/>
      <c r="PY680"/>
      <c r="PZ680"/>
      <c r="QA680"/>
      <c r="QB680"/>
      <c r="QC680"/>
      <c r="QD680"/>
      <c r="QE680"/>
      <c r="QF680"/>
      <c r="QG680"/>
      <c r="QH680"/>
      <c r="QI680"/>
      <c r="QJ680"/>
      <c r="QK680"/>
      <c r="QL680"/>
      <c r="QM680"/>
      <c r="QN680"/>
      <c r="QO680"/>
      <c r="QP680"/>
      <c r="QQ680"/>
      <c r="QR680"/>
      <c r="QS680"/>
      <c r="QT680"/>
      <c r="QU680"/>
      <c r="QV680"/>
      <c r="QW680"/>
      <c r="QX680"/>
      <c r="QY680"/>
      <c r="QZ680"/>
      <c r="RA680"/>
      <c r="RB680"/>
      <c r="RC680"/>
      <c r="RD680"/>
      <c r="RE680"/>
      <c r="RF680"/>
      <c r="RG680"/>
      <c r="RH680"/>
      <c r="RI680"/>
      <c r="RJ680"/>
      <c r="RK680"/>
      <c r="RL680"/>
      <c r="RM680"/>
      <c r="RN680"/>
      <c r="RO680"/>
      <c r="RP680"/>
      <c r="RQ680"/>
      <c r="RR680"/>
      <c r="RS680"/>
      <c r="RT680"/>
      <c r="RU680"/>
      <c r="RV680"/>
      <c r="RW680"/>
      <c r="RX680"/>
      <c r="RY680"/>
      <c r="RZ680"/>
      <c r="SA680"/>
      <c r="SB680"/>
      <c r="SC680"/>
      <c r="SD680"/>
      <c r="SE680"/>
      <c r="SF680"/>
      <c r="SG680"/>
      <c r="SH680"/>
      <c r="SI680"/>
      <c r="SJ680"/>
      <c r="SK680"/>
      <c r="SL680"/>
      <c r="SM680"/>
      <c r="SN680"/>
      <c r="SO680"/>
      <c r="SP680"/>
      <c r="SQ680"/>
      <c r="SR680"/>
      <c r="SS680"/>
      <c r="ST680"/>
      <c r="SU680"/>
      <c r="SV680"/>
      <c r="SW680"/>
      <c r="SX680"/>
      <c r="SY680"/>
      <c r="SZ680"/>
      <c r="TA680"/>
      <c r="TB680"/>
      <c r="TC680"/>
      <c r="TD680"/>
      <c r="TE680"/>
      <c r="TF680"/>
      <c r="TG680"/>
      <c r="TH680"/>
      <c r="TI680"/>
      <c r="TJ680"/>
      <c r="TK680"/>
      <c r="TL680"/>
      <c r="TM680"/>
      <c r="TN680"/>
      <c r="TO680"/>
      <c r="TP680"/>
      <c r="TQ680"/>
      <c r="TR680"/>
      <c r="TS680"/>
      <c r="TT680"/>
      <c r="TU680"/>
      <c r="TV680"/>
      <c r="TW680"/>
      <c r="TX680"/>
      <c r="TY680"/>
      <c r="TZ680"/>
      <c r="UA680"/>
      <c r="UB680"/>
      <c r="UC680"/>
      <c r="UD680"/>
      <c r="UE680"/>
      <c r="UF680"/>
      <c r="UG680"/>
      <c r="UH680"/>
      <c r="UI680"/>
      <c r="UJ680"/>
      <c r="UK680"/>
      <c r="UL680"/>
      <c r="UM680"/>
      <c r="UN680"/>
      <c r="UO680"/>
      <c r="UP680"/>
      <c r="UQ680"/>
      <c r="UR680"/>
      <c r="US680"/>
      <c r="UT680"/>
      <c r="UU680"/>
      <c r="UV680"/>
      <c r="UW680"/>
      <c r="UX680"/>
      <c r="UY680"/>
      <c r="UZ680"/>
      <c r="VA680"/>
      <c r="VB680"/>
      <c r="VC680"/>
      <c r="VD680"/>
      <c r="VE680"/>
      <c r="VF680"/>
      <c r="VG680"/>
      <c r="VH680"/>
      <c r="VI680"/>
      <c r="VJ680"/>
      <c r="VK680"/>
      <c r="VL680"/>
      <c r="VM680"/>
      <c r="VN680"/>
      <c r="VO680"/>
      <c r="VP680"/>
      <c r="VQ680"/>
      <c r="VR680"/>
      <c r="VS680"/>
      <c r="VT680"/>
      <c r="VU680"/>
      <c r="VV680"/>
      <c r="VW680"/>
      <c r="VX680"/>
      <c r="VY680"/>
      <c r="VZ680"/>
      <c r="WA680"/>
      <c r="WB680"/>
      <c r="WC680"/>
      <c r="WD680"/>
      <c r="WE680"/>
      <c r="WF680"/>
      <c r="WG680"/>
      <c r="WH680"/>
      <c r="WI680"/>
      <c r="WJ680"/>
      <c r="WK680"/>
      <c r="WL680"/>
      <c r="WM680"/>
      <c r="WN680"/>
      <c r="WO680"/>
      <c r="WP680"/>
      <c r="WQ680"/>
      <c r="WR680"/>
      <c r="WS680"/>
      <c r="WT680"/>
      <c r="WU680"/>
      <c r="WV680"/>
      <c r="WW680"/>
      <c r="WX680"/>
      <c r="WY680"/>
      <c r="WZ680"/>
      <c r="XA680"/>
      <c r="XB680"/>
      <c r="XC680"/>
      <c r="XD680"/>
      <c r="XE680"/>
      <c r="XF680"/>
      <c r="XG680"/>
      <c r="XH680"/>
      <c r="XI680"/>
      <c r="XJ680"/>
      <c r="XK680"/>
      <c r="XL680"/>
      <c r="XM680"/>
      <c r="XN680"/>
      <c r="XO680"/>
      <c r="XP680"/>
      <c r="XQ680"/>
      <c r="XR680"/>
      <c r="XS680"/>
      <c r="XT680"/>
      <c r="XU680"/>
      <c r="XV680"/>
      <c r="XW680"/>
      <c r="XX680"/>
      <c r="XY680"/>
      <c r="XZ680"/>
      <c r="YA680"/>
      <c r="YB680"/>
      <c r="YC680"/>
      <c r="YD680"/>
      <c r="YE680"/>
      <c r="YF680"/>
      <c r="YG680"/>
      <c r="YH680"/>
      <c r="YI680"/>
      <c r="YJ680"/>
      <c r="YK680"/>
      <c r="YL680"/>
      <c r="YM680"/>
      <c r="YN680"/>
      <c r="YO680"/>
      <c r="YP680"/>
      <c r="YQ680"/>
      <c r="YR680"/>
      <c r="YS680"/>
      <c r="YT680"/>
      <c r="YU680"/>
      <c r="YV680"/>
      <c r="YW680"/>
      <c r="YX680"/>
      <c r="YY680"/>
      <c r="YZ680"/>
      <c r="ZA680"/>
      <c r="ZB680"/>
      <c r="ZC680"/>
      <c r="ZD680"/>
      <c r="ZE680"/>
      <c r="ZF680"/>
      <c r="ZG680"/>
      <c r="ZH680"/>
      <c r="ZI680"/>
      <c r="ZJ680"/>
      <c r="ZK680"/>
      <c r="ZL680"/>
      <c r="ZM680"/>
      <c r="ZN680"/>
      <c r="ZO680"/>
      <c r="ZP680"/>
      <c r="ZQ680"/>
      <c r="ZR680"/>
      <c r="ZS680"/>
      <c r="ZT680"/>
      <c r="ZU680"/>
      <c r="ZV680"/>
      <c r="ZW680"/>
      <c r="ZX680"/>
      <c r="ZY680"/>
      <c r="ZZ680" s="52"/>
      <c r="AAA680" s="192"/>
      <c r="AAD680" s="90"/>
      <c r="AAE680" s="519">
        <v>1</v>
      </c>
      <c r="AAF680" s="90"/>
      <c r="AAG680" s="72"/>
      <c r="AAH680" s="72"/>
      <c r="AAI680" s="72"/>
      <c r="AAJ680" s="72"/>
      <c r="AAK680" s="80" t="str">
        <f>"- editing with EQC perspective, prepares packet for EQC - "&amp;S.Staff.EQCAssistant</f>
        <v>- editing with EQC perspective, prepares packet for EQC - Stephanie</v>
      </c>
      <c r="AAL680" s="90"/>
    </row>
    <row r="681" spans="1:715" s="23" customFormat="1" ht="15" customHeight="1" outlineLevel="2">
      <c r="A681" s="171" t="s">
        <v>0</v>
      </c>
      <c r="B681" s="670" t="str">
        <f>AAK681</f>
        <v>- contacting AndreaRW with questions or modifications</v>
      </c>
      <c r="C681" s="376" t="s">
        <v>0</v>
      </c>
      <c r="I681" s="244"/>
      <c r="J681" s="194"/>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c r="BE681" s="49"/>
      <c r="BF681" s="49"/>
      <c r="BG681" s="49"/>
      <c r="BH681" s="49"/>
      <c r="BI681" s="49"/>
      <c r="BJ681" s="49"/>
      <c r="BK681" s="49"/>
      <c r="BL681" s="49"/>
      <c r="BM681" s="49"/>
      <c r="BN681" s="49"/>
      <c r="BO681" s="49"/>
      <c r="BP681" s="49"/>
      <c r="BQ681" s="49"/>
      <c r="BR681" s="49"/>
      <c r="BS681" s="49"/>
      <c r="BT681" s="49"/>
      <c r="BU681" s="49"/>
      <c r="BV681" s="49"/>
      <c r="BW681" s="49"/>
      <c r="BX681" s="49"/>
      <c r="BY681" s="49"/>
      <c r="BZ681" s="49"/>
      <c r="CA681" s="49"/>
      <c r="CB681" s="49"/>
      <c r="CC681" s="49"/>
      <c r="CD681" s="49"/>
      <c r="CE681" s="49"/>
      <c r="CF681" s="49"/>
      <c r="CG681" s="49"/>
      <c r="CH681" s="49"/>
      <c r="CI681" s="49"/>
      <c r="CJ681" s="49"/>
      <c r="CK681" s="49"/>
      <c r="CL681" s="49"/>
      <c r="CM681" s="49"/>
      <c r="CN681" s="49"/>
      <c r="CO681" s="49"/>
      <c r="CP681" s="49"/>
      <c r="CQ681" s="49"/>
      <c r="CR681" s="49"/>
      <c r="CS681" s="49"/>
      <c r="CT681" s="49"/>
      <c r="CU681" s="49"/>
      <c r="CV681" s="49"/>
      <c r="CW681" s="49"/>
      <c r="CX681" s="49"/>
      <c r="CY681" s="49"/>
      <c r="CZ681" s="49"/>
      <c r="DA681" s="49"/>
      <c r="DB681" s="49"/>
      <c r="DC681" s="49"/>
      <c r="DD681" s="49"/>
      <c r="DE681" s="49"/>
      <c r="DF681" s="49"/>
      <c r="DG681" s="49"/>
      <c r="DH681" s="49"/>
      <c r="DI681" s="49"/>
      <c r="DJ681" s="49"/>
      <c r="DK681" s="49"/>
      <c r="DL681" s="49"/>
      <c r="DM681" s="49"/>
      <c r="DN681" s="49"/>
      <c r="DO681" s="49"/>
      <c r="DP681" s="49"/>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c r="IW681"/>
      <c r="IX681"/>
      <c r="IY681"/>
      <c r="IZ681"/>
      <c r="JA681"/>
      <c r="JB681"/>
      <c r="JC681"/>
      <c r="JD681"/>
      <c r="JE681"/>
      <c r="JF681"/>
      <c r="JG681"/>
      <c r="JH681"/>
      <c r="JI681"/>
      <c r="JJ681"/>
      <c r="JK681"/>
      <c r="JL681"/>
      <c r="JM681"/>
      <c r="JN681"/>
      <c r="JO681"/>
      <c r="JP681"/>
      <c r="JQ681"/>
      <c r="JR681"/>
      <c r="JS681"/>
      <c r="JT681"/>
      <c r="JU681"/>
      <c r="JV681"/>
      <c r="JW681"/>
      <c r="JX681"/>
      <c r="JY681"/>
      <c r="JZ681"/>
      <c r="KA681"/>
      <c r="KB681"/>
      <c r="KC681"/>
      <c r="KD681"/>
      <c r="KE681"/>
      <c r="KF681"/>
      <c r="KG681"/>
      <c r="KH681"/>
      <c r="KI681"/>
      <c r="KJ681"/>
      <c r="KK681"/>
      <c r="KL681"/>
      <c r="KM681"/>
      <c r="KN681"/>
      <c r="KO681"/>
      <c r="KP681"/>
      <c r="KQ681"/>
      <c r="KR681"/>
      <c r="KS681"/>
      <c r="KT681"/>
      <c r="KU681"/>
      <c r="KV681"/>
      <c r="KW681"/>
      <c r="KX681"/>
      <c r="KY681"/>
      <c r="KZ681"/>
      <c r="LA681"/>
      <c r="LB681"/>
      <c r="LC681"/>
      <c r="LD681"/>
      <c r="LE681"/>
      <c r="LF681"/>
      <c r="LG681"/>
      <c r="LH681"/>
      <c r="LI681"/>
      <c r="LJ681"/>
      <c r="LK681"/>
      <c r="LL681"/>
      <c r="LM681"/>
      <c r="LN681"/>
      <c r="LO681"/>
      <c r="LP681"/>
      <c r="LQ681"/>
      <c r="LR681"/>
      <c r="LS681"/>
      <c r="LT681"/>
      <c r="LU681"/>
      <c r="LV681"/>
      <c r="LW681"/>
      <c r="LX681"/>
      <c r="LY681"/>
      <c r="LZ681"/>
      <c r="MA681"/>
      <c r="MB681"/>
      <c r="MC681"/>
      <c r="MD681"/>
      <c r="ME681"/>
      <c r="MF681"/>
      <c r="MG681"/>
      <c r="MH681"/>
      <c r="MI681"/>
      <c r="MJ681"/>
      <c r="MK681"/>
      <c r="ML681"/>
      <c r="MM681"/>
      <c r="MN681"/>
      <c r="MO681"/>
      <c r="MP681"/>
      <c r="MQ681"/>
      <c r="MR681"/>
      <c r="MS681"/>
      <c r="MT681"/>
      <c r="MU681"/>
      <c r="MV681"/>
      <c r="MW681"/>
      <c r="MX681"/>
      <c r="MY681"/>
      <c r="MZ681"/>
      <c r="NA681"/>
      <c r="NB681"/>
      <c r="NC681"/>
      <c r="ND681"/>
      <c r="NE681"/>
      <c r="NF681"/>
      <c r="NG681"/>
      <c r="NH681"/>
      <c r="NI681"/>
      <c r="NJ681"/>
      <c r="NK681"/>
      <c r="NL681"/>
      <c r="NM681"/>
      <c r="NN681"/>
      <c r="NO681"/>
      <c r="NP681"/>
      <c r="NQ681"/>
      <c r="NR681"/>
      <c r="NS681"/>
      <c r="NT681"/>
      <c r="NU681"/>
      <c r="NV681"/>
      <c r="NW681"/>
      <c r="NX681"/>
      <c r="NY681"/>
      <c r="NZ681"/>
      <c r="OA681"/>
      <c r="OB681"/>
      <c r="OC681"/>
      <c r="OD681"/>
      <c r="OE681"/>
      <c r="OF681"/>
      <c r="OG681"/>
      <c r="OH681"/>
      <c r="OI681"/>
      <c r="OJ681"/>
      <c r="OK681"/>
      <c r="OL681"/>
      <c r="OM681"/>
      <c r="ON681"/>
      <c r="OO681"/>
      <c r="OP681"/>
      <c r="OQ681"/>
      <c r="OR681"/>
      <c r="OS681"/>
      <c r="OT681"/>
      <c r="OU681"/>
      <c r="OV681"/>
      <c r="OW681"/>
      <c r="OX681"/>
      <c r="OY681"/>
      <c r="OZ681"/>
      <c r="PA681"/>
      <c r="PB681"/>
      <c r="PC681"/>
      <c r="PD681"/>
      <c r="PE681"/>
      <c r="PF681"/>
      <c r="PG681"/>
      <c r="PH681"/>
      <c r="PI681"/>
      <c r="PJ681"/>
      <c r="PK681"/>
      <c r="PL681"/>
      <c r="PM681"/>
      <c r="PN681"/>
      <c r="PO681"/>
      <c r="PP681"/>
      <c r="PQ681"/>
      <c r="PR681"/>
      <c r="PS681"/>
      <c r="PT681"/>
      <c r="PU681"/>
      <c r="PV681"/>
      <c r="PW681"/>
      <c r="PX681"/>
      <c r="PY681"/>
      <c r="PZ681"/>
      <c r="QA681"/>
      <c r="QB681"/>
      <c r="QC681"/>
      <c r="QD681"/>
      <c r="QE681"/>
      <c r="QF681"/>
      <c r="QG681"/>
      <c r="QH681"/>
      <c r="QI681"/>
      <c r="QJ681"/>
      <c r="QK681"/>
      <c r="QL681"/>
      <c r="QM681"/>
      <c r="QN681"/>
      <c r="QO681"/>
      <c r="QP681"/>
      <c r="QQ681"/>
      <c r="QR681"/>
      <c r="QS681"/>
      <c r="QT681"/>
      <c r="QU681"/>
      <c r="QV681"/>
      <c r="QW681"/>
      <c r="QX681"/>
      <c r="QY681"/>
      <c r="QZ681"/>
      <c r="RA681"/>
      <c r="RB681"/>
      <c r="RC681"/>
      <c r="RD681"/>
      <c r="RE681"/>
      <c r="RF681"/>
      <c r="RG681"/>
      <c r="RH681"/>
      <c r="RI681"/>
      <c r="RJ681"/>
      <c r="RK681"/>
      <c r="RL681"/>
      <c r="RM681"/>
      <c r="RN681"/>
      <c r="RO681"/>
      <c r="RP681"/>
      <c r="RQ681"/>
      <c r="RR681"/>
      <c r="RS681"/>
      <c r="RT681"/>
      <c r="RU681"/>
      <c r="RV681"/>
      <c r="RW681"/>
      <c r="RX681"/>
      <c r="RY681"/>
      <c r="RZ681"/>
      <c r="SA681"/>
      <c r="SB681"/>
      <c r="SC681"/>
      <c r="SD681"/>
      <c r="SE681"/>
      <c r="SF681"/>
      <c r="SG681"/>
      <c r="SH681"/>
      <c r="SI681"/>
      <c r="SJ681"/>
      <c r="SK681"/>
      <c r="SL681"/>
      <c r="SM681"/>
      <c r="SN681"/>
      <c r="SO681"/>
      <c r="SP681"/>
      <c r="SQ681"/>
      <c r="SR681"/>
      <c r="SS681"/>
      <c r="ST681"/>
      <c r="SU681"/>
      <c r="SV681"/>
      <c r="SW681"/>
      <c r="SX681"/>
      <c r="SY681"/>
      <c r="SZ681"/>
      <c r="TA681"/>
      <c r="TB681"/>
      <c r="TC681"/>
      <c r="TD681"/>
      <c r="TE681"/>
      <c r="TF681"/>
      <c r="TG681"/>
      <c r="TH681"/>
      <c r="TI681"/>
      <c r="TJ681"/>
      <c r="TK681"/>
      <c r="TL681"/>
      <c r="TM681"/>
      <c r="TN681"/>
      <c r="TO681"/>
      <c r="TP681"/>
      <c r="TQ681"/>
      <c r="TR681"/>
      <c r="TS681"/>
      <c r="TT681"/>
      <c r="TU681"/>
      <c r="TV681"/>
      <c r="TW681"/>
      <c r="TX681"/>
      <c r="TY681"/>
      <c r="TZ681"/>
      <c r="UA681"/>
      <c r="UB681"/>
      <c r="UC681"/>
      <c r="UD681"/>
      <c r="UE681"/>
      <c r="UF681"/>
      <c r="UG681"/>
      <c r="UH681"/>
      <c r="UI681"/>
      <c r="UJ681"/>
      <c r="UK681"/>
      <c r="UL681"/>
      <c r="UM681"/>
      <c r="UN681"/>
      <c r="UO681"/>
      <c r="UP681"/>
      <c r="UQ681"/>
      <c r="UR681"/>
      <c r="US681"/>
      <c r="UT681"/>
      <c r="UU681"/>
      <c r="UV681"/>
      <c r="UW681"/>
      <c r="UX681"/>
      <c r="UY681"/>
      <c r="UZ681"/>
      <c r="VA681"/>
      <c r="VB681"/>
      <c r="VC681"/>
      <c r="VD681"/>
      <c r="VE681"/>
      <c r="VF681"/>
      <c r="VG681"/>
      <c r="VH681"/>
      <c r="VI681"/>
      <c r="VJ681"/>
      <c r="VK681"/>
      <c r="VL681"/>
      <c r="VM681"/>
      <c r="VN681"/>
      <c r="VO681"/>
      <c r="VP681"/>
      <c r="VQ681"/>
      <c r="VR681"/>
      <c r="VS681"/>
      <c r="VT681"/>
      <c r="VU681"/>
      <c r="VV681"/>
      <c r="VW681"/>
      <c r="VX681"/>
      <c r="VY681"/>
      <c r="VZ681"/>
      <c r="WA681"/>
      <c r="WB681"/>
      <c r="WC681"/>
      <c r="WD681"/>
      <c r="WE681"/>
      <c r="WF681"/>
      <c r="WG681"/>
      <c r="WH681"/>
      <c r="WI681"/>
      <c r="WJ681"/>
      <c r="WK681"/>
      <c r="WL681"/>
      <c r="WM681"/>
      <c r="WN681"/>
      <c r="WO681"/>
      <c r="WP681"/>
      <c r="WQ681"/>
      <c r="WR681"/>
      <c r="WS681"/>
      <c r="WT681"/>
      <c r="WU681"/>
      <c r="WV681"/>
      <c r="WW681"/>
      <c r="WX681"/>
      <c r="WY681"/>
      <c r="WZ681"/>
      <c r="XA681"/>
      <c r="XB681"/>
      <c r="XC681"/>
      <c r="XD681"/>
      <c r="XE681"/>
      <c r="XF681"/>
      <c r="XG681"/>
      <c r="XH681"/>
      <c r="XI681"/>
      <c r="XJ681"/>
      <c r="XK681"/>
      <c r="XL681"/>
      <c r="XM681"/>
      <c r="XN681"/>
      <c r="XO681"/>
      <c r="XP681"/>
      <c r="XQ681"/>
      <c r="XR681"/>
      <c r="XS681"/>
      <c r="XT681"/>
      <c r="XU681"/>
      <c r="XV681"/>
      <c r="XW681"/>
      <c r="XX681"/>
      <c r="XY681"/>
      <c r="XZ681"/>
      <c r="YA681"/>
      <c r="YB681"/>
      <c r="YC681"/>
      <c r="YD681"/>
      <c r="YE681"/>
      <c r="YF681"/>
      <c r="YG681"/>
      <c r="YH681"/>
      <c r="YI681"/>
      <c r="YJ681"/>
      <c r="YK681"/>
      <c r="YL681"/>
      <c r="YM681"/>
      <c r="YN681"/>
      <c r="YO681"/>
      <c r="YP681"/>
      <c r="YQ681"/>
      <c r="YR681"/>
      <c r="YS681"/>
      <c r="YT681"/>
      <c r="YU681"/>
      <c r="YV681"/>
      <c r="YW681"/>
      <c r="YX681"/>
      <c r="YY681"/>
      <c r="YZ681"/>
      <c r="ZA681"/>
      <c r="ZB681"/>
      <c r="ZC681"/>
      <c r="ZD681"/>
      <c r="ZE681"/>
      <c r="ZF681"/>
      <c r="ZG681"/>
      <c r="ZH681"/>
      <c r="ZI681"/>
      <c r="ZJ681"/>
      <c r="ZK681"/>
      <c r="ZL681"/>
      <c r="ZM681"/>
      <c r="ZN681"/>
      <c r="ZO681"/>
      <c r="ZP681"/>
      <c r="ZQ681"/>
      <c r="ZR681"/>
      <c r="ZS681"/>
      <c r="ZT681"/>
      <c r="ZU681"/>
      <c r="ZV681"/>
      <c r="ZW681"/>
      <c r="ZX681"/>
      <c r="ZY681"/>
      <c r="ZZ681" s="52"/>
      <c r="AAA681" s="192"/>
      <c r="AAD681" s="90"/>
      <c r="AAE681" s="519">
        <v>1</v>
      </c>
      <c r="AAF681" s="90"/>
      <c r="AAG681" s="72"/>
      <c r="AAH681" s="72"/>
      <c r="AAI681" s="72"/>
      <c r="AAJ681" s="72"/>
      <c r="AAK681" s="80" t="str">
        <f>"- contacting "&amp;S.Staff.Lead&amp;" with questions or modifications"</f>
        <v>- contacting AndreaRW with questions or modifications</v>
      </c>
      <c r="AAL681" s="90"/>
    </row>
    <row r="682" spans="1:715" s="23" customFormat="1" ht="15" customHeight="1" outlineLevel="2">
      <c r="A682" s="171" t="s">
        <v>0</v>
      </c>
      <c r="B682" s="670" t="str">
        <f>AAK682</f>
        <v>- contacting AndreaRW when staff report ready for EQC  - Stephanie</v>
      </c>
      <c r="C682" s="376" t="s">
        <v>0</v>
      </c>
      <c r="I682" s="244"/>
      <c r="J682" s="194"/>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49"/>
      <c r="BF682" s="49"/>
      <c r="BG682" s="49"/>
      <c r="BH682" s="49"/>
      <c r="BI682" s="49"/>
      <c r="BJ682" s="49"/>
      <c r="BK682" s="49"/>
      <c r="BL682" s="49"/>
      <c r="BM682" s="49"/>
      <c r="BN682" s="49"/>
      <c r="BO682" s="49"/>
      <c r="BP682" s="49"/>
      <c r="BQ682" s="49"/>
      <c r="BR682" s="49"/>
      <c r="BS682" s="49"/>
      <c r="BT682" s="49"/>
      <c r="BU682" s="49"/>
      <c r="BV682" s="49"/>
      <c r="BW682" s="49"/>
      <c r="BX682" s="49"/>
      <c r="BY682" s="49"/>
      <c r="BZ682" s="49"/>
      <c r="CA682" s="49"/>
      <c r="CB682" s="49"/>
      <c r="CC682" s="49"/>
      <c r="CD682" s="49"/>
      <c r="CE682" s="49"/>
      <c r="CF682" s="49"/>
      <c r="CG682" s="49"/>
      <c r="CH682" s="49"/>
      <c r="CI682" s="49"/>
      <c r="CJ682" s="49"/>
      <c r="CK682" s="49"/>
      <c r="CL682" s="49"/>
      <c r="CM682" s="49"/>
      <c r="CN682" s="49"/>
      <c r="CO682" s="49"/>
      <c r="CP682" s="49"/>
      <c r="CQ682" s="49"/>
      <c r="CR682" s="49"/>
      <c r="CS682" s="49"/>
      <c r="CT682" s="49"/>
      <c r="CU682" s="49"/>
      <c r="CV682" s="49"/>
      <c r="CW682" s="49"/>
      <c r="CX682" s="49"/>
      <c r="CY682" s="49"/>
      <c r="CZ682" s="49"/>
      <c r="DA682" s="49"/>
      <c r="DB682" s="49"/>
      <c r="DC682" s="49"/>
      <c r="DD682" s="49"/>
      <c r="DE682" s="49"/>
      <c r="DF682" s="49"/>
      <c r="DG682" s="49"/>
      <c r="DH682" s="49"/>
      <c r="DI682" s="49"/>
      <c r="DJ682" s="49"/>
      <c r="DK682" s="49"/>
      <c r="DL682" s="49"/>
      <c r="DM682" s="49"/>
      <c r="DN682" s="49"/>
      <c r="DO682" s="49"/>
      <c r="DP682" s="49"/>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c r="IW682"/>
      <c r="IX682"/>
      <c r="IY682"/>
      <c r="IZ682"/>
      <c r="JA682"/>
      <c r="JB682"/>
      <c r="JC682"/>
      <c r="JD682"/>
      <c r="JE682"/>
      <c r="JF682"/>
      <c r="JG682"/>
      <c r="JH682"/>
      <c r="JI682"/>
      <c r="JJ682"/>
      <c r="JK682"/>
      <c r="JL682"/>
      <c r="JM682"/>
      <c r="JN682"/>
      <c r="JO682"/>
      <c r="JP682"/>
      <c r="JQ682"/>
      <c r="JR682"/>
      <c r="JS682"/>
      <c r="JT682"/>
      <c r="JU682"/>
      <c r="JV682"/>
      <c r="JW682"/>
      <c r="JX682"/>
      <c r="JY682"/>
      <c r="JZ682"/>
      <c r="KA682"/>
      <c r="KB682"/>
      <c r="KC682"/>
      <c r="KD682"/>
      <c r="KE682"/>
      <c r="KF682"/>
      <c r="KG682"/>
      <c r="KH682"/>
      <c r="KI682"/>
      <c r="KJ682"/>
      <c r="KK682"/>
      <c r="KL682"/>
      <c r="KM682"/>
      <c r="KN682"/>
      <c r="KO682"/>
      <c r="KP682"/>
      <c r="KQ682"/>
      <c r="KR682"/>
      <c r="KS682"/>
      <c r="KT682"/>
      <c r="KU682"/>
      <c r="KV682"/>
      <c r="KW682"/>
      <c r="KX682"/>
      <c r="KY682"/>
      <c r="KZ682"/>
      <c r="LA682"/>
      <c r="LB682"/>
      <c r="LC682"/>
      <c r="LD682"/>
      <c r="LE682"/>
      <c r="LF682"/>
      <c r="LG682"/>
      <c r="LH682"/>
      <c r="LI682"/>
      <c r="LJ682"/>
      <c r="LK682"/>
      <c r="LL682"/>
      <c r="LM682"/>
      <c r="LN682"/>
      <c r="LO682"/>
      <c r="LP682"/>
      <c r="LQ682"/>
      <c r="LR682"/>
      <c r="LS682"/>
      <c r="LT682"/>
      <c r="LU682"/>
      <c r="LV682"/>
      <c r="LW682"/>
      <c r="LX682"/>
      <c r="LY682"/>
      <c r="LZ682"/>
      <c r="MA682"/>
      <c r="MB682"/>
      <c r="MC682"/>
      <c r="MD682"/>
      <c r="ME682"/>
      <c r="MF682"/>
      <c r="MG682"/>
      <c r="MH682"/>
      <c r="MI682"/>
      <c r="MJ682"/>
      <c r="MK682"/>
      <c r="ML682"/>
      <c r="MM682"/>
      <c r="MN682"/>
      <c r="MO682"/>
      <c r="MP682"/>
      <c r="MQ682"/>
      <c r="MR682"/>
      <c r="MS682"/>
      <c r="MT682"/>
      <c r="MU682"/>
      <c r="MV682"/>
      <c r="MW682"/>
      <c r="MX682"/>
      <c r="MY682"/>
      <c r="MZ682"/>
      <c r="NA682"/>
      <c r="NB682"/>
      <c r="NC682"/>
      <c r="ND682"/>
      <c r="NE682"/>
      <c r="NF682"/>
      <c r="NG682"/>
      <c r="NH682"/>
      <c r="NI682"/>
      <c r="NJ682"/>
      <c r="NK682"/>
      <c r="NL682"/>
      <c r="NM682"/>
      <c r="NN682"/>
      <c r="NO682"/>
      <c r="NP682"/>
      <c r="NQ682"/>
      <c r="NR682"/>
      <c r="NS682"/>
      <c r="NT682"/>
      <c r="NU682"/>
      <c r="NV682"/>
      <c r="NW682"/>
      <c r="NX682"/>
      <c r="NY682"/>
      <c r="NZ682"/>
      <c r="OA682"/>
      <c r="OB682"/>
      <c r="OC682"/>
      <c r="OD682"/>
      <c r="OE682"/>
      <c r="OF682"/>
      <c r="OG682"/>
      <c r="OH682"/>
      <c r="OI682"/>
      <c r="OJ682"/>
      <c r="OK682"/>
      <c r="OL682"/>
      <c r="OM682"/>
      <c r="ON682"/>
      <c r="OO682"/>
      <c r="OP682"/>
      <c r="OQ682"/>
      <c r="OR682"/>
      <c r="OS682"/>
      <c r="OT682"/>
      <c r="OU682"/>
      <c r="OV682"/>
      <c r="OW682"/>
      <c r="OX682"/>
      <c r="OY682"/>
      <c r="OZ682"/>
      <c r="PA682"/>
      <c r="PB682"/>
      <c r="PC682"/>
      <c r="PD682"/>
      <c r="PE682"/>
      <c r="PF682"/>
      <c r="PG682"/>
      <c r="PH682"/>
      <c r="PI682"/>
      <c r="PJ682"/>
      <c r="PK682"/>
      <c r="PL682"/>
      <c r="PM682"/>
      <c r="PN682"/>
      <c r="PO682"/>
      <c r="PP682"/>
      <c r="PQ682"/>
      <c r="PR682"/>
      <c r="PS682"/>
      <c r="PT682"/>
      <c r="PU682"/>
      <c r="PV682"/>
      <c r="PW682"/>
      <c r="PX682"/>
      <c r="PY682"/>
      <c r="PZ682"/>
      <c r="QA682"/>
      <c r="QB682"/>
      <c r="QC682"/>
      <c r="QD682"/>
      <c r="QE682"/>
      <c r="QF682"/>
      <c r="QG682"/>
      <c r="QH682"/>
      <c r="QI682"/>
      <c r="QJ682"/>
      <c r="QK682"/>
      <c r="QL682"/>
      <c r="QM682"/>
      <c r="QN682"/>
      <c r="QO682"/>
      <c r="QP682"/>
      <c r="QQ682"/>
      <c r="QR682"/>
      <c r="QS682"/>
      <c r="QT682"/>
      <c r="QU682"/>
      <c r="QV682"/>
      <c r="QW682"/>
      <c r="QX682"/>
      <c r="QY682"/>
      <c r="QZ682"/>
      <c r="RA682"/>
      <c r="RB682"/>
      <c r="RC682"/>
      <c r="RD682"/>
      <c r="RE682"/>
      <c r="RF682"/>
      <c r="RG682"/>
      <c r="RH682"/>
      <c r="RI682"/>
      <c r="RJ682"/>
      <c r="RK682"/>
      <c r="RL682"/>
      <c r="RM682"/>
      <c r="RN682"/>
      <c r="RO682"/>
      <c r="RP682"/>
      <c r="RQ682"/>
      <c r="RR682"/>
      <c r="RS682"/>
      <c r="RT682"/>
      <c r="RU682"/>
      <c r="RV682"/>
      <c r="RW682"/>
      <c r="RX682"/>
      <c r="RY682"/>
      <c r="RZ682"/>
      <c r="SA682"/>
      <c r="SB682"/>
      <c r="SC682"/>
      <c r="SD682"/>
      <c r="SE682"/>
      <c r="SF682"/>
      <c r="SG682"/>
      <c r="SH682"/>
      <c r="SI682"/>
      <c r="SJ682"/>
      <c r="SK682"/>
      <c r="SL682"/>
      <c r="SM682"/>
      <c r="SN682"/>
      <c r="SO682"/>
      <c r="SP682"/>
      <c r="SQ682"/>
      <c r="SR682"/>
      <c r="SS682"/>
      <c r="ST682"/>
      <c r="SU682"/>
      <c r="SV682"/>
      <c r="SW682"/>
      <c r="SX682"/>
      <c r="SY682"/>
      <c r="SZ682"/>
      <c r="TA682"/>
      <c r="TB682"/>
      <c r="TC682"/>
      <c r="TD682"/>
      <c r="TE682"/>
      <c r="TF682"/>
      <c r="TG682"/>
      <c r="TH682"/>
      <c r="TI682"/>
      <c r="TJ682"/>
      <c r="TK682"/>
      <c r="TL682"/>
      <c r="TM682"/>
      <c r="TN682"/>
      <c r="TO682"/>
      <c r="TP682"/>
      <c r="TQ682"/>
      <c r="TR682"/>
      <c r="TS682"/>
      <c r="TT682"/>
      <c r="TU682"/>
      <c r="TV682"/>
      <c r="TW682"/>
      <c r="TX682"/>
      <c r="TY682"/>
      <c r="TZ682"/>
      <c r="UA682"/>
      <c r="UB682"/>
      <c r="UC682"/>
      <c r="UD682"/>
      <c r="UE682"/>
      <c r="UF682"/>
      <c r="UG682"/>
      <c r="UH682"/>
      <c r="UI682"/>
      <c r="UJ682"/>
      <c r="UK682"/>
      <c r="UL682"/>
      <c r="UM682"/>
      <c r="UN682"/>
      <c r="UO682"/>
      <c r="UP682"/>
      <c r="UQ682"/>
      <c r="UR682"/>
      <c r="US682"/>
      <c r="UT682"/>
      <c r="UU682"/>
      <c r="UV682"/>
      <c r="UW682"/>
      <c r="UX682"/>
      <c r="UY682"/>
      <c r="UZ682"/>
      <c r="VA682"/>
      <c r="VB682"/>
      <c r="VC682"/>
      <c r="VD682"/>
      <c r="VE682"/>
      <c r="VF682"/>
      <c r="VG682"/>
      <c r="VH682"/>
      <c r="VI682"/>
      <c r="VJ682"/>
      <c r="VK682"/>
      <c r="VL682"/>
      <c r="VM682"/>
      <c r="VN682"/>
      <c r="VO682"/>
      <c r="VP682"/>
      <c r="VQ682"/>
      <c r="VR682"/>
      <c r="VS682"/>
      <c r="VT682"/>
      <c r="VU682"/>
      <c r="VV682"/>
      <c r="VW682"/>
      <c r="VX682"/>
      <c r="VY682"/>
      <c r="VZ682"/>
      <c r="WA682"/>
      <c r="WB682"/>
      <c r="WC682"/>
      <c r="WD682"/>
      <c r="WE682"/>
      <c r="WF682"/>
      <c r="WG682"/>
      <c r="WH682"/>
      <c r="WI682"/>
      <c r="WJ682"/>
      <c r="WK682"/>
      <c r="WL682"/>
      <c r="WM682"/>
      <c r="WN682"/>
      <c r="WO682"/>
      <c r="WP682"/>
      <c r="WQ682"/>
      <c r="WR682"/>
      <c r="WS682"/>
      <c r="WT682"/>
      <c r="WU682"/>
      <c r="WV682"/>
      <c r="WW682"/>
      <c r="WX682"/>
      <c r="WY682"/>
      <c r="WZ682"/>
      <c r="XA682"/>
      <c r="XB682"/>
      <c r="XC682"/>
      <c r="XD682"/>
      <c r="XE682"/>
      <c r="XF682"/>
      <c r="XG682"/>
      <c r="XH682"/>
      <c r="XI682"/>
      <c r="XJ682"/>
      <c r="XK682"/>
      <c r="XL682"/>
      <c r="XM682"/>
      <c r="XN682"/>
      <c r="XO682"/>
      <c r="XP682"/>
      <c r="XQ682"/>
      <c r="XR682"/>
      <c r="XS682"/>
      <c r="XT682"/>
      <c r="XU682"/>
      <c r="XV682"/>
      <c r="XW682"/>
      <c r="XX682"/>
      <c r="XY682"/>
      <c r="XZ682"/>
      <c r="YA682"/>
      <c r="YB682"/>
      <c r="YC682"/>
      <c r="YD682"/>
      <c r="YE682"/>
      <c r="YF682"/>
      <c r="YG682"/>
      <c r="YH682"/>
      <c r="YI682"/>
      <c r="YJ682"/>
      <c r="YK682"/>
      <c r="YL682"/>
      <c r="YM682"/>
      <c r="YN682"/>
      <c r="YO682"/>
      <c r="YP682"/>
      <c r="YQ682"/>
      <c r="YR682"/>
      <c r="YS682"/>
      <c r="YT682"/>
      <c r="YU682"/>
      <c r="YV682"/>
      <c r="YW682"/>
      <c r="YX682"/>
      <c r="YY682"/>
      <c r="YZ682"/>
      <c r="ZA682"/>
      <c r="ZB682"/>
      <c r="ZC682"/>
      <c r="ZD682"/>
      <c r="ZE682"/>
      <c r="ZF682"/>
      <c r="ZG682"/>
      <c r="ZH682"/>
      <c r="ZI682"/>
      <c r="ZJ682"/>
      <c r="ZK682"/>
      <c r="ZL682"/>
      <c r="ZM682"/>
      <c r="ZN682"/>
      <c r="ZO682"/>
      <c r="ZP682"/>
      <c r="ZQ682"/>
      <c r="ZR682"/>
      <c r="ZS682"/>
      <c r="ZT682"/>
      <c r="ZU682"/>
      <c r="ZV682"/>
      <c r="ZW682"/>
      <c r="ZX682"/>
      <c r="ZY682"/>
      <c r="ZZ682" s="52"/>
      <c r="AAA682" s="192"/>
      <c r="AAD682" s="90"/>
      <c r="AAE682" s="519">
        <v>1</v>
      </c>
      <c r="AAF682" s="90"/>
      <c r="AAG682" s="72"/>
      <c r="AAH682" s="72"/>
      <c r="AAI682" s="72"/>
      <c r="AAJ682" s="72"/>
      <c r="AAK682" s="80" t="str">
        <f>"- contacting "&amp;S.Staff.Lead&amp;" when staff report ready for EQC  - "&amp;S.Staff.EQCAssistant</f>
        <v>- contacting AndreaRW when staff report ready for EQC  - Stephanie</v>
      </c>
      <c r="AAL682" s="90"/>
    </row>
    <row r="683" spans="1:715" s="23" customFormat="1" ht="15" customHeight="1" outlineLevel="2">
      <c r="A683" s="171" t="s">
        <v>0</v>
      </c>
      <c r="B683" s="396" t="s">
        <v>482</v>
      </c>
      <c r="C683" s="374"/>
      <c r="D683" s="393"/>
      <c r="E683" s="394"/>
      <c r="F683" s="394"/>
      <c r="G683" s="395"/>
      <c r="H683" s="395"/>
      <c r="I683" s="244"/>
      <c r="J683" s="198"/>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c r="BT683" s="51"/>
      <c r="BU683" s="51"/>
      <c r="BV683" s="51"/>
      <c r="BW683" s="51"/>
      <c r="BX683" s="51"/>
      <c r="BY683" s="51"/>
      <c r="BZ683" s="51"/>
      <c r="CA683" s="51"/>
      <c r="CB683" s="51"/>
      <c r="CC683" s="51"/>
      <c r="CD683" s="51"/>
      <c r="CE683" s="51"/>
      <c r="CF683" s="51"/>
      <c r="CG683" s="51"/>
      <c r="CH683" s="51"/>
      <c r="CI683" s="51"/>
      <c r="CJ683" s="51"/>
      <c r="CK683" s="51"/>
      <c r="CL683" s="51"/>
      <c r="CM683" s="51"/>
      <c r="CN683" s="51"/>
      <c r="CO683" s="51"/>
      <c r="CP683" s="51"/>
      <c r="CQ683" s="51"/>
      <c r="CR683" s="51"/>
      <c r="CS683" s="51"/>
      <c r="CT683" s="51"/>
      <c r="CU683" s="51"/>
      <c r="CV683" s="51"/>
      <c r="CW683" s="51"/>
      <c r="CX683" s="51"/>
      <c r="CY683" s="51"/>
      <c r="CZ683" s="51"/>
      <c r="DA683" s="51"/>
      <c r="DB683" s="51"/>
      <c r="DC683" s="51"/>
      <c r="DD683" s="51"/>
      <c r="DE683" s="51"/>
      <c r="DF683" s="51"/>
      <c r="DG683" s="51"/>
      <c r="DH683" s="51"/>
      <c r="DI683" s="51"/>
      <c r="DJ683" s="51"/>
      <c r="DK683" s="51"/>
      <c r="DL683" s="51"/>
      <c r="DM683" s="51"/>
      <c r="DN683" s="51"/>
      <c r="DO683" s="51"/>
      <c r="DP683" s="51"/>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c r="IW683"/>
      <c r="IX683"/>
      <c r="IY683"/>
      <c r="IZ683"/>
      <c r="JA683"/>
      <c r="JB683"/>
      <c r="JC683"/>
      <c r="JD683"/>
      <c r="JE683"/>
      <c r="JF683"/>
      <c r="JG683"/>
      <c r="JH683"/>
      <c r="JI683"/>
      <c r="JJ683"/>
      <c r="JK683"/>
      <c r="JL683"/>
      <c r="JM683"/>
      <c r="JN683"/>
      <c r="JO683"/>
      <c r="JP683"/>
      <c r="JQ683"/>
      <c r="JR683"/>
      <c r="JS683"/>
      <c r="JT683"/>
      <c r="JU683"/>
      <c r="JV683"/>
      <c r="JW683"/>
      <c r="JX683"/>
      <c r="JY683"/>
      <c r="JZ683"/>
      <c r="KA683"/>
      <c r="KB683"/>
      <c r="KC683"/>
      <c r="KD683"/>
      <c r="KE683"/>
      <c r="KF683"/>
      <c r="KG683"/>
      <c r="KH683"/>
      <c r="KI683"/>
      <c r="KJ683"/>
      <c r="KK683"/>
      <c r="KL683"/>
      <c r="KM683"/>
      <c r="KN683"/>
      <c r="KO683"/>
      <c r="KP683"/>
      <c r="KQ683"/>
      <c r="KR683"/>
      <c r="KS683"/>
      <c r="KT683"/>
      <c r="KU683"/>
      <c r="KV683"/>
      <c r="KW683"/>
      <c r="KX683"/>
      <c r="KY683"/>
      <c r="KZ683"/>
      <c r="LA683"/>
      <c r="LB683"/>
      <c r="LC683"/>
      <c r="LD683"/>
      <c r="LE683"/>
      <c r="LF683"/>
      <c r="LG683"/>
      <c r="LH683"/>
      <c r="LI683"/>
      <c r="LJ683"/>
      <c r="LK683"/>
      <c r="LL683"/>
      <c r="LM683"/>
      <c r="LN683"/>
      <c r="LO683"/>
      <c r="LP683"/>
      <c r="LQ683"/>
      <c r="LR683"/>
      <c r="LS683"/>
      <c r="LT683"/>
      <c r="LU683"/>
      <c r="LV683"/>
      <c r="LW683"/>
      <c r="LX683"/>
      <c r="LY683"/>
      <c r="LZ683"/>
      <c r="MA683"/>
      <c r="MB683"/>
      <c r="MC683"/>
      <c r="MD683"/>
      <c r="ME683"/>
      <c r="MF683"/>
      <c r="MG683"/>
      <c r="MH683"/>
      <c r="MI683"/>
      <c r="MJ683"/>
      <c r="MK683"/>
      <c r="ML683"/>
      <c r="MM683"/>
      <c r="MN683"/>
      <c r="MO683"/>
      <c r="MP683"/>
      <c r="MQ683"/>
      <c r="MR683"/>
      <c r="MS683"/>
      <c r="MT683"/>
      <c r="MU683"/>
      <c r="MV683"/>
      <c r="MW683"/>
      <c r="MX683"/>
      <c r="MY683"/>
      <c r="MZ683"/>
      <c r="NA683"/>
      <c r="NB683"/>
      <c r="NC683"/>
      <c r="ND683"/>
      <c r="NE683"/>
      <c r="NF683"/>
      <c r="NG683"/>
      <c r="NH683"/>
      <c r="NI683"/>
      <c r="NJ683"/>
      <c r="NK683"/>
      <c r="NL683"/>
      <c r="NM683"/>
      <c r="NN683"/>
      <c r="NO683"/>
      <c r="NP683"/>
      <c r="NQ683"/>
      <c r="NR683"/>
      <c r="NS683"/>
      <c r="NT683"/>
      <c r="NU683"/>
      <c r="NV683"/>
      <c r="NW683"/>
      <c r="NX683"/>
      <c r="NY683"/>
      <c r="NZ683"/>
      <c r="OA683"/>
      <c r="OB683"/>
      <c r="OC683"/>
      <c r="OD683"/>
      <c r="OE683"/>
      <c r="OF683"/>
      <c r="OG683"/>
      <c r="OH683"/>
      <c r="OI683"/>
      <c r="OJ683"/>
      <c r="OK683"/>
      <c r="OL683"/>
      <c r="OM683"/>
      <c r="ON683"/>
      <c r="OO683"/>
      <c r="OP683"/>
      <c r="OQ683"/>
      <c r="OR683"/>
      <c r="OS683"/>
      <c r="OT683"/>
      <c r="OU683"/>
      <c r="OV683"/>
      <c r="OW683"/>
      <c r="OX683"/>
      <c r="OY683"/>
      <c r="OZ683"/>
      <c r="PA683"/>
      <c r="PB683"/>
      <c r="PC683"/>
      <c r="PD683"/>
      <c r="PE683"/>
      <c r="PF683"/>
      <c r="PG683"/>
      <c r="PH683"/>
      <c r="PI683"/>
      <c r="PJ683"/>
      <c r="PK683"/>
      <c r="PL683"/>
      <c r="PM683"/>
      <c r="PN683"/>
      <c r="PO683"/>
      <c r="PP683"/>
      <c r="PQ683"/>
      <c r="PR683"/>
      <c r="PS683"/>
      <c r="PT683"/>
      <c r="PU683"/>
      <c r="PV683"/>
      <c r="PW683"/>
      <c r="PX683"/>
      <c r="PY683"/>
      <c r="PZ683"/>
      <c r="QA683"/>
      <c r="QB683"/>
      <c r="QC683"/>
      <c r="QD683"/>
      <c r="QE683"/>
      <c r="QF683"/>
      <c r="QG683"/>
      <c r="QH683"/>
      <c r="QI683"/>
      <c r="QJ683"/>
      <c r="QK683"/>
      <c r="QL683"/>
      <c r="QM683"/>
      <c r="QN683"/>
      <c r="QO683"/>
      <c r="QP683"/>
      <c r="QQ683"/>
      <c r="QR683"/>
      <c r="QS683"/>
      <c r="QT683"/>
      <c r="QU683"/>
      <c r="QV683"/>
      <c r="QW683"/>
      <c r="QX683"/>
      <c r="QY683"/>
      <c r="QZ683"/>
      <c r="RA683"/>
      <c r="RB683"/>
      <c r="RC683"/>
      <c r="RD683"/>
      <c r="RE683"/>
      <c r="RF683"/>
      <c r="RG683"/>
      <c r="RH683"/>
      <c r="RI683"/>
      <c r="RJ683"/>
      <c r="RK683"/>
      <c r="RL683"/>
      <c r="RM683"/>
      <c r="RN683"/>
      <c r="RO683"/>
      <c r="RP683"/>
      <c r="RQ683"/>
      <c r="RR683"/>
      <c r="RS683"/>
      <c r="RT683"/>
      <c r="RU683"/>
      <c r="RV683"/>
      <c r="RW683"/>
      <c r="RX683"/>
      <c r="RY683"/>
      <c r="RZ683"/>
      <c r="SA683"/>
      <c r="SB683"/>
      <c r="SC683"/>
      <c r="SD683"/>
      <c r="SE683"/>
      <c r="SF683"/>
      <c r="SG683"/>
      <c r="SH683"/>
      <c r="SI683"/>
      <c r="SJ683"/>
      <c r="SK683"/>
      <c r="SL683"/>
      <c r="SM683"/>
      <c r="SN683"/>
      <c r="SO683"/>
      <c r="SP683"/>
      <c r="SQ683"/>
      <c r="SR683"/>
      <c r="SS683"/>
      <c r="ST683"/>
      <c r="SU683"/>
      <c r="SV683"/>
      <c r="SW683"/>
      <c r="SX683"/>
      <c r="SY683"/>
      <c r="SZ683"/>
      <c r="TA683"/>
      <c r="TB683"/>
      <c r="TC683"/>
      <c r="TD683"/>
      <c r="TE683"/>
      <c r="TF683"/>
      <c r="TG683"/>
      <c r="TH683"/>
      <c r="TI683"/>
      <c r="TJ683"/>
      <c r="TK683"/>
      <c r="TL683"/>
      <c r="TM683"/>
      <c r="TN683"/>
      <c r="TO683"/>
      <c r="TP683"/>
      <c r="TQ683"/>
      <c r="TR683"/>
      <c r="TS683"/>
      <c r="TT683"/>
      <c r="TU683"/>
      <c r="TV683"/>
      <c r="TW683"/>
      <c r="TX683"/>
      <c r="TY683"/>
      <c r="TZ683"/>
      <c r="UA683"/>
      <c r="UB683"/>
      <c r="UC683"/>
      <c r="UD683"/>
      <c r="UE683"/>
      <c r="UF683"/>
      <c r="UG683"/>
      <c r="UH683"/>
      <c r="UI683"/>
      <c r="UJ683"/>
      <c r="UK683"/>
      <c r="UL683"/>
      <c r="UM683"/>
      <c r="UN683"/>
      <c r="UO683"/>
      <c r="UP683"/>
      <c r="UQ683"/>
      <c r="UR683"/>
      <c r="US683"/>
      <c r="UT683"/>
      <c r="UU683"/>
      <c r="UV683"/>
      <c r="UW683"/>
      <c r="UX683"/>
      <c r="UY683"/>
      <c r="UZ683"/>
      <c r="VA683"/>
      <c r="VB683"/>
      <c r="VC683"/>
      <c r="VD683"/>
      <c r="VE683"/>
      <c r="VF683"/>
      <c r="VG683"/>
      <c r="VH683"/>
      <c r="VI683"/>
      <c r="VJ683"/>
      <c r="VK683"/>
      <c r="VL683"/>
      <c r="VM683"/>
      <c r="VN683"/>
      <c r="VO683"/>
      <c r="VP683"/>
      <c r="VQ683"/>
      <c r="VR683"/>
      <c r="VS683"/>
      <c r="VT683"/>
      <c r="VU683"/>
      <c r="VV683"/>
      <c r="VW683"/>
      <c r="VX683"/>
      <c r="VY683"/>
      <c r="VZ683"/>
      <c r="WA683"/>
      <c r="WB683"/>
      <c r="WC683"/>
      <c r="WD683"/>
      <c r="WE683"/>
      <c r="WF683"/>
      <c r="WG683"/>
      <c r="WH683"/>
      <c r="WI683"/>
      <c r="WJ683"/>
      <c r="WK683"/>
      <c r="WL683"/>
      <c r="WM683"/>
      <c r="WN683"/>
      <c r="WO683"/>
      <c r="WP683"/>
      <c r="WQ683"/>
      <c r="WR683"/>
      <c r="WS683"/>
      <c r="WT683"/>
      <c r="WU683"/>
      <c r="WV683"/>
      <c r="WW683"/>
      <c r="WX683"/>
      <c r="WY683"/>
      <c r="WZ683"/>
      <c r="XA683"/>
      <c r="XB683"/>
      <c r="XC683"/>
      <c r="XD683"/>
      <c r="XE683"/>
      <c r="XF683"/>
      <c r="XG683"/>
      <c r="XH683"/>
      <c r="XI683"/>
      <c r="XJ683"/>
      <c r="XK683"/>
      <c r="XL683"/>
      <c r="XM683"/>
      <c r="XN683"/>
      <c r="XO683"/>
      <c r="XP683"/>
      <c r="XQ683"/>
      <c r="XR683"/>
      <c r="XS683"/>
      <c r="XT683"/>
      <c r="XU683"/>
      <c r="XV683"/>
      <c r="XW683"/>
      <c r="XX683"/>
      <c r="XY683"/>
      <c r="XZ683"/>
      <c r="YA683"/>
      <c r="YB683"/>
      <c r="YC683"/>
      <c r="YD683"/>
      <c r="YE683"/>
      <c r="YF683"/>
      <c r="YG683"/>
      <c r="YH683"/>
      <c r="YI683"/>
      <c r="YJ683"/>
      <c r="YK683"/>
      <c r="YL683"/>
      <c r="YM683"/>
      <c r="YN683"/>
      <c r="YO683"/>
      <c r="YP683"/>
      <c r="YQ683"/>
      <c r="YR683"/>
      <c r="YS683"/>
      <c r="YT683"/>
      <c r="YU683"/>
      <c r="YV683"/>
      <c r="YW683"/>
      <c r="YX683"/>
      <c r="YY683"/>
      <c r="YZ683"/>
      <c r="ZA683"/>
      <c r="ZB683"/>
      <c r="ZC683"/>
      <c r="ZD683"/>
      <c r="ZE683"/>
      <c r="ZF683"/>
      <c r="ZG683"/>
      <c r="ZH683"/>
      <c r="ZI683"/>
      <c r="ZJ683"/>
      <c r="ZK683"/>
      <c r="ZL683"/>
      <c r="ZM683"/>
      <c r="ZN683"/>
      <c r="ZO683"/>
      <c r="ZP683"/>
      <c r="ZQ683"/>
      <c r="ZR683"/>
      <c r="ZS683"/>
      <c r="ZT683"/>
      <c r="ZU683"/>
      <c r="ZV683"/>
      <c r="ZW683"/>
      <c r="ZX683"/>
      <c r="ZY683"/>
      <c r="ZZ683" s="52"/>
      <c r="AAA683" s="192"/>
      <c r="AAD683" s="90"/>
      <c r="AAE683" s="519">
        <v>1</v>
      </c>
      <c r="AAF683" s="190" t="s">
        <v>52</v>
      </c>
      <c r="AAG683" s="71"/>
      <c r="AAH683" s="71"/>
      <c r="AAI683" s="72"/>
      <c r="AAJ683" s="72"/>
      <c r="AAK683" s="87"/>
      <c r="AAL683" s="90"/>
    </row>
    <row r="684" spans="1:715" s="23" customFormat="1" ht="15" customHeight="1" outlineLevel="2">
      <c r="A684" s="171"/>
      <c r="B684" s="715" t="s">
        <v>382</v>
      </c>
      <c r="C684" s="376" t="s">
        <v>0</v>
      </c>
      <c r="D684" s="422"/>
      <c r="E684" s="646">
        <f t="shared" ref="E684:E690" si="584">NETWORKDAYS(G684,H684,S.DDL_DEQClosed)</f>
        <v>97</v>
      </c>
      <c r="F684" s="457">
        <f t="shared" ref="F684:F690" ca="1" si="585">IF(YEAR(H684)&gt;2000,NETWORKDAYS(TODAY(),H684,S.DDL_DEQClosed),0)</f>
        <v>96</v>
      </c>
      <c r="G684" s="647">
        <f t="shared" ref="G684:G685" si="586">AAG684</f>
        <v>41572</v>
      </c>
      <c r="H684" s="647">
        <f t="shared" ref="H684:H685" si="587">AAH684</f>
        <v>41716</v>
      </c>
      <c r="I684" s="244"/>
      <c r="J684" s="194"/>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49"/>
      <c r="AY684" s="49"/>
      <c r="AZ684" s="49"/>
      <c r="BA684" s="49"/>
      <c r="BB684" s="49"/>
      <c r="BC684" s="49"/>
      <c r="BD684" s="49"/>
      <c r="BE684" s="49"/>
      <c r="BF684" s="49"/>
      <c r="BG684" s="49"/>
      <c r="BH684" s="49"/>
      <c r="BI684" s="49"/>
      <c r="BJ684" s="49"/>
      <c r="BK684" s="49"/>
      <c r="BL684" s="49"/>
      <c r="BM684" s="49"/>
      <c r="BN684" s="49"/>
      <c r="BO684" s="49"/>
      <c r="BP684" s="49"/>
      <c r="BQ684" s="49"/>
      <c r="BR684" s="49"/>
      <c r="BS684" s="49"/>
      <c r="BT684" s="49"/>
      <c r="BU684" s="49"/>
      <c r="BV684" s="49"/>
      <c r="BW684" s="49"/>
      <c r="BX684" s="49"/>
      <c r="BY684" s="49"/>
      <c r="BZ684" s="49"/>
      <c r="CA684" s="49"/>
      <c r="CB684" s="49"/>
      <c r="CC684" s="49"/>
      <c r="CD684" s="49"/>
      <c r="CE684" s="49"/>
      <c r="CF684" s="49"/>
      <c r="CG684" s="49"/>
      <c r="CH684" s="49"/>
      <c r="CI684" s="49"/>
      <c r="CJ684" s="49"/>
      <c r="CK684" s="49"/>
      <c r="CL684" s="49"/>
      <c r="CM684" s="49"/>
      <c r="CN684" s="49"/>
      <c r="CO684" s="49"/>
      <c r="CP684" s="49"/>
      <c r="CQ684" s="49"/>
      <c r="CR684" s="49"/>
      <c r="CS684" s="49"/>
      <c r="CT684" s="49"/>
      <c r="CU684" s="49"/>
      <c r="CV684" s="49"/>
      <c r="CW684" s="49"/>
      <c r="CX684" s="49"/>
      <c r="CY684" s="49"/>
      <c r="CZ684" s="49"/>
      <c r="DA684" s="49"/>
      <c r="DB684" s="49"/>
      <c r="DC684" s="49"/>
      <c r="DD684" s="49"/>
      <c r="DE684" s="49"/>
      <c r="DF684" s="49"/>
      <c r="DG684" s="49"/>
      <c r="DH684" s="49"/>
      <c r="DI684" s="49"/>
      <c r="DJ684" s="49"/>
      <c r="DK684" s="49"/>
      <c r="DL684" s="49"/>
      <c r="DM684" s="49"/>
      <c r="DN684" s="49"/>
      <c r="DO684" s="49"/>
      <c r="DP684" s="49"/>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c r="IW684"/>
      <c r="IX684"/>
      <c r="IY684"/>
      <c r="IZ684"/>
      <c r="JA684"/>
      <c r="JB684"/>
      <c r="JC684"/>
      <c r="JD684"/>
      <c r="JE684"/>
      <c r="JF684"/>
      <c r="JG684"/>
      <c r="JH684"/>
      <c r="JI684"/>
      <c r="JJ684"/>
      <c r="JK684"/>
      <c r="JL684"/>
      <c r="JM684"/>
      <c r="JN684"/>
      <c r="JO684"/>
      <c r="JP684"/>
      <c r="JQ684"/>
      <c r="JR684"/>
      <c r="JS684"/>
      <c r="JT684"/>
      <c r="JU684"/>
      <c r="JV684"/>
      <c r="JW684"/>
      <c r="JX684"/>
      <c r="JY684"/>
      <c r="JZ684"/>
      <c r="KA684"/>
      <c r="KB684"/>
      <c r="KC684"/>
      <c r="KD684"/>
      <c r="KE684"/>
      <c r="KF684"/>
      <c r="KG684"/>
      <c r="KH684"/>
      <c r="KI684"/>
      <c r="KJ684"/>
      <c r="KK684"/>
      <c r="KL684"/>
      <c r="KM684"/>
      <c r="KN684"/>
      <c r="KO684"/>
      <c r="KP684"/>
      <c r="KQ684"/>
      <c r="KR684"/>
      <c r="KS684"/>
      <c r="KT684"/>
      <c r="KU684"/>
      <c r="KV684"/>
      <c r="KW684"/>
      <c r="KX684"/>
      <c r="KY684"/>
      <c r="KZ684"/>
      <c r="LA684"/>
      <c r="LB684"/>
      <c r="LC684"/>
      <c r="LD684"/>
      <c r="LE684"/>
      <c r="LF684"/>
      <c r="LG684"/>
      <c r="LH684"/>
      <c r="LI684"/>
      <c r="LJ684"/>
      <c r="LK684"/>
      <c r="LL684"/>
      <c r="LM684"/>
      <c r="LN684"/>
      <c r="LO684"/>
      <c r="LP684"/>
      <c r="LQ684"/>
      <c r="LR684"/>
      <c r="LS684"/>
      <c r="LT684"/>
      <c r="LU684"/>
      <c r="LV684"/>
      <c r="LW684"/>
      <c r="LX684"/>
      <c r="LY684"/>
      <c r="LZ684"/>
      <c r="MA684"/>
      <c r="MB684"/>
      <c r="MC684"/>
      <c r="MD684"/>
      <c r="ME684"/>
      <c r="MF684"/>
      <c r="MG684"/>
      <c r="MH684"/>
      <c r="MI684"/>
      <c r="MJ684"/>
      <c r="MK684"/>
      <c r="ML684"/>
      <c r="MM684"/>
      <c r="MN684"/>
      <c r="MO684"/>
      <c r="MP684"/>
      <c r="MQ684"/>
      <c r="MR684"/>
      <c r="MS684"/>
      <c r="MT684"/>
      <c r="MU684"/>
      <c r="MV684"/>
      <c r="MW684"/>
      <c r="MX684"/>
      <c r="MY684"/>
      <c r="MZ684"/>
      <c r="NA684"/>
      <c r="NB684"/>
      <c r="NC684"/>
      <c r="ND684"/>
      <c r="NE684"/>
      <c r="NF684"/>
      <c r="NG684"/>
      <c r="NH684"/>
      <c r="NI684"/>
      <c r="NJ684"/>
      <c r="NK684"/>
      <c r="NL684"/>
      <c r="NM684"/>
      <c r="NN684"/>
      <c r="NO684"/>
      <c r="NP684"/>
      <c r="NQ684"/>
      <c r="NR684"/>
      <c r="NS684"/>
      <c r="NT684"/>
      <c r="NU684"/>
      <c r="NV684"/>
      <c r="NW684"/>
      <c r="NX684"/>
      <c r="NY684"/>
      <c r="NZ684"/>
      <c r="OA684"/>
      <c r="OB684"/>
      <c r="OC684"/>
      <c r="OD684"/>
      <c r="OE684"/>
      <c r="OF684"/>
      <c r="OG684"/>
      <c r="OH684"/>
      <c r="OI684"/>
      <c r="OJ684"/>
      <c r="OK684"/>
      <c r="OL684"/>
      <c r="OM684"/>
      <c r="ON684"/>
      <c r="OO684"/>
      <c r="OP684"/>
      <c r="OQ684"/>
      <c r="OR684"/>
      <c r="OS684"/>
      <c r="OT684"/>
      <c r="OU684"/>
      <c r="OV684"/>
      <c r="OW684"/>
      <c r="OX684"/>
      <c r="OY684"/>
      <c r="OZ684"/>
      <c r="PA684"/>
      <c r="PB684"/>
      <c r="PC684"/>
      <c r="PD684"/>
      <c r="PE684"/>
      <c r="PF684"/>
      <c r="PG684"/>
      <c r="PH684"/>
      <c r="PI684"/>
      <c r="PJ684"/>
      <c r="PK684"/>
      <c r="PL684"/>
      <c r="PM684"/>
      <c r="PN684"/>
      <c r="PO684"/>
      <c r="PP684"/>
      <c r="PQ684"/>
      <c r="PR684"/>
      <c r="PS684"/>
      <c r="PT684"/>
      <c r="PU684"/>
      <c r="PV684"/>
      <c r="PW684"/>
      <c r="PX684"/>
      <c r="PY684"/>
      <c r="PZ684"/>
      <c r="QA684"/>
      <c r="QB684"/>
      <c r="QC684"/>
      <c r="QD684"/>
      <c r="QE684"/>
      <c r="QF684"/>
      <c r="QG684"/>
      <c r="QH684"/>
      <c r="QI684"/>
      <c r="QJ684"/>
      <c r="QK684"/>
      <c r="QL684"/>
      <c r="QM684"/>
      <c r="QN684"/>
      <c r="QO684"/>
      <c r="QP684"/>
      <c r="QQ684"/>
      <c r="QR684"/>
      <c r="QS684"/>
      <c r="QT684"/>
      <c r="QU684"/>
      <c r="QV684"/>
      <c r="QW684"/>
      <c r="QX684"/>
      <c r="QY684"/>
      <c r="QZ684"/>
      <c r="RA684"/>
      <c r="RB684"/>
      <c r="RC684"/>
      <c r="RD684"/>
      <c r="RE684"/>
      <c r="RF684"/>
      <c r="RG684"/>
      <c r="RH684"/>
      <c r="RI684"/>
      <c r="RJ684"/>
      <c r="RK684"/>
      <c r="RL684"/>
      <c r="RM684"/>
      <c r="RN684"/>
      <c r="RO684"/>
      <c r="RP684"/>
      <c r="RQ684"/>
      <c r="RR684"/>
      <c r="RS684"/>
      <c r="RT684"/>
      <c r="RU684"/>
      <c r="RV684"/>
      <c r="RW684"/>
      <c r="RX684"/>
      <c r="RY684"/>
      <c r="RZ684"/>
      <c r="SA684"/>
      <c r="SB684"/>
      <c r="SC684"/>
      <c r="SD684"/>
      <c r="SE684"/>
      <c r="SF684"/>
      <c r="SG684"/>
      <c r="SH684"/>
      <c r="SI684"/>
      <c r="SJ684"/>
      <c r="SK684"/>
      <c r="SL684"/>
      <c r="SM684"/>
      <c r="SN684"/>
      <c r="SO684"/>
      <c r="SP684"/>
      <c r="SQ684"/>
      <c r="SR684"/>
      <c r="SS684"/>
      <c r="ST684"/>
      <c r="SU684"/>
      <c r="SV684"/>
      <c r="SW684"/>
      <c r="SX684"/>
      <c r="SY684"/>
      <c r="SZ684"/>
      <c r="TA684"/>
      <c r="TB684"/>
      <c r="TC684"/>
      <c r="TD684"/>
      <c r="TE684"/>
      <c r="TF684"/>
      <c r="TG684"/>
      <c r="TH684"/>
      <c r="TI684"/>
      <c r="TJ684"/>
      <c r="TK684"/>
      <c r="TL684"/>
      <c r="TM684"/>
      <c r="TN684"/>
      <c r="TO684"/>
      <c r="TP684"/>
      <c r="TQ684"/>
      <c r="TR684"/>
      <c r="TS684"/>
      <c r="TT684"/>
      <c r="TU684"/>
      <c r="TV684"/>
      <c r="TW684"/>
      <c r="TX684"/>
      <c r="TY684"/>
      <c r="TZ684"/>
      <c r="UA684"/>
      <c r="UB684"/>
      <c r="UC684"/>
      <c r="UD684"/>
      <c r="UE684"/>
      <c r="UF684"/>
      <c r="UG684"/>
      <c r="UH684"/>
      <c r="UI684"/>
      <c r="UJ684"/>
      <c r="UK684"/>
      <c r="UL684"/>
      <c r="UM684"/>
      <c r="UN684"/>
      <c r="UO684"/>
      <c r="UP684"/>
      <c r="UQ684"/>
      <c r="UR684"/>
      <c r="US684"/>
      <c r="UT684"/>
      <c r="UU684"/>
      <c r="UV684"/>
      <c r="UW684"/>
      <c r="UX684"/>
      <c r="UY684"/>
      <c r="UZ684"/>
      <c r="VA684"/>
      <c r="VB684"/>
      <c r="VC684"/>
      <c r="VD684"/>
      <c r="VE684"/>
      <c r="VF684"/>
      <c r="VG684"/>
      <c r="VH684"/>
      <c r="VI684"/>
      <c r="VJ684"/>
      <c r="VK684"/>
      <c r="VL684"/>
      <c r="VM684"/>
      <c r="VN684"/>
      <c r="VO684"/>
      <c r="VP684"/>
      <c r="VQ684"/>
      <c r="VR684"/>
      <c r="VS684"/>
      <c r="VT684"/>
      <c r="VU684"/>
      <c r="VV684"/>
      <c r="VW684"/>
      <c r="VX684"/>
      <c r="VY684"/>
      <c r="VZ684"/>
      <c r="WA684"/>
      <c r="WB684"/>
      <c r="WC684"/>
      <c r="WD684"/>
      <c r="WE684"/>
      <c r="WF684"/>
      <c r="WG684"/>
      <c r="WH684"/>
      <c r="WI684"/>
      <c r="WJ684"/>
      <c r="WK684"/>
      <c r="WL684"/>
      <c r="WM684"/>
      <c r="WN684"/>
      <c r="WO684"/>
      <c r="WP684"/>
      <c r="WQ684"/>
      <c r="WR684"/>
      <c r="WS684"/>
      <c r="WT684"/>
      <c r="WU684"/>
      <c r="WV684"/>
      <c r="WW684"/>
      <c r="WX684"/>
      <c r="WY684"/>
      <c r="WZ684"/>
      <c r="XA684"/>
      <c r="XB684"/>
      <c r="XC684"/>
      <c r="XD684"/>
      <c r="XE684"/>
      <c r="XF684"/>
      <c r="XG684"/>
      <c r="XH684"/>
      <c r="XI684"/>
      <c r="XJ684"/>
      <c r="XK684"/>
      <c r="XL684"/>
      <c r="XM684"/>
      <c r="XN684"/>
      <c r="XO684"/>
      <c r="XP684"/>
      <c r="XQ684"/>
      <c r="XR684"/>
      <c r="XS684"/>
      <c r="XT684"/>
      <c r="XU684"/>
      <c r="XV684"/>
      <c r="XW684"/>
      <c r="XX684"/>
      <c r="XY684"/>
      <c r="XZ684"/>
      <c r="YA684"/>
      <c r="YB684"/>
      <c r="YC684"/>
      <c r="YD684"/>
      <c r="YE684"/>
      <c r="YF684"/>
      <c r="YG684"/>
      <c r="YH684"/>
      <c r="YI684"/>
      <c r="YJ684"/>
      <c r="YK684"/>
      <c r="YL684"/>
      <c r="YM684"/>
      <c r="YN684"/>
      <c r="YO684"/>
      <c r="YP684"/>
      <c r="YQ684"/>
      <c r="YR684"/>
      <c r="YS684"/>
      <c r="YT684"/>
      <c r="YU684"/>
      <c r="YV684"/>
      <c r="YW684"/>
      <c r="YX684"/>
      <c r="YY684"/>
      <c r="YZ684"/>
      <c r="ZA684"/>
      <c r="ZB684"/>
      <c r="ZC684"/>
      <c r="ZD684"/>
      <c r="ZE684"/>
      <c r="ZF684"/>
      <c r="ZG684"/>
      <c r="ZH684"/>
      <c r="ZI684"/>
      <c r="ZJ684"/>
      <c r="ZK684"/>
      <c r="ZL684"/>
      <c r="ZM684"/>
      <c r="ZN684"/>
      <c r="ZO684"/>
      <c r="ZP684"/>
      <c r="ZQ684"/>
      <c r="ZR684"/>
      <c r="ZS684"/>
      <c r="ZT684"/>
      <c r="ZU684"/>
      <c r="ZV684"/>
      <c r="ZW684"/>
      <c r="ZX684"/>
      <c r="ZY684"/>
      <c r="ZZ684" s="52"/>
      <c r="AAA684" s="192"/>
      <c r="AAD684" s="90"/>
      <c r="AAE684" s="519">
        <v>1</v>
      </c>
      <c r="AAF684" s="90"/>
      <c r="AAG684" s="73">
        <f>S.EQC.BANNER.Begin</f>
        <v>41572</v>
      </c>
      <c r="AAH684" s="73">
        <f t="shared" ref="AAH684:AAH690" si="588">S.EQC.Meeting-1</f>
        <v>41716</v>
      </c>
      <c r="AAI684" s="72"/>
      <c r="AAJ684" s="56"/>
      <c r="AAK684" s="56"/>
      <c r="AAL684" s="90"/>
    </row>
    <row r="685" spans="1:715" s="23" customFormat="1" ht="15" customHeight="1" outlineLevel="2">
      <c r="A685" s="171"/>
      <c r="B685" s="715" t="s">
        <v>383</v>
      </c>
      <c r="C685" s="376" t="s">
        <v>0</v>
      </c>
      <c r="D685" s="422"/>
      <c r="E685" s="646">
        <f t="shared" si="584"/>
        <v>29782</v>
      </c>
      <c r="F685" s="457">
        <f t="shared" ca="1" si="585"/>
        <v>96</v>
      </c>
      <c r="G685" s="647">
        <f t="shared" si="586"/>
        <v>0</v>
      </c>
      <c r="H685" s="647">
        <f t="shared" si="587"/>
        <v>41716</v>
      </c>
      <c r="I685" s="244"/>
      <c r="J685" s="194"/>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49"/>
      <c r="AW685" s="49"/>
      <c r="AX685" s="49"/>
      <c r="AY685" s="49"/>
      <c r="AZ685" s="49"/>
      <c r="BA685" s="49"/>
      <c r="BB685" s="49"/>
      <c r="BC685" s="49"/>
      <c r="BD685" s="49"/>
      <c r="BE685" s="49"/>
      <c r="BF685" s="49"/>
      <c r="BG685" s="49"/>
      <c r="BH685" s="49"/>
      <c r="BI685" s="49"/>
      <c r="BJ685" s="49"/>
      <c r="BK685" s="49"/>
      <c r="BL685" s="49"/>
      <c r="BM685" s="49"/>
      <c r="BN685" s="49"/>
      <c r="BO685" s="49"/>
      <c r="BP685" s="49"/>
      <c r="BQ685" s="49"/>
      <c r="BR685" s="49"/>
      <c r="BS685" s="49"/>
      <c r="BT685" s="49"/>
      <c r="BU685" s="49"/>
      <c r="BV685" s="49"/>
      <c r="BW685" s="49"/>
      <c r="BX685" s="49"/>
      <c r="BY685" s="49"/>
      <c r="BZ685" s="49"/>
      <c r="CA685" s="49"/>
      <c r="CB685" s="49"/>
      <c r="CC685" s="49"/>
      <c r="CD685" s="49"/>
      <c r="CE685" s="49"/>
      <c r="CF685" s="49"/>
      <c r="CG685" s="49"/>
      <c r="CH685" s="49"/>
      <c r="CI685" s="49"/>
      <c r="CJ685" s="49"/>
      <c r="CK685" s="49"/>
      <c r="CL685" s="49"/>
      <c r="CM685" s="49"/>
      <c r="CN685" s="49"/>
      <c r="CO685" s="49"/>
      <c r="CP685" s="49"/>
      <c r="CQ685" s="49"/>
      <c r="CR685" s="49"/>
      <c r="CS685" s="49"/>
      <c r="CT685" s="49"/>
      <c r="CU685" s="49"/>
      <c r="CV685" s="49"/>
      <c r="CW685" s="49"/>
      <c r="CX685" s="49"/>
      <c r="CY685" s="49"/>
      <c r="CZ685" s="49"/>
      <c r="DA685" s="49"/>
      <c r="DB685" s="49"/>
      <c r="DC685" s="49"/>
      <c r="DD685" s="49"/>
      <c r="DE685" s="49"/>
      <c r="DF685" s="49"/>
      <c r="DG685" s="49"/>
      <c r="DH685" s="49"/>
      <c r="DI685" s="49"/>
      <c r="DJ685" s="49"/>
      <c r="DK685" s="49"/>
      <c r="DL685" s="49"/>
      <c r="DM685" s="49"/>
      <c r="DN685" s="49"/>
      <c r="DO685" s="49"/>
      <c r="DP685" s="49"/>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c r="IW685"/>
      <c r="IX685"/>
      <c r="IY685"/>
      <c r="IZ685"/>
      <c r="JA685"/>
      <c r="JB685"/>
      <c r="JC685"/>
      <c r="JD685"/>
      <c r="JE685"/>
      <c r="JF685"/>
      <c r="JG685"/>
      <c r="JH685"/>
      <c r="JI685"/>
      <c r="JJ685"/>
      <c r="JK685"/>
      <c r="JL685"/>
      <c r="JM685"/>
      <c r="JN685"/>
      <c r="JO685"/>
      <c r="JP685"/>
      <c r="JQ685"/>
      <c r="JR685"/>
      <c r="JS685"/>
      <c r="JT685"/>
      <c r="JU685"/>
      <c r="JV685"/>
      <c r="JW685"/>
      <c r="JX685"/>
      <c r="JY685"/>
      <c r="JZ685"/>
      <c r="KA685"/>
      <c r="KB685"/>
      <c r="KC685"/>
      <c r="KD685"/>
      <c r="KE685"/>
      <c r="KF685"/>
      <c r="KG685"/>
      <c r="KH685"/>
      <c r="KI685"/>
      <c r="KJ685"/>
      <c r="KK685"/>
      <c r="KL685"/>
      <c r="KM685"/>
      <c r="KN685"/>
      <c r="KO685"/>
      <c r="KP685"/>
      <c r="KQ685"/>
      <c r="KR685"/>
      <c r="KS685"/>
      <c r="KT685"/>
      <c r="KU685"/>
      <c r="KV685"/>
      <c r="KW685"/>
      <c r="KX685"/>
      <c r="KY685"/>
      <c r="KZ685"/>
      <c r="LA685"/>
      <c r="LB685"/>
      <c r="LC685"/>
      <c r="LD685"/>
      <c r="LE685"/>
      <c r="LF685"/>
      <c r="LG685"/>
      <c r="LH685"/>
      <c r="LI685"/>
      <c r="LJ685"/>
      <c r="LK685"/>
      <c r="LL685"/>
      <c r="LM685"/>
      <c r="LN685"/>
      <c r="LO685"/>
      <c r="LP685"/>
      <c r="LQ685"/>
      <c r="LR685"/>
      <c r="LS685"/>
      <c r="LT685"/>
      <c r="LU685"/>
      <c r="LV685"/>
      <c r="LW685"/>
      <c r="LX685"/>
      <c r="LY685"/>
      <c r="LZ685"/>
      <c r="MA685"/>
      <c r="MB685"/>
      <c r="MC685"/>
      <c r="MD685"/>
      <c r="ME685"/>
      <c r="MF685"/>
      <c r="MG685"/>
      <c r="MH685"/>
      <c r="MI685"/>
      <c r="MJ685"/>
      <c r="MK685"/>
      <c r="ML685"/>
      <c r="MM685"/>
      <c r="MN685"/>
      <c r="MO685"/>
      <c r="MP685"/>
      <c r="MQ685"/>
      <c r="MR685"/>
      <c r="MS685"/>
      <c r="MT685"/>
      <c r="MU685"/>
      <c r="MV685"/>
      <c r="MW685"/>
      <c r="MX685"/>
      <c r="MY685"/>
      <c r="MZ685"/>
      <c r="NA685"/>
      <c r="NB685"/>
      <c r="NC685"/>
      <c r="ND685"/>
      <c r="NE685"/>
      <c r="NF685"/>
      <c r="NG685"/>
      <c r="NH685"/>
      <c r="NI685"/>
      <c r="NJ685"/>
      <c r="NK685"/>
      <c r="NL685"/>
      <c r="NM685"/>
      <c r="NN685"/>
      <c r="NO685"/>
      <c r="NP685"/>
      <c r="NQ685"/>
      <c r="NR685"/>
      <c r="NS685"/>
      <c r="NT685"/>
      <c r="NU685"/>
      <c r="NV685"/>
      <c r="NW685"/>
      <c r="NX685"/>
      <c r="NY685"/>
      <c r="NZ685"/>
      <c r="OA685"/>
      <c r="OB685"/>
      <c r="OC685"/>
      <c r="OD685"/>
      <c r="OE685"/>
      <c r="OF685"/>
      <c r="OG685"/>
      <c r="OH685"/>
      <c r="OI685"/>
      <c r="OJ685"/>
      <c r="OK685"/>
      <c r="OL685"/>
      <c r="OM685"/>
      <c r="ON685"/>
      <c r="OO685"/>
      <c r="OP685"/>
      <c r="OQ685"/>
      <c r="OR685"/>
      <c r="OS685"/>
      <c r="OT685"/>
      <c r="OU685"/>
      <c r="OV685"/>
      <c r="OW685"/>
      <c r="OX685"/>
      <c r="OY685"/>
      <c r="OZ685"/>
      <c r="PA685"/>
      <c r="PB685"/>
      <c r="PC685"/>
      <c r="PD685"/>
      <c r="PE685"/>
      <c r="PF685"/>
      <c r="PG685"/>
      <c r="PH685"/>
      <c r="PI685"/>
      <c r="PJ685"/>
      <c r="PK685"/>
      <c r="PL685"/>
      <c r="PM685"/>
      <c r="PN685"/>
      <c r="PO685"/>
      <c r="PP685"/>
      <c r="PQ685"/>
      <c r="PR685"/>
      <c r="PS685"/>
      <c r="PT685"/>
      <c r="PU685"/>
      <c r="PV685"/>
      <c r="PW685"/>
      <c r="PX685"/>
      <c r="PY685"/>
      <c r="PZ685"/>
      <c r="QA685"/>
      <c r="QB685"/>
      <c r="QC685"/>
      <c r="QD685"/>
      <c r="QE685"/>
      <c r="QF685"/>
      <c r="QG685"/>
      <c r="QH685"/>
      <c r="QI685"/>
      <c r="QJ685"/>
      <c r="QK685"/>
      <c r="QL685"/>
      <c r="QM685"/>
      <c r="QN685"/>
      <c r="QO685"/>
      <c r="QP685"/>
      <c r="QQ685"/>
      <c r="QR685"/>
      <c r="QS685"/>
      <c r="QT685"/>
      <c r="QU685"/>
      <c r="QV685"/>
      <c r="QW685"/>
      <c r="QX685"/>
      <c r="QY685"/>
      <c r="QZ685"/>
      <c r="RA685"/>
      <c r="RB685"/>
      <c r="RC685"/>
      <c r="RD685"/>
      <c r="RE685"/>
      <c r="RF685"/>
      <c r="RG685"/>
      <c r="RH685"/>
      <c r="RI685"/>
      <c r="RJ685"/>
      <c r="RK685"/>
      <c r="RL685"/>
      <c r="RM685"/>
      <c r="RN685"/>
      <c r="RO685"/>
      <c r="RP685"/>
      <c r="RQ685"/>
      <c r="RR685"/>
      <c r="RS685"/>
      <c r="RT685"/>
      <c r="RU685"/>
      <c r="RV685"/>
      <c r="RW685"/>
      <c r="RX685"/>
      <c r="RY685"/>
      <c r="RZ685"/>
      <c r="SA685"/>
      <c r="SB685"/>
      <c r="SC685"/>
      <c r="SD685"/>
      <c r="SE685"/>
      <c r="SF685"/>
      <c r="SG685"/>
      <c r="SH685"/>
      <c r="SI685"/>
      <c r="SJ685"/>
      <c r="SK685"/>
      <c r="SL685"/>
      <c r="SM685"/>
      <c r="SN685"/>
      <c r="SO685"/>
      <c r="SP685"/>
      <c r="SQ685"/>
      <c r="SR685"/>
      <c r="SS685"/>
      <c r="ST685"/>
      <c r="SU685"/>
      <c r="SV685"/>
      <c r="SW685"/>
      <c r="SX685"/>
      <c r="SY685"/>
      <c r="SZ685"/>
      <c r="TA685"/>
      <c r="TB685"/>
      <c r="TC685"/>
      <c r="TD685"/>
      <c r="TE685"/>
      <c r="TF685"/>
      <c r="TG685"/>
      <c r="TH685"/>
      <c r="TI685"/>
      <c r="TJ685"/>
      <c r="TK685"/>
      <c r="TL685"/>
      <c r="TM685"/>
      <c r="TN685"/>
      <c r="TO685"/>
      <c r="TP685"/>
      <c r="TQ685"/>
      <c r="TR685"/>
      <c r="TS685"/>
      <c r="TT685"/>
      <c r="TU685"/>
      <c r="TV685"/>
      <c r="TW685"/>
      <c r="TX685"/>
      <c r="TY685"/>
      <c r="TZ685"/>
      <c r="UA685"/>
      <c r="UB685"/>
      <c r="UC685"/>
      <c r="UD685"/>
      <c r="UE685"/>
      <c r="UF685"/>
      <c r="UG685"/>
      <c r="UH685"/>
      <c r="UI685"/>
      <c r="UJ685"/>
      <c r="UK685"/>
      <c r="UL685"/>
      <c r="UM685"/>
      <c r="UN685"/>
      <c r="UO685"/>
      <c r="UP685"/>
      <c r="UQ685"/>
      <c r="UR685"/>
      <c r="US685"/>
      <c r="UT685"/>
      <c r="UU685"/>
      <c r="UV685"/>
      <c r="UW685"/>
      <c r="UX685"/>
      <c r="UY685"/>
      <c r="UZ685"/>
      <c r="VA685"/>
      <c r="VB685"/>
      <c r="VC685"/>
      <c r="VD685"/>
      <c r="VE685"/>
      <c r="VF685"/>
      <c r="VG685"/>
      <c r="VH685"/>
      <c r="VI685"/>
      <c r="VJ685"/>
      <c r="VK685"/>
      <c r="VL685"/>
      <c r="VM685"/>
      <c r="VN685"/>
      <c r="VO685"/>
      <c r="VP685"/>
      <c r="VQ685"/>
      <c r="VR685"/>
      <c r="VS685"/>
      <c r="VT685"/>
      <c r="VU685"/>
      <c r="VV685"/>
      <c r="VW685"/>
      <c r="VX685"/>
      <c r="VY685"/>
      <c r="VZ685"/>
      <c r="WA685"/>
      <c r="WB685"/>
      <c r="WC685"/>
      <c r="WD685"/>
      <c r="WE685"/>
      <c r="WF685"/>
      <c r="WG685"/>
      <c r="WH685"/>
      <c r="WI685"/>
      <c r="WJ685"/>
      <c r="WK685"/>
      <c r="WL685"/>
      <c r="WM685"/>
      <c r="WN685"/>
      <c r="WO685"/>
      <c r="WP685"/>
      <c r="WQ685"/>
      <c r="WR685"/>
      <c r="WS685"/>
      <c r="WT685"/>
      <c r="WU685"/>
      <c r="WV685"/>
      <c r="WW685"/>
      <c r="WX685"/>
      <c r="WY685"/>
      <c r="WZ685"/>
      <c r="XA685"/>
      <c r="XB685"/>
      <c r="XC685"/>
      <c r="XD685"/>
      <c r="XE685"/>
      <c r="XF685"/>
      <c r="XG685"/>
      <c r="XH685"/>
      <c r="XI685"/>
      <c r="XJ685"/>
      <c r="XK685"/>
      <c r="XL685"/>
      <c r="XM685"/>
      <c r="XN685"/>
      <c r="XO685"/>
      <c r="XP685"/>
      <c r="XQ685"/>
      <c r="XR685"/>
      <c r="XS685"/>
      <c r="XT685"/>
      <c r="XU685"/>
      <c r="XV685"/>
      <c r="XW685"/>
      <c r="XX685"/>
      <c r="XY685"/>
      <c r="XZ685"/>
      <c r="YA685"/>
      <c r="YB685"/>
      <c r="YC685"/>
      <c r="YD685"/>
      <c r="YE685"/>
      <c r="YF685"/>
      <c r="YG685"/>
      <c r="YH685"/>
      <c r="YI685"/>
      <c r="YJ685"/>
      <c r="YK685"/>
      <c r="YL685"/>
      <c r="YM685"/>
      <c r="YN685"/>
      <c r="YO685"/>
      <c r="YP685"/>
      <c r="YQ685"/>
      <c r="YR685"/>
      <c r="YS685"/>
      <c r="YT685"/>
      <c r="YU685"/>
      <c r="YV685"/>
      <c r="YW685"/>
      <c r="YX685"/>
      <c r="YY685"/>
      <c r="YZ685"/>
      <c r="ZA685"/>
      <c r="ZB685"/>
      <c r="ZC685"/>
      <c r="ZD685"/>
      <c r="ZE685"/>
      <c r="ZF685"/>
      <c r="ZG685"/>
      <c r="ZH685"/>
      <c r="ZI685"/>
      <c r="ZJ685"/>
      <c r="ZK685"/>
      <c r="ZL685"/>
      <c r="ZM685"/>
      <c r="ZN685"/>
      <c r="ZO685"/>
      <c r="ZP685"/>
      <c r="ZQ685"/>
      <c r="ZR685"/>
      <c r="ZS685"/>
      <c r="ZT685"/>
      <c r="ZU685"/>
      <c r="ZV685"/>
      <c r="ZW685"/>
      <c r="ZX685"/>
      <c r="ZY685"/>
      <c r="ZZ685" s="52"/>
      <c r="AAA685" s="192"/>
      <c r="AAD685" s="90"/>
      <c r="AAE685" s="519">
        <f>IF(S.AC.CommitteeInvolved="Y",1,0)</f>
        <v>0</v>
      </c>
      <c r="AAF685" s="90"/>
      <c r="AAG685" s="73">
        <f>IF(AAE685=0,,S.EQC.BANNER.Begin)</f>
        <v>0</v>
      </c>
      <c r="AAH685" s="73">
        <f t="shared" si="588"/>
        <v>41716</v>
      </c>
      <c r="AAI685" s="72"/>
      <c r="AAJ685" s="56"/>
      <c r="AAK685" s="56"/>
      <c r="AAL685" s="90"/>
    </row>
    <row r="686" spans="1:715" s="23" customFormat="1" ht="15" customHeight="1" outlineLevel="2">
      <c r="A686" s="171"/>
      <c r="B686" s="715" t="s">
        <v>384</v>
      </c>
      <c r="C686" s="376" t="s">
        <v>0</v>
      </c>
      <c r="D686" s="422"/>
      <c r="E686" s="646">
        <f t="shared" si="584"/>
        <v>97</v>
      </c>
      <c r="F686" s="457">
        <f t="shared" ca="1" si="585"/>
        <v>96</v>
      </c>
      <c r="G686" s="647">
        <f t="shared" ref="G686:G687" si="589">AAG686</f>
        <v>41572</v>
      </c>
      <c r="H686" s="647">
        <f t="shared" ref="H686:H687" si="590">AAH686</f>
        <v>41716</v>
      </c>
      <c r="I686" s="244"/>
      <c r="J686" s="194"/>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49"/>
      <c r="AY686" s="49"/>
      <c r="AZ686" s="49"/>
      <c r="BA686" s="49"/>
      <c r="BB686" s="49"/>
      <c r="BC686" s="49"/>
      <c r="BD686" s="49"/>
      <c r="BE686" s="49"/>
      <c r="BF686" s="49"/>
      <c r="BG686" s="49"/>
      <c r="BH686" s="49"/>
      <c r="BI686" s="49"/>
      <c r="BJ686" s="49"/>
      <c r="BK686" s="49"/>
      <c r="BL686" s="49"/>
      <c r="BM686" s="49"/>
      <c r="BN686" s="49"/>
      <c r="BO686" s="49"/>
      <c r="BP686" s="49"/>
      <c r="BQ686" s="49"/>
      <c r="BR686" s="49"/>
      <c r="BS686" s="49"/>
      <c r="BT686" s="49"/>
      <c r="BU686" s="49"/>
      <c r="BV686" s="49"/>
      <c r="BW686" s="49"/>
      <c r="BX686" s="49"/>
      <c r="BY686" s="49"/>
      <c r="BZ686" s="49"/>
      <c r="CA686" s="49"/>
      <c r="CB686" s="49"/>
      <c r="CC686" s="49"/>
      <c r="CD686" s="49"/>
      <c r="CE686" s="49"/>
      <c r="CF686" s="49"/>
      <c r="CG686" s="49"/>
      <c r="CH686" s="49"/>
      <c r="CI686" s="49"/>
      <c r="CJ686" s="49"/>
      <c r="CK686" s="49"/>
      <c r="CL686" s="49"/>
      <c r="CM686" s="49"/>
      <c r="CN686" s="49"/>
      <c r="CO686" s="49"/>
      <c r="CP686" s="49"/>
      <c r="CQ686" s="49"/>
      <c r="CR686" s="49"/>
      <c r="CS686" s="49"/>
      <c r="CT686" s="49"/>
      <c r="CU686" s="49"/>
      <c r="CV686" s="49"/>
      <c r="CW686" s="49"/>
      <c r="CX686" s="49"/>
      <c r="CY686" s="49"/>
      <c r="CZ686" s="49"/>
      <c r="DA686" s="49"/>
      <c r="DB686" s="49"/>
      <c r="DC686" s="49"/>
      <c r="DD686" s="49"/>
      <c r="DE686" s="49"/>
      <c r="DF686" s="49"/>
      <c r="DG686" s="49"/>
      <c r="DH686" s="49"/>
      <c r="DI686" s="49"/>
      <c r="DJ686" s="49"/>
      <c r="DK686" s="49"/>
      <c r="DL686" s="49"/>
      <c r="DM686" s="49"/>
      <c r="DN686" s="49"/>
      <c r="DO686" s="49"/>
      <c r="DP686" s="49"/>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c r="IW686"/>
      <c r="IX686"/>
      <c r="IY686"/>
      <c r="IZ686"/>
      <c r="JA686"/>
      <c r="JB686"/>
      <c r="JC686"/>
      <c r="JD686"/>
      <c r="JE686"/>
      <c r="JF686"/>
      <c r="JG686"/>
      <c r="JH686"/>
      <c r="JI686"/>
      <c r="JJ686"/>
      <c r="JK686"/>
      <c r="JL686"/>
      <c r="JM686"/>
      <c r="JN686"/>
      <c r="JO686"/>
      <c r="JP686"/>
      <c r="JQ686"/>
      <c r="JR686"/>
      <c r="JS686"/>
      <c r="JT686"/>
      <c r="JU686"/>
      <c r="JV686"/>
      <c r="JW686"/>
      <c r="JX686"/>
      <c r="JY686"/>
      <c r="JZ686"/>
      <c r="KA686"/>
      <c r="KB686"/>
      <c r="KC686"/>
      <c r="KD686"/>
      <c r="KE686"/>
      <c r="KF686"/>
      <c r="KG686"/>
      <c r="KH686"/>
      <c r="KI686"/>
      <c r="KJ686"/>
      <c r="KK686"/>
      <c r="KL686"/>
      <c r="KM686"/>
      <c r="KN686"/>
      <c r="KO686"/>
      <c r="KP686"/>
      <c r="KQ686"/>
      <c r="KR686"/>
      <c r="KS686"/>
      <c r="KT686"/>
      <c r="KU686"/>
      <c r="KV686"/>
      <c r="KW686"/>
      <c r="KX686"/>
      <c r="KY686"/>
      <c r="KZ686"/>
      <c r="LA686"/>
      <c r="LB686"/>
      <c r="LC686"/>
      <c r="LD686"/>
      <c r="LE686"/>
      <c r="LF686"/>
      <c r="LG686"/>
      <c r="LH686"/>
      <c r="LI686"/>
      <c r="LJ686"/>
      <c r="LK686"/>
      <c r="LL686"/>
      <c r="LM686"/>
      <c r="LN686"/>
      <c r="LO686"/>
      <c r="LP686"/>
      <c r="LQ686"/>
      <c r="LR686"/>
      <c r="LS686"/>
      <c r="LT686"/>
      <c r="LU686"/>
      <c r="LV686"/>
      <c r="LW686"/>
      <c r="LX686"/>
      <c r="LY686"/>
      <c r="LZ686"/>
      <c r="MA686"/>
      <c r="MB686"/>
      <c r="MC686"/>
      <c r="MD686"/>
      <c r="ME686"/>
      <c r="MF686"/>
      <c r="MG686"/>
      <c r="MH686"/>
      <c r="MI686"/>
      <c r="MJ686"/>
      <c r="MK686"/>
      <c r="ML686"/>
      <c r="MM686"/>
      <c r="MN686"/>
      <c r="MO686"/>
      <c r="MP686"/>
      <c r="MQ686"/>
      <c r="MR686"/>
      <c r="MS686"/>
      <c r="MT686"/>
      <c r="MU686"/>
      <c r="MV686"/>
      <c r="MW686"/>
      <c r="MX686"/>
      <c r="MY686"/>
      <c r="MZ686"/>
      <c r="NA686"/>
      <c r="NB686"/>
      <c r="NC686"/>
      <c r="ND686"/>
      <c r="NE686"/>
      <c r="NF686"/>
      <c r="NG686"/>
      <c r="NH686"/>
      <c r="NI686"/>
      <c r="NJ686"/>
      <c r="NK686"/>
      <c r="NL686"/>
      <c r="NM686"/>
      <c r="NN686"/>
      <c r="NO686"/>
      <c r="NP686"/>
      <c r="NQ686"/>
      <c r="NR686"/>
      <c r="NS686"/>
      <c r="NT686"/>
      <c r="NU686"/>
      <c r="NV686"/>
      <c r="NW686"/>
      <c r="NX686"/>
      <c r="NY686"/>
      <c r="NZ686"/>
      <c r="OA686"/>
      <c r="OB686"/>
      <c r="OC686"/>
      <c r="OD686"/>
      <c r="OE686"/>
      <c r="OF686"/>
      <c r="OG686"/>
      <c r="OH686"/>
      <c r="OI686"/>
      <c r="OJ686"/>
      <c r="OK686"/>
      <c r="OL686"/>
      <c r="OM686"/>
      <c r="ON686"/>
      <c r="OO686"/>
      <c r="OP686"/>
      <c r="OQ686"/>
      <c r="OR686"/>
      <c r="OS686"/>
      <c r="OT686"/>
      <c r="OU686"/>
      <c r="OV686"/>
      <c r="OW686"/>
      <c r="OX686"/>
      <c r="OY686"/>
      <c r="OZ686"/>
      <c r="PA686"/>
      <c r="PB686"/>
      <c r="PC686"/>
      <c r="PD686"/>
      <c r="PE686"/>
      <c r="PF686"/>
      <c r="PG686"/>
      <c r="PH686"/>
      <c r="PI686"/>
      <c r="PJ686"/>
      <c r="PK686"/>
      <c r="PL686"/>
      <c r="PM686"/>
      <c r="PN686"/>
      <c r="PO686"/>
      <c r="PP686"/>
      <c r="PQ686"/>
      <c r="PR686"/>
      <c r="PS686"/>
      <c r="PT686"/>
      <c r="PU686"/>
      <c r="PV686"/>
      <c r="PW686"/>
      <c r="PX686"/>
      <c r="PY686"/>
      <c r="PZ686"/>
      <c r="QA686"/>
      <c r="QB686"/>
      <c r="QC686"/>
      <c r="QD686"/>
      <c r="QE686"/>
      <c r="QF686"/>
      <c r="QG686"/>
      <c r="QH686"/>
      <c r="QI686"/>
      <c r="QJ686"/>
      <c r="QK686"/>
      <c r="QL686"/>
      <c r="QM686"/>
      <c r="QN686"/>
      <c r="QO686"/>
      <c r="QP686"/>
      <c r="QQ686"/>
      <c r="QR686"/>
      <c r="QS686"/>
      <c r="QT686"/>
      <c r="QU686"/>
      <c r="QV686"/>
      <c r="QW686"/>
      <c r="QX686"/>
      <c r="QY686"/>
      <c r="QZ686"/>
      <c r="RA686"/>
      <c r="RB686"/>
      <c r="RC686"/>
      <c r="RD686"/>
      <c r="RE686"/>
      <c r="RF686"/>
      <c r="RG686"/>
      <c r="RH686"/>
      <c r="RI686"/>
      <c r="RJ686"/>
      <c r="RK686"/>
      <c r="RL686"/>
      <c r="RM686"/>
      <c r="RN686"/>
      <c r="RO686"/>
      <c r="RP686"/>
      <c r="RQ686"/>
      <c r="RR686"/>
      <c r="RS686"/>
      <c r="RT686"/>
      <c r="RU686"/>
      <c r="RV686"/>
      <c r="RW686"/>
      <c r="RX686"/>
      <c r="RY686"/>
      <c r="RZ686"/>
      <c r="SA686"/>
      <c r="SB686"/>
      <c r="SC686"/>
      <c r="SD686"/>
      <c r="SE686"/>
      <c r="SF686"/>
      <c r="SG686"/>
      <c r="SH686"/>
      <c r="SI686"/>
      <c r="SJ686"/>
      <c r="SK686"/>
      <c r="SL686"/>
      <c r="SM686"/>
      <c r="SN686"/>
      <c r="SO686"/>
      <c r="SP686"/>
      <c r="SQ686"/>
      <c r="SR686"/>
      <c r="SS686"/>
      <c r="ST686"/>
      <c r="SU686"/>
      <c r="SV686"/>
      <c r="SW686"/>
      <c r="SX686"/>
      <c r="SY686"/>
      <c r="SZ686"/>
      <c r="TA686"/>
      <c r="TB686"/>
      <c r="TC686"/>
      <c r="TD686"/>
      <c r="TE686"/>
      <c r="TF686"/>
      <c r="TG686"/>
      <c r="TH686"/>
      <c r="TI686"/>
      <c r="TJ686"/>
      <c r="TK686"/>
      <c r="TL686"/>
      <c r="TM686"/>
      <c r="TN686"/>
      <c r="TO686"/>
      <c r="TP686"/>
      <c r="TQ686"/>
      <c r="TR686"/>
      <c r="TS686"/>
      <c r="TT686"/>
      <c r="TU686"/>
      <c r="TV686"/>
      <c r="TW686"/>
      <c r="TX686"/>
      <c r="TY686"/>
      <c r="TZ686"/>
      <c r="UA686"/>
      <c r="UB686"/>
      <c r="UC686"/>
      <c r="UD686"/>
      <c r="UE686"/>
      <c r="UF686"/>
      <c r="UG686"/>
      <c r="UH686"/>
      <c r="UI686"/>
      <c r="UJ686"/>
      <c r="UK686"/>
      <c r="UL686"/>
      <c r="UM686"/>
      <c r="UN686"/>
      <c r="UO686"/>
      <c r="UP686"/>
      <c r="UQ686"/>
      <c r="UR686"/>
      <c r="US686"/>
      <c r="UT686"/>
      <c r="UU686"/>
      <c r="UV686"/>
      <c r="UW686"/>
      <c r="UX686"/>
      <c r="UY686"/>
      <c r="UZ686"/>
      <c r="VA686"/>
      <c r="VB686"/>
      <c r="VC686"/>
      <c r="VD686"/>
      <c r="VE686"/>
      <c r="VF686"/>
      <c r="VG686"/>
      <c r="VH686"/>
      <c r="VI686"/>
      <c r="VJ686"/>
      <c r="VK686"/>
      <c r="VL686"/>
      <c r="VM686"/>
      <c r="VN686"/>
      <c r="VO686"/>
      <c r="VP686"/>
      <c r="VQ686"/>
      <c r="VR686"/>
      <c r="VS686"/>
      <c r="VT686"/>
      <c r="VU686"/>
      <c r="VV686"/>
      <c r="VW686"/>
      <c r="VX686"/>
      <c r="VY686"/>
      <c r="VZ686"/>
      <c r="WA686"/>
      <c r="WB686"/>
      <c r="WC686"/>
      <c r="WD686"/>
      <c r="WE686"/>
      <c r="WF686"/>
      <c r="WG686"/>
      <c r="WH686"/>
      <c r="WI686"/>
      <c r="WJ686"/>
      <c r="WK686"/>
      <c r="WL686"/>
      <c r="WM686"/>
      <c r="WN686"/>
      <c r="WO686"/>
      <c r="WP686"/>
      <c r="WQ686"/>
      <c r="WR686"/>
      <c r="WS686"/>
      <c r="WT686"/>
      <c r="WU686"/>
      <c r="WV686"/>
      <c r="WW686"/>
      <c r="WX686"/>
      <c r="WY686"/>
      <c r="WZ686"/>
      <c r="XA686"/>
      <c r="XB686"/>
      <c r="XC686"/>
      <c r="XD686"/>
      <c r="XE686"/>
      <c r="XF686"/>
      <c r="XG686"/>
      <c r="XH686"/>
      <c r="XI686"/>
      <c r="XJ686"/>
      <c r="XK686"/>
      <c r="XL686"/>
      <c r="XM686"/>
      <c r="XN686"/>
      <c r="XO686"/>
      <c r="XP686"/>
      <c r="XQ686"/>
      <c r="XR686"/>
      <c r="XS686"/>
      <c r="XT686"/>
      <c r="XU686"/>
      <c r="XV686"/>
      <c r="XW686"/>
      <c r="XX686"/>
      <c r="XY686"/>
      <c r="XZ686"/>
      <c r="YA686"/>
      <c r="YB686"/>
      <c r="YC686"/>
      <c r="YD686"/>
      <c r="YE686"/>
      <c r="YF686"/>
      <c r="YG686"/>
      <c r="YH686"/>
      <c r="YI686"/>
      <c r="YJ686"/>
      <c r="YK686"/>
      <c r="YL686"/>
      <c r="YM686"/>
      <c r="YN686"/>
      <c r="YO686"/>
      <c r="YP686"/>
      <c r="YQ686"/>
      <c r="YR686"/>
      <c r="YS686"/>
      <c r="YT686"/>
      <c r="YU686"/>
      <c r="YV686"/>
      <c r="YW686"/>
      <c r="YX686"/>
      <c r="YY686"/>
      <c r="YZ686"/>
      <c r="ZA686"/>
      <c r="ZB686"/>
      <c r="ZC686"/>
      <c r="ZD686"/>
      <c r="ZE686"/>
      <c r="ZF686"/>
      <c r="ZG686"/>
      <c r="ZH686"/>
      <c r="ZI686"/>
      <c r="ZJ686"/>
      <c r="ZK686"/>
      <c r="ZL686"/>
      <c r="ZM686"/>
      <c r="ZN686"/>
      <c r="ZO686"/>
      <c r="ZP686"/>
      <c r="ZQ686"/>
      <c r="ZR686"/>
      <c r="ZS686"/>
      <c r="ZT686"/>
      <c r="ZU686"/>
      <c r="ZV686"/>
      <c r="ZW686"/>
      <c r="ZX686"/>
      <c r="ZY686"/>
      <c r="ZZ686" s="52"/>
      <c r="AAA686" s="192"/>
      <c r="AAD686" s="90"/>
      <c r="AAE686" s="519">
        <f>IF(S.Notice.Involved="Y",1,0)</f>
        <v>1</v>
      </c>
      <c r="AAF686" s="90"/>
      <c r="AAG686" s="73">
        <f>IF(AAE686=0,,S.EQC.BANNER.Begin)</f>
        <v>41572</v>
      </c>
      <c r="AAH686" s="73">
        <f t="shared" si="588"/>
        <v>41716</v>
      </c>
      <c r="AAI686" s="72"/>
      <c r="AAJ686" s="56"/>
      <c r="AAK686" s="56"/>
      <c r="AAL686" s="90"/>
    </row>
    <row r="687" spans="1:715" s="23" customFormat="1" ht="15" customHeight="1" outlineLevel="2">
      <c r="A687" s="171"/>
      <c r="B687" s="715" t="s">
        <v>385</v>
      </c>
      <c r="C687" s="376" t="s">
        <v>0</v>
      </c>
      <c r="D687" s="422"/>
      <c r="E687" s="646">
        <f t="shared" si="584"/>
        <v>97</v>
      </c>
      <c r="F687" s="457">
        <f t="shared" ca="1" si="585"/>
        <v>96</v>
      </c>
      <c r="G687" s="647">
        <f t="shared" si="589"/>
        <v>41572</v>
      </c>
      <c r="H687" s="647">
        <f t="shared" si="590"/>
        <v>41716</v>
      </c>
      <c r="I687" s="244"/>
      <c r="J687" s="194"/>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49"/>
      <c r="AY687" s="49"/>
      <c r="AZ687" s="49"/>
      <c r="BA687" s="49"/>
      <c r="BB687" s="49"/>
      <c r="BC687" s="49"/>
      <c r="BD687" s="49"/>
      <c r="BE687" s="49"/>
      <c r="BF687" s="49"/>
      <c r="BG687" s="49"/>
      <c r="BH687" s="49"/>
      <c r="BI687" s="49"/>
      <c r="BJ687" s="49"/>
      <c r="BK687" s="49"/>
      <c r="BL687" s="49"/>
      <c r="BM687" s="49"/>
      <c r="BN687" s="49"/>
      <c r="BO687" s="49"/>
      <c r="BP687" s="49"/>
      <c r="BQ687" s="49"/>
      <c r="BR687" s="49"/>
      <c r="BS687" s="49"/>
      <c r="BT687" s="49"/>
      <c r="BU687" s="49"/>
      <c r="BV687" s="49"/>
      <c r="BW687" s="49"/>
      <c r="BX687" s="49"/>
      <c r="BY687" s="49"/>
      <c r="BZ687" s="49"/>
      <c r="CA687" s="49"/>
      <c r="CB687" s="49"/>
      <c r="CC687" s="49"/>
      <c r="CD687" s="49"/>
      <c r="CE687" s="49"/>
      <c r="CF687" s="49"/>
      <c r="CG687" s="49"/>
      <c r="CH687" s="49"/>
      <c r="CI687" s="49"/>
      <c r="CJ687" s="49"/>
      <c r="CK687" s="49"/>
      <c r="CL687" s="49"/>
      <c r="CM687" s="49"/>
      <c r="CN687" s="49"/>
      <c r="CO687" s="49"/>
      <c r="CP687" s="49"/>
      <c r="CQ687" s="49"/>
      <c r="CR687" s="49"/>
      <c r="CS687" s="49"/>
      <c r="CT687" s="49"/>
      <c r="CU687" s="49"/>
      <c r="CV687" s="49"/>
      <c r="CW687" s="49"/>
      <c r="CX687" s="49"/>
      <c r="CY687" s="49"/>
      <c r="CZ687" s="49"/>
      <c r="DA687" s="49"/>
      <c r="DB687" s="49"/>
      <c r="DC687" s="49"/>
      <c r="DD687" s="49"/>
      <c r="DE687" s="49"/>
      <c r="DF687" s="49"/>
      <c r="DG687" s="49"/>
      <c r="DH687" s="49"/>
      <c r="DI687" s="49"/>
      <c r="DJ687" s="49"/>
      <c r="DK687" s="49"/>
      <c r="DL687" s="49"/>
      <c r="DM687" s="49"/>
      <c r="DN687" s="49"/>
      <c r="DO687" s="49"/>
      <c r="DP687" s="49"/>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c r="IW687"/>
      <c r="IX687"/>
      <c r="IY687"/>
      <c r="IZ687"/>
      <c r="JA687"/>
      <c r="JB687"/>
      <c r="JC687"/>
      <c r="JD687"/>
      <c r="JE687"/>
      <c r="JF687"/>
      <c r="JG687"/>
      <c r="JH687"/>
      <c r="JI687"/>
      <c r="JJ687"/>
      <c r="JK687"/>
      <c r="JL687"/>
      <c r="JM687"/>
      <c r="JN687"/>
      <c r="JO687"/>
      <c r="JP687"/>
      <c r="JQ687"/>
      <c r="JR687"/>
      <c r="JS687"/>
      <c r="JT687"/>
      <c r="JU687"/>
      <c r="JV687"/>
      <c r="JW687"/>
      <c r="JX687"/>
      <c r="JY687"/>
      <c r="JZ687"/>
      <c r="KA687"/>
      <c r="KB687"/>
      <c r="KC687"/>
      <c r="KD687"/>
      <c r="KE687"/>
      <c r="KF687"/>
      <c r="KG687"/>
      <c r="KH687"/>
      <c r="KI687"/>
      <c r="KJ687"/>
      <c r="KK687"/>
      <c r="KL687"/>
      <c r="KM687"/>
      <c r="KN687"/>
      <c r="KO687"/>
      <c r="KP687"/>
      <c r="KQ687"/>
      <c r="KR687"/>
      <c r="KS687"/>
      <c r="KT687"/>
      <c r="KU687"/>
      <c r="KV687"/>
      <c r="KW687"/>
      <c r="KX687"/>
      <c r="KY687"/>
      <c r="KZ687"/>
      <c r="LA687"/>
      <c r="LB687"/>
      <c r="LC687"/>
      <c r="LD687"/>
      <c r="LE687"/>
      <c r="LF687"/>
      <c r="LG687"/>
      <c r="LH687"/>
      <c r="LI687"/>
      <c r="LJ687"/>
      <c r="LK687"/>
      <c r="LL687"/>
      <c r="LM687"/>
      <c r="LN687"/>
      <c r="LO687"/>
      <c r="LP687"/>
      <c r="LQ687"/>
      <c r="LR687"/>
      <c r="LS687"/>
      <c r="LT687"/>
      <c r="LU687"/>
      <c r="LV687"/>
      <c r="LW687"/>
      <c r="LX687"/>
      <c r="LY687"/>
      <c r="LZ687"/>
      <c r="MA687"/>
      <c r="MB687"/>
      <c r="MC687"/>
      <c r="MD687"/>
      <c r="ME687"/>
      <c r="MF687"/>
      <c r="MG687"/>
      <c r="MH687"/>
      <c r="MI687"/>
      <c r="MJ687"/>
      <c r="MK687"/>
      <c r="ML687"/>
      <c r="MM687"/>
      <c r="MN687"/>
      <c r="MO687"/>
      <c r="MP687"/>
      <c r="MQ687"/>
      <c r="MR687"/>
      <c r="MS687"/>
      <c r="MT687"/>
      <c r="MU687"/>
      <c r="MV687"/>
      <c r="MW687"/>
      <c r="MX687"/>
      <c r="MY687"/>
      <c r="MZ687"/>
      <c r="NA687"/>
      <c r="NB687"/>
      <c r="NC687"/>
      <c r="ND687"/>
      <c r="NE687"/>
      <c r="NF687"/>
      <c r="NG687"/>
      <c r="NH687"/>
      <c r="NI687"/>
      <c r="NJ687"/>
      <c r="NK687"/>
      <c r="NL687"/>
      <c r="NM687"/>
      <c r="NN687"/>
      <c r="NO687"/>
      <c r="NP687"/>
      <c r="NQ687"/>
      <c r="NR687"/>
      <c r="NS687"/>
      <c r="NT687"/>
      <c r="NU687"/>
      <c r="NV687"/>
      <c r="NW687"/>
      <c r="NX687"/>
      <c r="NY687"/>
      <c r="NZ687"/>
      <c r="OA687"/>
      <c r="OB687"/>
      <c r="OC687"/>
      <c r="OD687"/>
      <c r="OE687"/>
      <c r="OF687"/>
      <c r="OG687"/>
      <c r="OH687"/>
      <c r="OI687"/>
      <c r="OJ687"/>
      <c r="OK687"/>
      <c r="OL687"/>
      <c r="OM687"/>
      <c r="ON687"/>
      <c r="OO687"/>
      <c r="OP687"/>
      <c r="OQ687"/>
      <c r="OR687"/>
      <c r="OS687"/>
      <c r="OT687"/>
      <c r="OU687"/>
      <c r="OV687"/>
      <c r="OW687"/>
      <c r="OX687"/>
      <c r="OY687"/>
      <c r="OZ687"/>
      <c r="PA687"/>
      <c r="PB687"/>
      <c r="PC687"/>
      <c r="PD687"/>
      <c r="PE687"/>
      <c r="PF687"/>
      <c r="PG687"/>
      <c r="PH687"/>
      <c r="PI687"/>
      <c r="PJ687"/>
      <c r="PK687"/>
      <c r="PL687"/>
      <c r="PM687"/>
      <c r="PN687"/>
      <c r="PO687"/>
      <c r="PP687"/>
      <c r="PQ687"/>
      <c r="PR687"/>
      <c r="PS687"/>
      <c r="PT687"/>
      <c r="PU687"/>
      <c r="PV687"/>
      <c r="PW687"/>
      <c r="PX687"/>
      <c r="PY687"/>
      <c r="PZ687"/>
      <c r="QA687"/>
      <c r="QB687"/>
      <c r="QC687"/>
      <c r="QD687"/>
      <c r="QE687"/>
      <c r="QF687"/>
      <c r="QG687"/>
      <c r="QH687"/>
      <c r="QI687"/>
      <c r="QJ687"/>
      <c r="QK687"/>
      <c r="QL687"/>
      <c r="QM687"/>
      <c r="QN687"/>
      <c r="QO687"/>
      <c r="QP687"/>
      <c r="QQ687"/>
      <c r="QR687"/>
      <c r="QS687"/>
      <c r="QT687"/>
      <c r="QU687"/>
      <c r="QV687"/>
      <c r="QW687"/>
      <c r="QX687"/>
      <c r="QY687"/>
      <c r="QZ687"/>
      <c r="RA687"/>
      <c r="RB687"/>
      <c r="RC687"/>
      <c r="RD687"/>
      <c r="RE687"/>
      <c r="RF687"/>
      <c r="RG687"/>
      <c r="RH687"/>
      <c r="RI687"/>
      <c r="RJ687"/>
      <c r="RK687"/>
      <c r="RL687"/>
      <c r="RM687"/>
      <c r="RN687"/>
      <c r="RO687"/>
      <c r="RP687"/>
      <c r="RQ687"/>
      <c r="RR687"/>
      <c r="RS687"/>
      <c r="RT687"/>
      <c r="RU687"/>
      <c r="RV687"/>
      <c r="RW687"/>
      <c r="RX687"/>
      <c r="RY687"/>
      <c r="RZ687"/>
      <c r="SA687"/>
      <c r="SB687"/>
      <c r="SC687"/>
      <c r="SD687"/>
      <c r="SE687"/>
      <c r="SF687"/>
      <c r="SG687"/>
      <c r="SH687"/>
      <c r="SI687"/>
      <c r="SJ687"/>
      <c r="SK687"/>
      <c r="SL687"/>
      <c r="SM687"/>
      <c r="SN687"/>
      <c r="SO687"/>
      <c r="SP687"/>
      <c r="SQ687"/>
      <c r="SR687"/>
      <c r="SS687"/>
      <c r="ST687"/>
      <c r="SU687"/>
      <c r="SV687"/>
      <c r="SW687"/>
      <c r="SX687"/>
      <c r="SY687"/>
      <c r="SZ687"/>
      <c r="TA687"/>
      <c r="TB687"/>
      <c r="TC687"/>
      <c r="TD687"/>
      <c r="TE687"/>
      <c r="TF687"/>
      <c r="TG687"/>
      <c r="TH687"/>
      <c r="TI687"/>
      <c r="TJ687"/>
      <c r="TK687"/>
      <c r="TL687"/>
      <c r="TM687"/>
      <c r="TN687"/>
      <c r="TO687"/>
      <c r="TP687"/>
      <c r="TQ687"/>
      <c r="TR687"/>
      <c r="TS687"/>
      <c r="TT687"/>
      <c r="TU687"/>
      <c r="TV687"/>
      <c r="TW687"/>
      <c r="TX687"/>
      <c r="TY687"/>
      <c r="TZ687"/>
      <c r="UA687"/>
      <c r="UB687"/>
      <c r="UC687"/>
      <c r="UD687"/>
      <c r="UE687"/>
      <c r="UF687"/>
      <c r="UG687"/>
      <c r="UH687"/>
      <c r="UI687"/>
      <c r="UJ687"/>
      <c r="UK687"/>
      <c r="UL687"/>
      <c r="UM687"/>
      <c r="UN687"/>
      <c r="UO687"/>
      <c r="UP687"/>
      <c r="UQ687"/>
      <c r="UR687"/>
      <c r="US687"/>
      <c r="UT687"/>
      <c r="UU687"/>
      <c r="UV687"/>
      <c r="UW687"/>
      <c r="UX687"/>
      <c r="UY687"/>
      <c r="UZ687"/>
      <c r="VA687"/>
      <c r="VB687"/>
      <c r="VC687"/>
      <c r="VD687"/>
      <c r="VE687"/>
      <c r="VF687"/>
      <c r="VG687"/>
      <c r="VH687"/>
      <c r="VI687"/>
      <c r="VJ687"/>
      <c r="VK687"/>
      <c r="VL687"/>
      <c r="VM687"/>
      <c r="VN687"/>
      <c r="VO687"/>
      <c r="VP687"/>
      <c r="VQ687"/>
      <c r="VR687"/>
      <c r="VS687"/>
      <c r="VT687"/>
      <c r="VU687"/>
      <c r="VV687"/>
      <c r="VW687"/>
      <c r="VX687"/>
      <c r="VY687"/>
      <c r="VZ687"/>
      <c r="WA687"/>
      <c r="WB687"/>
      <c r="WC687"/>
      <c r="WD687"/>
      <c r="WE687"/>
      <c r="WF687"/>
      <c r="WG687"/>
      <c r="WH687"/>
      <c r="WI687"/>
      <c r="WJ687"/>
      <c r="WK687"/>
      <c r="WL687"/>
      <c r="WM687"/>
      <c r="WN687"/>
      <c r="WO687"/>
      <c r="WP687"/>
      <c r="WQ687"/>
      <c r="WR687"/>
      <c r="WS687"/>
      <c r="WT687"/>
      <c r="WU687"/>
      <c r="WV687"/>
      <c r="WW687"/>
      <c r="WX687"/>
      <c r="WY687"/>
      <c r="WZ687"/>
      <c r="XA687"/>
      <c r="XB687"/>
      <c r="XC687"/>
      <c r="XD687"/>
      <c r="XE687"/>
      <c r="XF687"/>
      <c r="XG687"/>
      <c r="XH687"/>
      <c r="XI687"/>
      <c r="XJ687"/>
      <c r="XK687"/>
      <c r="XL687"/>
      <c r="XM687"/>
      <c r="XN687"/>
      <c r="XO687"/>
      <c r="XP687"/>
      <c r="XQ687"/>
      <c r="XR687"/>
      <c r="XS687"/>
      <c r="XT687"/>
      <c r="XU687"/>
      <c r="XV687"/>
      <c r="XW687"/>
      <c r="XX687"/>
      <c r="XY687"/>
      <c r="XZ687"/>
      <c r="YA687"/>
      <c r="YB687"/>
      <c r="YC687"/>
      <c r="YD687"/>
      <c r="YE687"/>
      <c r="YF687"/>
      <c r="YG687"/>
      <c r="YH687"/>
      <c r="YI687"/>
      <c r="YJ687"/>
      <c r="YK687"/>
      <c r="YL687"/>
      <c r="YM687"/>
      <c r="YN687"/>
      <c r="YO687"/>
      <c r="YP687"/>
      <c r="YQ687"/>
      <c r="YR687"/>
      <c r="YS687"/>
      <c r="YT687"/>
      <c r="YU687"/>
      <c r="YV687"/>
      <c r="YW687"/>
      <c r="YX687"/>
      <c r="YY687"/>
      <c r="YZ687"/>
      <c r="ZA687"/>
      <c r="ZB687"/>
      <c r="ZC687"/>
      <c r="ZD687"/>
      <c r="ZE687"/>
      <c r="ZF687"/>
      <c r="ZG687"/>
      <c r="ZH687"/>
      <c r="ZI687"/>
      <c r="ZJ687"/>
      <c r="ZK687"/>
      <c r="ZL687"/>
      <c r="ZM687"/>
      <c r="ZN687"/>
      <c r="ZO687"/>
      <c r="ZP687"/>
      <c r="ZQ687"/>
      <c r="ZR687"/>
      <c r="ZS687"/>
      <c r="ZT687"/>
      <c r="ZU687"/>
      <c r="ZV687"/>
      <c r="ZW687"/>
      <c r="ZX687"/>
      <c r="ZY687"/>
      <c r="ZZ687" s="52"/>
      <c r="AAA687" s="192"/>
      <c r="AAD687" s="90"/>
      <c r="AAE687" s="519">
        <v>1</v>
      </c>
      <c r="AAF687" s="90"/>
      <c r="AAG687" s="73">
        <f>S.EQC.BANNER.Begin</f>
        <v>41572</v>
      </c>
      <c r="AAH687" s="73">
        <f t="shared" si="588"/>
        <v>41716</v>
      </c>
      <c r="AAI687" s="72"/>
      <c r="AAJ687" s="56"/>
      <c r="AAK687" s="56"/>
      <c r="AAL687" s="90"/>
    </row>
    <row r="688" spans="1:715" ht="15" customHeight="1" outlineLevel="2">
      <c r="A688" s="171"/>
      <c r="B688" s="415" t="s">
        <v>370</v>
      </c>
      <c r="C688" s="376" t="s">
        <v>0</v>
      </c>
      <c r="D688" s="422"/>
      <c r="E688" s="646">
        <f t="shared" si="584"/>
        <v>97</v>
      </c>
      <c r="F688" s="457">
        <f t="shared" ca="1" si="585"/>
        <v>96</v>
      </c>
      <c r="G688" s="647">
        <f t="shared" ref="G688:H688" si="591">AAG688</f>
        <v>41572</v>
      </c>
      <c r="H688" s="647">
        <f t="shared" si="591"/>
        <v>41716</v>
      </c>
      <c r="I688" s="244"/>
      <c r="J688" s="194"/>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c r="BE688" s="49"/>
      <c r="BF688" s="49"/>
      <c r="BG688" s="49"/>
      <c r="BH688" s="49"/>
      <c r="BI688" s="49"/>
      <c r="BJ688" s="49"/>
      <c r="BK688" s="49"/>
      <c r="BL688" s="49"/>
      <c r="BM688" s="49"/>
      <c r="BN688" s="49"/>
      <c r="BO688" s="49"/>
      <c r="BP688" s="49"/>
      <c r="BQ688" s="49"/>
      <c r="BR688" s="49"/>
      <c r="BS688" s="49"/>
      <c r="BT688" s="49"/>
      <c r="BU688" s="49"/>
      <c r="BV688" s="49"/>
      <c r="BW688" s="49"/>
      <c r="BX688" s="49"/>
      <c r="BY688" s="49"/>
      <c r="BZ688" s="49"/>
      <c r="CA688" s="49"/>
      <c r="CB688" s="49"/>
      <c r="CC688" s="49"/>
      <c r="CD688" s="49"/>
      <c r="CE688" s="49"/>
      <c r="CF688" s="49"/>
      <c r="CG688" s="49"/>
      <c r="CH688" s="49"/>
      <c r="CI688" s="49"/>
      <c r="CJ688" s="49"/>
      <c r="CK688" s="49"/>
      <c r="CL688" s="49"/>
      <c r="CM688" s="49"/>
      <c r="CN688" s="49"/>
      <c r="CO688" s="49"/>
      <c r="CP688" s="49"/>
      <c r="CQ688" s="49"/>
      <c r="CR688" s="49"/>
      <c r="CS688" s="49"/>
      <c r="CT688" s="49"/>
      <c r="CU688" s="49"/>
      <c r="CV688" s="49"/>
      <c r="CW688" s="49"/>
      <c r="CX688" s="49"/>
      <c r="CY688" s="49"/>
      <c r="CZ688" s="49"/>
      <c r="DA688" s="49"/>
      <c r="DB688" s="49"/>
      <c r="DC688" s="49"/>
      <c r="DD688" s="49"/>
      <c r="DE688" s="49"/>
      <c r="DF688" s="49"/>
      <c r="DG688" s="49"/>
      <c r="DH688" s="49"/>
      <c r="DI688" s="49"/>
      <c r="DJ688" s="49"/>
      <c r="DK688" s="49"/>
      <c r="DL688" s="49"/>
      <c r="DM688" s="49"/>
      <c r="DN688" s="49"/>
      <c r="DO688" s="49"/>
      <c r="DP688" s="49"/>
      <c r="AAA688" s="192"/>
      <c r="AAD688" s="90"/>
      <c r="AAE688" s="519">
        <v>1</v>
      </c>
      <c r="AAF688" s="90"/>
      <c r="AAG688" s="73">
        <f>S.EQC.BANNER.Begin</f>
        <v>41572</v>
      </c>
      <c r="AAH688" s="73">
        <f t="shared" si="588"/>
        <v>41716</v>
      </c>
      <c r="AAI688" s="72"/>
      <c r="AAJ688" s="56"/>
      <c r="AAK688" s="56"/>
      <c r="AAL688" s="90"/>
      <c r="AAM688"/>
    </row>
    <row r="689" spans="1:715" ht="15" customHeight="1" outlineLevel="2">
      <c r="A689" s="171"/>
      <c r="B689" s="286" t="s">
        <v>372</v>
      </c>
      <c r="C689" s="364" t="s">
        <v>0</v>
      </c>
      <c r="D689" s="422"/>
      <c r="E689" s="648">
        <f t="shared" si="584"/>
        <v>97</v>
      </c>
      <c r="F689" s="457">
        <f t="shared" ca="1" si="585"/>
        <v>96</v>
      </c>
      <c r="G689" s="647">
        <f t="shared" ref="G689:G690" si="592">AAG689</f>
        <v>41572</v>
      </c>
      <c r="H689" s="647">
        <f t="shared" ref="H689:H690" si="593">AAH689</f>
        <v>41716</v>
      </c>
      <c r="I689" s="244"/>
      <c r="J689" s="194"/>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c r="BG689" s="49"/>
      <c r="BH689" s="49"/>
      <c r="BI689" s="49"/>
      <c r="BJ689" s="49"/>
      <c r="BK689" s="49"/>
      <c r="BL689" s="49"/>
      <c r="BM689" s="49"/>
      <c r="BN689" s="49"/>
      <c r="BO689" s="49"/>
      <c r="BP689" s="49"/>
      <c r="BQ689" s="49"/>
      <c r="BR689" s="49"/>
      <c r="BS689" s="49"/>
      <c r="BT689" s="49"/>
      <c r="BU689" s="49"/>
      <c r="BV689" s="49"/>
      <c r="BW689" s="49"/>
      <c r="BX689" s="49"/>
      <c r="BY689" s="49"/>
      <c r="BZ689" s="49"/>
      <c r="CA689" s="49"/>
      <c r="CB689" s="49"/>
      <c r="CC689" s="49"/>
      <c r="CD689" s="49"/>
      <c r="CE689" s="49"/>
      <c r="CF689" s="49"/>
      <c r="CG689" s="49"/>
      <c r="CH689" s="49"/>
      <c r="CI689" s="49"/>
      <c r="CJ689" s="49"/>
      <c r="CK689" s="49"/>
      <c r="CL689" s="49"/>
      <c r="CM689" s="49"/>
      <c r="CN689" s="49"/>
      <c r="CO689" s="49"/>
      <c r="CP689" s="49"/>
      <c r="CQ689" s="49"/>
      <c r="CR689" s="49"/>
      <c r="CS689" s="49"/>
      <c r="CT689" s="49"/>
      <c r="CU689" s="49"/>
      <c r="CV689" s="49"/>
      <c r="CW689" s="49"/>
      <c r="CX689" s="49"/>
      <c r="CY689" s="49"/>
      <c r="CZ689" s="49"/>
      <c r="DA689" s="49"/>
      <c r="DB689" s="49"/>
      <c r="DC689" s="49"/>
      <c r="DD689" s="49"/>
      <c r="DE689" s="49"/>
      <c r="DF689" s="49"/>
      <c r="DG689" s="49"/>
      <c r="DH689" s="49"/>
      <c r="DI689" s="49"/>
      <c r="DJ689" s="49"/>
      <c r="DK689" s="49"/>
      <c r="DL689" s="49"/>
      <c r="DM689" s="49"/>
      <c r="DN689" s="49"/>
      <c r="DO689" s="49"/>
      <c r="DP689" s="49"/>
      <c r="AAA689" s="192"/>
      <c r="AAD689" s="90"/>
      <c r="AAE689" s="519">
        <v>1</v>
      </c>
      <c r="AAF689" s="90"/>
      <c r="AAG689" s="73">
        <f>G688</f>
        <v>41572</v>
      </c>
      <c r="AAH689" s="73">
        <f t="shared" si="588"/>
        <v>41716</v>
      </c>
      <c r="AAI689" s="72"/>
      <c r="AAJ689" s="56"/>
      <c r="AAK689" s="56" t="s">
        <v>0</v>
      </c>
      <c r="AAL689" s="90"/>
      <c r="AAM689"/>
    </row>
    <row r="690" spans="1:715" ht="15" customHeight="1" outlineLevel="2">
      <c r="A690" s="171"/>
      <c r="B690" s="688" t="s">
        <v>371</v>
      </c>
      <c r="C690" s="425" t="s">
        <v>0</v>
      </c>
      <c r="D690" s="422"/>
      <c r="E690" s="648">
        <f t="shared" si="584"/>
        <v>97</v>
      </c>
      <c r="F690" s="457">
        <f t="shared" ca="1" si="585"/>
        <v>96</v>
      </c>
      <c r="G690" s="647">
        <f t="shared" si="592"/>
        <v>41572</v>
      </c>
      <c r="H690" s="647">
        <f t="shared" si="593"/>
        <v>41716</v>
      </c>
      <c r="I690" s="244"/>
      <c r="J690" s="193"/>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46"/>
      <c r="CS690" s="46"/>
      <c r="CT690" s="46"/>
      <c r="CU690" s="46"/>
      <c r="CV690" s="46"/>
      <c r="CW690" s="46"/>
      <c r="CX690" s="46"/>
      <c r="CY690" s="46"/>
      <c r="CZ690" s="46"/>
      <c r="DA690" s="46"/>
      <c r="DB690" s="46"/>
      <c r="DC690" s="46"/>
      <c r="DD690" s="46"/>
      <c r="DE690" s="46"/>
      <c r="DF690" s="46"/>
      <c r="DG690" s="46"/>
      <c r="DH690" s="46"/>
      <c r="DI690" s="46"/>
      <c r="DJ690" s="46"/>
      <c r="DK690" s="46"/>
      <c r="DL690" s="46"/>
      <c r="DM690" s="46"/>
      <c r="DN690" s="46"/>
      <c r="DO690" s="46"/>
      <c r="DP690" s="46"/>
      <c r="AAA690" s="192"/>
      <c r="AAD690" s="90"/>
      <c r="AAE690" s="519">
        <v>1</v>
      </c>
      <c r="AAF690" s="90"/>
      <c r="AAG690" s="73">
        <f>G689</f>
        <v>41572</v>
      </c>
      <c r="AAH690" s="73">
        <f t="shared" si="588"/>
        <v>41716</v>
      </c>
      <c r="AAI690" s="72"/>
      <c r="AAJ690" s="55"/>
      <c r="AAK690" s="55"/>
      <c r="AAL690" s="90"/>
      <c r="AAM690"/>
    </row>
    <row r="691" spans="1:715" ht="15" outlineLevel="2">
      <c r="A691" s="171"/>
      <c r="B691" s="416" t="s">
        <v>259</v>
      </c>
      <c r="C691" s="375"/>
      <c r="D691" s="416"/>
      <c r="E691" s="649"/>
      <c r="F691" s="649"/>
      <c r="G691" s="650">
        <f>AAG691</f>
        <v>41717</v>
      </c>
      <c r="H691" s="651">
        <f>AAH691</f>
        <v>41717</v>
      </c>
      <c r="I691" s="244"/>
      <c r="J691" s="194"/>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c r="BE691" s="49"/>
      <c r="BF691" s="49"/>
      <c r="BG691" s="49"/>
      <c r="BH691" s="49"/>
      <c r="BI691" s="49"/>
      <c r="BJ691" s="49"/>
      <c r="BK691" s="49"/>
      <c r="BL691" s="49"/>
      <c r="BM691" s="49"/>
      <c r="BN691" s="49"/>
      <c r="BO691" s="49"/>
      <c r="BP691" s="49"/>
      <c r="BQ691" s="49"/>
      <c r="BR691" s="49"/>
      <c r="BS691" s="49"/>
      <c r="BT691" s="49"/>
      <c r="BU691" s="49"/>
      <c r="BV691" s="49"/>
      <c r="BW691" s="49"/>
      <c r="BX691" s="49"/>
      <c r="BY691" s="49"/>
      <c r="BZ691" s="49"/>
      <c r="CA691" s="49"/>
      <c r="CB691" s="49"/>
      <c r="CC691" s="49"/>
      <c r="CD691" s="49"/>
      <c r="CE691" s="49"/>
      <c r="CF691" s="49"/>
      <c r="CG691" s="49"/>
      <c r="CH691" s="49"/>
      <c r="CI691" s="49"/>
      <c r="CJ691" s="49"/>
      <c r="CK691" s="49"/>
      <c r="CL691" s="49"/>
      <c r="CM691" s="49"/>
      <c r="CN691" s="49"/>
      <c r="CO691" s="49"/>
      <c r="CP691" s="49"/>
      <c r="CQ691" s="49"/>
      <c r="CR691" s="49"/>
      <c r="CS691" s="49"/>
      <c r="CT691" s="49"/>
      <c r="CU691" s="49"/>
      <c r="CV691" s="49"/>
      <c r="CW691" s="49"/>
      <c r="CX691" s="49"/>
      <c r="CY691" s="49"/>
      <c r="CZ691" s="49"/>
      <c r="DA691" s="49"/>
      <c r="DB691" s="49"/>
      <c r="DC691" s="49"/>
      <c r="DD691" s="49"/>
      <c r="DE691" s="49"/>
      <c r="DF691" s="49"/>
      <c r="DG691" s="49"/>
      <c r="DH691" s="49"/>
      <c r="DI691" s="49"/>
      <c r="DJ691" s="49"/>
      <c r="DK691" s="49"/>
      <c r="DL691" s="49"/>
      <c r="DM691" s="49"/>
      <c r="DN691" s="49"/>
      <c r="DO691" s="49"/>
      <c r="DP691" s="49"/>
      <c r="AAA691" s="192"/>
      <c r="AAD691" s="90"/>
      <c r="AAE691" s="519">
        <v>1</v>
      </c>
      <c r="AAF691" s="90"/>
      <c r="AAG691" s="73">
        <f>S.EQC.Meeting</f>
        <v>41717</v>
      </c>
      <c r="AAH691" s="73">
        <f>S.EQC.Meeting</f>
        <v>41717</v>
      </c>
      <c r="AAI691" s="72"/>
      <c r="AAJ691" s="56"/>
      <c r="AAK691" s="56"/>
      <c r="AAL691" s="90"/>
      <c r="AAM691"/>
    </row>
    <row r="692" spans="1:715" s="23" customFormat="1" ht="15.75" customHeight="1" outlineLevel="2">
      <c r="A692" s="171"/>
      <c r="B692" s="291" t="str">
        <f>AAK692</f>
        <v>AndreaRW collects emails about EQC preparations for Rule Record and saves as:</v>
      </c>
      <c r="C692" s="789" t="str">
        <f>HYPERLINK("\\deqhq1\Rule_Development\Currrent Plan","i")</f>
        <v>i</v>
      </c>
      <c r="D692" s="401"/>
      <c r="E692" s="648">
        <f t="shared" ref="E692" si="594">NETWORKDAYS(G692,H692,S.DDL_DEQClosed)</f>
        <v>1</v>
      </c>
      <c r="F692" s="457">
        <f ca="1">IF(YEAR(H692)&gt;2000,NETWORKDAYS(TODAY(),H692,S.DDL_DEQClosed),0)</f>
        <v>97</v>
      </c>
      <c r="G692" s="652">
        <f>AAG692</f>
        <v>41717</v>
      </c>
      <c r="H692" s="652">
        <f>AAH692</f>
        <v>41717</v>
      </c>
      <c r="I692" s="244"/>
      <c r="J692" s="194"/>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c r="BE692" s="49"/>
      <c r="BF692" s="49"/>
      <c r="BG692" s="49"/>
      <c r="BH692" s="49"/>
      <c r="BI692" s="49"/>
      <c r="BJ692" s="49"/>
      <c r="BK692" s="49"/>
      <c r="BL692" s="49"/>
      <c r="BM692" s="49"/>
      <c r="BN692" s="49"/>
      <c r="BO692" s="49"/>
      <c r="BP692" s="49"/>
      <c r="BQ692" s="49"/>
      <c r="BR692" s="49"/>
      <c r="BS692" s="49"/>
      <c r="BT692" s="49"/>
      <c r="BU692" s="49"/>
      <c r="BV692" s="49"/>
      <c r="BW692" s="49"/>
      <c r="BX692" s="49"/>
      <c r="BY692" s="49"/>
      <c r="BZ692" s="49"/>
      <c r="CA692" s="49"/>
      <c r="CB692" s="49"/>
      <c r="CC692" s="49"/>
      <c r="CD692" s="49"/>
      <c r="CE692" s="49"/>
      <c r="CF692" s="49"/>
      <c r="CG692" s="49"/>
      <c r="CH692" s="49"/>
      <c r="CI692" s="49"/>
      <c r="CJ692" s="49"/>
      <c r="CK692" s="49"/>
      <c r="CL692" s="49"/>
      <c r="CM692" s="49"/>
      <c r="CN692" s="49"/>
      <c r="CO692" s="49"/>
      <c r="CP692" s="49"/>
      <c r="CQ692" s="49"/>
      <c r="CR692" s="49"/>
      <c r="CS692" s="49"/>
      <c r="CT692" s="49"/>
      <c r="CU692" s="49"/>
      <c r="CV692" s="49"/>
      <c r="CW692" s="49"/>
      <c r="CX692" s="49"/>
      <c r="CY692" s="49"/>
      <c r="CZ692" s="49"/>
      <c r="DA692" s="49"/>
      <c r="DB692" s="49"/>
      <c r="DC692" s="49"/>
      <c r="DD692" s="49"/>
      <c r="DE692" s="49"/>
      <c r="DF692" s="49"/>
      <c r="DG692" s="49"/>
      <c r="DH692" s="49"/>
      <c r="DI692" s="49"/>
      <c r="DJ692" s="49"/>
      <c r="DK692" s="49"/>
      <c r="DL692" s="49"/>
      <c r="DM692" s="49"/>
      <c r="DN692" s="49"/>
      <c r="DO692" s="49"/>
      <c r="DP692" s="49"/>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c r="IW692"/>
      <c r="IX692"/>
      <c r="IY692"/>
      <c r="IZ692"/>
      <c r="JA692"/>
      <c r="JB692"/>
      <c r="JC692"/>
      <c r="JD692"/>
      <c r="JE692"/>
      <c r="JF692"/>
      <c r="JG692"/>
      <c r="JH692"/>
      <c r="JI692"/>
      <c r="JJ692"/>
      <c r="JK692"/>
      <c r="JL692"/>
      <c r="JM692"/>
      <c r="JN692"/>
      <c r="JO692"/>
      <c r="JP692"/>
      <c r="JQ692"/>
      <c r="JR692"/>
      <c r="JS692"/>
      <c r="JT692"/>
      <c r="JU692"/>
      <c r="JV692"/>
      <c r="JW692"/>
      <c r="JX692"/>
      <c r="JY692"/>
      <c r="JZ692"/>
      <c r="KA692"/>
      <c r="KB692"/>
      <c r="KC692"/>
      <c r="KD692"/>
      <c r="KE692"/>
      <c r="KF692"/>
      <c r="KG692"/>
      <c r="KH692"/>
      <c r="KI692"/>
      <c r="KJ692"/>
      <c r="KK692"/>
      <c r="KL692"/>
      <c r="KM692"/>
      <c r="KN692"/>
      <c r="KO692"/>
      <c r="KP692"/>
      <c r="KQ692"/>
      <c r="KR692"/>
      <c r="KS692"/>
      <c r="KT692"/>
      <c r="KU692"/>
      <c r="KV692"/>
      <c r="KW692"/>
      <c r="KX692"/>
      <c r="KY692"/>
      <c r="KZ692"/>
      <c r="LA692"/>
      <c r="LB692"/>
      <c r="LC692"/>
      <c r="LD692"/>
      <c r="LE692"/>
      <c r="LF692"/>
      <c r="LG692"/>
      <c r="LH692"/>
      <c r="LI692"/>
      <c r="LJ692"/>
      <c r="LK692"/>
      <c r="LL692"/>
      <c r="LM692"/>
      <c r="LN692"/>
      <c r="LO692"/>
      <c r="LP692"/>
      <c r="LQ692"/>
      <c r="LR692"/>
      <c r="LS692"/>
      <c r="LT692"/>
      <c r="LU692"/>
      <c r="LV692"/>
      <c r="LW692"/>
      <c r="LX692"/>
      <c r="LY692"/>
      <c r="LZ692"/>
      <c r="MA692"/>
      <c r="MB692"/>
      <c r="MC692"/>
      <c r="MD692"/>
      <c r="ME692"/>
      <c r="MF692"/>
      <c r="MG692"/>
      <c r="MH692"/>
      <c r="MI692"/>
      <c r="MJ692"/>
      <c r="MK692"/>
      <c r="ML692"/>
      <c r="MM692"/>
      <c r="MN692"/>
      <c r="MO692"/>
      <c r="MP692"/>
      <c r="MQ692"/>
      <c r="MR692"/>
      <c r="MS692"/>
      <c r="MT692"/>
      <c r="MU692"/>
      <c r="MV692"/>
      <c r="MW692"/>
      <c r="MX692"/>
      <c r="MY692"/>
      <c r="MZ692"/>
      <c r="NA692"/>
      <c r="NB692"/>
      <c r="NC692"/>
      <c r="ND692"/>
      <c r="NE692"/>
      <c r="NF692"/>
      <c r="NG692"/>
      <c r="NH692"/>
      <c r="NI692"/>
      <c r="NJ692"/>
      <c r="NK692"/>
      <c r="NL692"/>
      <c r="NM692"/>
      <c r="NN692"/>
      <c r="NO692"/>
      <c r="NP692"/>
      <c r="NQ692"/>
      <c r="NR692"/>
      <c r="NS692"/>
      <c r="NT692"/>
      <c r="NU692"/>
      <c r="NV692"/>
      <c r="NW692"/>
      <c r="NX692"/>
      <c r="NY692"/>
      <c r="NZ692"/>
      <c r="OA692"/>
      <c r="OB692"/>
      <c r="OC692"/>
      <c r="OD692"/>
      <c r="OE692"/>
      <c r="OF692"/>
      <c r="OG692"/>
      <c r="OH692"/>
      <c r="OI692"/>
      <c r="OJ692"/>
      <c r="OK692"/>
      <c r="OL692"/>
      <c r="OM692"/>
      <c r="ON692"/>
      <c r="OO692"/>
      <c r="OP692"/>
      <c r="OQ692"/>
      <c r="OR692"/>
      <c r="OS692"/>
      <c r="OT692"/>
      <c r="OU692"/>
      <c r="OV692"/>
      <c r="OW692"/>
      <c r="OX692"/>
      <c r="OY692"/>
      <c r="OZ692"/>
      <c r="PA692"/>
      <c r="PB692"/>
      <c r="PC692"/>
      <c r="PD692"/>
      <c r="PE692"/>
      <c r="PF692"/>
      <c r="PG692"/>
      <c r="PH692"/>
      <c r="PI692"/>
      <c r="PJ692"/>
      <c r="PK692"/>
      <c r="PL692"/>
      <c r="PM692"/>
      <c r="PN692"/>
      <c r="PO692"/>
      <c r="PP692"/>
      <c r="PQ692"/>
      <c r="PR692"/>
      <c r="PS692"/>
      <c r="PT692"/>
      <c r="PU692"/>
      <c r="PV692"/>
      <c r="PW692"/>
      <c r="PX692"/>
      <c r="PY692"/>
      <c r="PZ692"/>
      <c r="QA692"/>
      <c r="QB692"/>
      <c r="QC692"/>
      <c r="QD692"/>
      <c r="QE692"/>
      <c r="QF692"/>
      <c r="QG692"/>
      <c r="QH692"/>
      <c r="QI692"/>
      <c r="QJ692"/>
      <c r="QK692"/>
      <c r="QL692"/>
      <c r="QM692"/>
      <c r="QN692"/>
      <c r="QO692"/>
      <c r="QP692"/>
      <c r="QQ692"/>
      <c r="QR692"/>
      <c r="QS692"/>
      <c r="QT692"/>
      <c r="QU692"/>
      <c r="QV692"/>
      <c r="QW692"/>
      <c r="QX692"/>
      <c r="QY692"/>
      <c r="QZ692"/>
      <c r="RA692"/>
      <c r="RB692"/>
      <c r="RC692"/>
      <c r="RD692"/>
      <c r="RE692"/>
      <c r="RF692"/>
      <c r="RG692"/>
      <c r="RH692"/>
      <c r="RI692"/>
      <c r="RJ692"/>
      <c r="RK692"/>
      <c r="RL692"/>
      <c r="RM692"/>
      <c r="RN692"/>
      <c r="RO692"/>
      <c r="RP692"/>
      <c r="RQ692"/>
      <c r="RR692"/>
      <c r="RS692"/>
      <c r="RT692"/>
      <c r="RU692"/>
      <c r="RV692"/>
      <c r="RW692"/>
      <c r="RX692"/>
      <c r="RY692"/>
      <c r="RZ692"/>
      <c r="SA692"/>
      <c r="SB692"/>
      <c r="SC692"/>
      <c r="SD692"/>
      <c r="SE692"/>
      <c r="SF692"/>
      <c r="SG692"/>
      <c r="SH692"/>
      <c r="SI692"/>
      <c r="SJ692"/>
      <c r="SK692"/>
      <c r="SL692"/>
      <c r="SM692"/>
      <c r="SN692"/>
      <c r="SO692"/>
      <c r="SP692"/>
      <c r="SQ692"/>
      <c r="SR692"/>
      <c r="SS692"/>
      <c r="ST692"/>
      <c r="SU692"/>
      <c r="SV692"/>
      <c r="SW692"/>
      <c r="SX692"/>
      <c r="SY692"/>
      <c r="SZ692"/>
      <c r="TA692"/>
      <c r="TB692"/>
      <c r="TC692"/>
      <c r="TD692"/>
      <c r="TE692"/>
      <c r="TF692"/>
      <c r="TG692"/>
      <c r="TH692"/>
      <c r="TI692"/>
      <c r="TJ692"/>
      <c r="TK692"/>
      <c r="TL692"/>
      <c r="TM692"/>
      <c r="TN692"/>
      <c r="TO692"/>
      <c r="TP692"/>
      <c r="TQ692"/>
      <c r="TR692"/>
      <c r="TS692"/>
      <c r="TT692"/>
      <c r="TU692"/>
      <c r="TV692"/>
      <c r="TW692"/>
      <c r="TX692"/>
      <c r="TY692"/>
      <c r="TZ692"/>
      <c r="UA692"/>
      <c r="UB692"/>
      <c r="UC692"/>
      <c r="UD692"/>
      <c r="UE692"/>
      <c r="UF692"/>
      <c r="UG692"/>
      <c r="UH692"/>
      <c r="UI692"/>
      <c r="UJ692"/>
      <c r="UK692"/>
      <c r="UL692"/>
      <c r="UM692"/>
      <c r="UN692"/>
      <c r="UO692"/>
      <c r="UP692"/>
      <c r="UQ692"/>
      <c r="UR692"/>
      <c r="US692"/>
      <c r="UT692"/>
      <c r="UU692"/>
      <c r="UV692"/>
      <c r="UW692"/>
      <c r="UX692"/>
      <c r="UY692"/>
      <c r="UZ692"/>
      <c r="VA692"/>
      <c r="VB692"/>
      <c r="VC692"/>
      <c r="VD692"/>
      <c r="VE692"/>
      <c r="VF692"/>
      <c r="VG692"/>
      <c r="VH692"/>
      <c r="VI692"/>
      <c r="VJ692"/>
      <c r="VK692"/>
      <c r="VL692"/>
      <c r="VM692"/>
      <c r="VN692"/>
      <c r="VO692"/>
      <c r="VP692"/>
      <c r="VQ692"/>
      <c r="VR692"/>
      <c r="VS692"/>
      <c r="VT692"/>
      <c r="VU692"/>
      <c r="VV692"/>
      <c r="VW692"/>
      <c r="VX692"/>
      <c r="VY692"/>
      <c r="VZ692"/>
      <c r="WA692"/>
      <c r="WB692"/>
      <c r="WC692"/>
      <c r="WD692"/>
      <c r="WE692"/>
      <c r="WF692"/>
      <c r="WG692"/>
      <c r="WH692"/>
      <c r="WI692"/>
      <c r="WJ692"/>
      <c r="WK692"/>
      <c r="WL692"/>
      <c r="WM692"/>
      <c r="WN692"/>
      <c r="WO692"/>
      <c r="WP692"/>
      <c r="WQ692"/>
      <c r="WR692"/>
      <c r="WS692"/>
      <c r="WT692"/>
      <c r="WU692"/>
      <c r="WV692"/>
      <c r="WW692"/>
      <c r="WX692"/>
      <c r="WY692"/>
      <c r="WZ692"/>
      <c r="XA692"/>
      <c r="XB692"/>
      <c r="XC692"/>
      <c r="XD692"/>
      <c r="XE692"/>
      <c r="XF692"/>
      <c r="XG692"/>
      <c r="XH692"/>
      <c r="XI692"/>
      <c r="XJ692"/>
      <c r="XK692"/>
      <c r="XL692"/>
      <c r="XM692"/>
      <c r="XN692"/>
      <c r="XO692"/>
      <c r="XP692"/>
      <c r="XQ692"/>
      <c r="XR692"/>
      <c r="XS692"/>
      <c r="XT692"/>
      <c r="XU692"/>
      <c r="XV692"/>
      <c r="XW692"/>
      <c r="XX692"/>
      <c r="XY692"/>
      <c r="XZ692"/>
      <c r="YA692"/>
      <c r="YB692"/>
      <c r="YC692"/>
      <c r="YD692"/>
      <c r="YE692"/>
      <c r="YF692"/>
      <c r="YG692"/>
      <c r="YH692"/>
      <c r="YI692"/>
      <c r="YJ692"/>
      <c r="YK692"/>
      <c r="YL692"/>
      <c r="YM692"/>
      <c r="YN692"/>
      <c r="YO692"/>
      <c r="YP692"/>
      <c r="YQ692"/>
      <c r="YR692"/>
      <c r="YS692"/>
      <c r="YT692"/>
      <c r="YU692"/>
      <c r="YV692"/>
      <c r="YW692"/>
      <c r="YX692"/>
      <c r="YY692"/>
      <c r="YZ692"/>
      <c r="ZA692"/>
      <c r="ZB692"/>
      <c r="ZC692"/>
      <c r="ZD692"/>
      <c r="ZE692"/>
      <c r="ZF692"/>
      <c r="ZG692"/>
      <c r="ZH692"/>
      <c r="ZI692"/>
      <c r="ZJ692"/>
      <c r="ZK692"/>
      <c r="ZL692"/>
      <c r="ZM692"/>
      <c r="ZN692"/>
      <c r="ZO692"/>
      <c r="ZP692"/>
      <c r="ZQ692"/>
      <c r="ZR692"/>
      <c r="ZS692"/>
      <c r="ZT692"/>
      <c r="ZU692"/>
      <c r="ZV692"/>
      <c r="ZW692"/>
      <c r="ZX692"/>
      <c r="ZY692"/>
      <c r="ZZ692" s="52"/>
      <c r="AAA692" s="192"/>
      <c r="AAD692" s="90"/>
      <c r="AAE692" s="519">
        <v>1</v>
      </c>
      <c r="AAF692" s="90"/>
      <c r="AAG692" s="73">
        <f t="shared" ref="AAG692" si="595">H691</f>
        <v>41717</v>
      </c>
      <c r="AAH692" s="73">
        <f>G692</f>
        <v>41717</v>
      </c>
      <c r="AAI692" s="72"/>
      <c r="AAJ692" s="72"/>
      <c r="AAK692" s="92" t="str">
        <f>S.Staff.Lead&amp;" collects emails about EQC preparations for Rule Record and saves as:"</f>
        <v>AndreaRW collects emails about EQC preparations for Rule Record and saves as:</v>
      </c>
      <c r="AAL692" s="90"/>
    </row>
    <row r="693" spans="1:715" s="23" customFormat="1" ht="15.75" customHeight="1" outlineLevel="2">
      <c r="A693" s="171"/>
      <c r="B693" s="372" t="s">
        <v>172</v>
      </c>
      <c r="C693" s="362"/>
      <c r="D693" s="373"/>
      <c r="E693" s="350"/>
      <c r="F693" s="350"/>
      <c r="G693" s="346"/>
      <c r="H693" s="346"/>
      <c r="I693" s="244"/>
      <c r="J693" s="194"/>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c r="BE693" s="49"/>
      <c r="BF693" s="49"/>
      <c r="BG693" s="49"/>
      <c r="BH693" s="49"/>
      <c r="BI693" s="49"/>
      <c r="BJ693" s="49"/>
      <c r="BK693" s="49"/>
      <c r="BL693" s="49"/>
      <c r="BM693" s="49"/>
      <c r="BN693" s="49"/>
      <c r="BO693" s="49"/>
      <c r="BP693" s="49"/>
      <c r="BQ693" s="49"/>
      <c r="BR693" s="49"/>
      <c r="BS693" s="49"/>
      <c r="BT693" s="49"/>
      <c r="BU693" s="49"/>
      <c r="BV693" s="49"/>
      <c r="BW693" s="49"/>
      <c r="BX693" s="49"/>
      <c r="BY693" s="49"/>
      <c r="BZ693" s="49"/>
      <c r="CA693" s="49"/>
      <c r="CB693" s="49"/>
      <c r="CC693" s="49"/>
      <c r="CD693" s="49"/>
      <c r="CE693" s="49"/>
      <c r="CF693" s="49"/>
      <c r="CG693" s="49"/>
      <c r="CH693" s="49"/>
      <c r="CI693" s="49"/>
      <c r="CJ693" s="49"/>
      <c r="CK693" s="49"/>
      <c r="CL693" s="49"/>
      <c r="CM693" s="49"/>
      <c r="CN693" s="49"/>
      <c r="CO693" s="49"/>
      <c r="CP693" s="49"/>
      <c r="CQ693" s="49"/>
      <c r="CR693" s="49"/>
      <c r="CS693" s="49"/>
      <c r="CT693" s="49"/>
      <c r="CU693" s="49"/>
      <c r="CV693" s="49"/>
      <c r="CW693" s="49"/>
      <c r="CX693" s="49"/>
      <c r="CY693" s="49"/>
      <c r="CZ693" s="49"/>
      <c r="DA693" s="49"/>
      <c r="DB693" s="49"/>
      <c r="DC693" s="49"/>
      <c r="DD693" s="49"/>
      <c r="DE693" s="49"/>
      <c r="DF693" s="49"/>
      <c r="DG693" s="49"/>
      <c r="DH693" s="49"/>
      <c r="DI693" s="49"/>
      <c r="DJ693" s="49"/>
      <c r="DK693" s="49"/>
      <c r="DL693" s="49"/>
      <c r="DM693" s="49"/>
      <c r="DN693" s="49"/>
      <c r="DO693" s="49"/>
      <c r="DP693" s="49"/>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c r="IW693"/>
      <c r="IX693"/>
      <c r="IY693"/>
      <c r="IZ693"/>
      <c r="JA693"/>
      <c r="JB693"/>
      <c r="JC693"/>
      <c r="JD693"/>
      <c r="JE693"/>
      <c r="JF693"/>
      <c r="JG693"/>
      <c r="JH693"/>
      <c r="JI693"/>
      <c r="JJ693"/>
      <c r="JK693"/>
      <c r="JL693"/>
      <c r="JM693"/>
      <c r="JN693"/>
      <c r="JO693"/>
      <c r="JP693"/>
      <c r="JQ693"/>
      <c r="JR693"/>
      <c r="JS693"/>
      <c r="JT693"/>
      <c r="JU693"/>
      <c r="JV693"/>
      <c r="JW693"/>
      <c r="JX693"/>
      <c r="JY693"/>
      <c r="JZ693"/>
      <c r="KA693"/>
      <c r="KB693"/>
      <c r="KC693"/>
      <c r="KD693"/>
      <c r="KE693"/>
      <c r="KF693"/>
      <c r="KG693"/>
      <c r="KH693"/>
      <c r="KI693"/>
      <c r="KJ693"/>
      <c r="KK693"/>
      <c r="KL693"/>
      <c r="KM693"/>
      <c r="KN693"/>
      <c r="KO693"/>
      <c r="KP693"/>
      <c r="KQ693"/>
      <c r="KR693"/>
      <c r="KS693"/>
      <c r="KT693"/>
      <c r="KU693"/>
      <c r="KV693"/>
      <c r="KW693"/>
      <c r="KX693"/>
      <c r="KY693"/>
      <c r="KZ693"/>
      <c r="LA693"/>
      <c r="LB693"/>
      <c r="LC693"/>
      <c r="LD693"/>
      <c r="LE693"/>
      <c r="LF693"/>
      <c r="LG693"/>
      <c r="LH693"/>
      <c r="LI693"/>
      <c r="LJ693"/>
      <c r="LK693"/>
      <c r="LL693"/>
      <c r="LM693"/>
      <c r="LN693"/>
      <c r="LO693"/>
      <c r="LP693"/>
      <c r="LQ693"/>
      <c r="LR693"/>
      <c r="LS693"/>
      <c r="LT693"/>
      <c r="LU693"/>
      <c r="LV693"/>
      <c r="LW693"/>
      <c r="LX693"/>
      <c r="LY693"/>
      <c r="LZ693"/>
      <c r="MA693"/>
      <c r="MB693"/>
      <c r="MC693"/>
      <c r="MD693"/>
      <c r="ME693"/>
      <c r="MF693"/>
      <c r="MG693"/>
      <c r="MH693"/>
      <c r="MI693"/>
      <c r="MJ693"/>
      <c r="MK693"/>
      <c r="ML693"/>
      <c r="MM693"/>
      <c r="MN693"/>
      <c r="MO693"/>
      <c r="MP693"/>
      <c r="MQ693"/>
      <c r="MR693"/>
      <c r="MS693"/>
      <c r="MT693"/>
      <c r="MU693"/>
      <c r="MV693"/>
      <c r="MW693"/>
      <c r="MX693"/>
      <c r="MY693"/>
      <c r="MZ693"/>
      <c r="NA693"/>
      <c r="NB693"/>
      <c r="NC693"/>
      <c r="ND693"/>
      <c r="NE693"/>
      <c r="NF693"/>
      <c r="NG693"/>
      <c r="NH693"/>
      <c r="NI693"/>
      <c r="NJ693"/>
      <c r="NK693"/>
      <c r="NL693"/>
      <c r="NM693"/>
      <c r="NN693"/>
      <c r="NO693"/>
      <c r="NP693"/>
      <c r="NQ693"/>
      <c r="NR693"/>
      <c r="NS693"/>
      <c r="NT693"/>
      <c r="NU693"/>
      <c r="NV693"/>
      <c r="NW693"/>
      <c r="NX693"/>
      <c r="NY693"/>
      <c r="NZ693"/>
      <c r="OA693"/>
      <c r="OB693"/>
      <c r="OC693"/>
      <c r="OD693"/>
      <c r="OE693"/>
      <c r="OF693"/>
      <c r="OG693"/>
      <c r="OH693"/>
      <c r="OI693"/>
      <c r="OJ693"/>
      <c r="OK693"/>
      <c r="OL693"/>
      <c r="OM693"/>
      <c r="ON693"/>
      <c r="OO693"/>
      <c r="OP693"/>
      <c r="OQ693"/>
      <c r="OR693"/>
      <c r="OS693"/>
      <c r="OT693"/>
      <c r="OU693"/>
      <c r="OV693"/>
      <c r="OW693"/>
      <c r="OX693"/>
      <c r="OY693"/>
      <c r="OZ693"/>
      <c r="PA693"/>
      <c r="PB693"/>
      <c r="PC693"/>
      <c r="PD693"/>
      <c r="PE693"/>
      <c r="PF693"/>
      <c r="PG693"/>
      <c r="PH693"/>
      <c r="PI693"/>
      <c r="PJ693"/>
      <c r="PK693"/>
      <c r="PL693"/>
      <c r="PM693"/>
      <c r="PN693"/>
      <c r="PO693"/>
      <c r="PP693"/>
      <c r="PQ693"/>
      <c r="PR693"/>
      <c r="PS693"/>
      <c r="PT693"/>
      <c r="PU693"/>
      <c r="PV693"/>
      <c r="PW693"/>
      <c r="PX693"/>
      <c r="PY693"/>
      <c r="PZ693"/>
      <c r="QA693"/>
      <c r="QB693"/>
      <c r="QC693"/>
      <c r="QD693"/>
      <c r="QE693"/>
      <c r="QF693"/>
      <c r="QG693"/>
      <c r="QH693"/>
      <c r="QI693"/>
      <c r="QJ693"/>
      <c r="QK693"/>
      <c r="QL693"/>
      <c r="QM693"/>
      <c r="QN693"/>
      <c r="QO693"/>
      <c r="QP693"/>
      <c r="QQ693"/>
      <c r="QR693"/>
      <c r="QS693"/>
      <c r="QT693"/>
      <c r="QU693"/>
      <c r="QV693"/>
      <c r="QW693"/>
      <c r="QX693"/>
      <c r="QY693"/>
      <c r="QZ693"/>
      <c r="RA693"/>
      <c r="RB693"/>
      <c r="RC693"/>
      <c r="RD693"/>
      <c r="RE693"/>
      <c r="RF693"/>
      <c r="RG693"/>
      <c r="RH693"/>
      <c r="RI693"/>
      <c r="RJ693"/>
      <c r="RK693"/>
      <c r="RL693"/>
      <c r="RM693"/>
      <c r="RN693"/>
      <c r="RO693"/>
      <c r="RP693"/>
      <c r="RQ693"/>
      <c r="RR693"/>
      <c r="RS693"/>
      <c r="RT693"/>
      <c r="RU693"/>
      <c r="RV693"/>
      <c r="RW693"/>
      <c r="RX693"/>
      <c r="RY693"/>
      <c r="RZ693"/>
      <c r="SA693"/>
      <c r="SB693"/>
      <c r="SC693"/>
      <c r="SD693"/>
      <c r="SE693"/>
      <c r="SF693"/>
      <c r="SG693"/>
      <c r="SH693"/>
      <c r="SI693"/>
      <c r="SJ693"/>
      <c r="SK693"/>
      <c r="SL693"/>
      <c r="SM693"/>
      <c r="SN693"/>
      <c r="SO693"/>
      <c r="SP693"/>
      <c r="SQ693"/>
      <c r="SR693"/>
      <c r="SS693"/>
      <c r="ST693"/>
      <c r="SU693"/>
      <c r="SV693"/>
      <c r="SW693"/>
      <c r="SX693"/>
      <c r="SY693"/>
      <c r="SZ693"/>
      <c r="TA693"/>
      <c r="TB693"/>
      <c r="TC693"/>
      <c r="TD693"/>
      <c r="TE693"/>
      <c r="TF693"/>
      <c r="TG693"/>
      <c r="TH693"/>
      <c r="TI693"/>
      <c r="TJ693"/>
      <c r="TK693"/>
      <c r="TL693"/>
      <c r="TM693"/>
      <c r="TN693"/>
      <c r="TO693"/>
      <c r="TP693"/>
      <c r="TQ693"/>
      <c r="TR693"/>
      <c r="TS693"/>
      <c r="TT693"/>
      <c r="TU693"/>
      <c r="TV693"/>
      <c r="TW693"/>
      <c r="TX693"/>
      <c r="TY693"/>
      <c r="TZ693"/>
      <c r="UA693"/>
      <c r="UB693"/>
      <c r="UC693"/>
      <c r="UD693"/>
      <c r="UE693"/>
      <c r="UF693"/>
      <c r="UG693"/>
      <c r="UH693"/>
      <c r="UI693"/>
      <c r="UJ693"/>
      <c r="UK693"/>
      <c r="UL693"/>
      <c r="UM693"/>
      <c r="UN693"/>
      <c r="UO693"/>
      <c r="UP693"/>
      <c r="UQ693"/>
      <c r="UR693"/>
      <c r="US693"/>
      <c r="UT693"/>
      <c r="UU693"/>
      <c r="UV693"/>
      <c r="UW693"/>
      <c r="UX693"/>
      <c r="UY693"/>
      <c r="UZ693"/>
      <c r="VA693"/>
      <c r="VB693"/>
      <c r="VC693"/>
      <c r="VD693"/>
      <c r="VE693"/>
      <c r="VF693"/>
      <c r="VG693"/>
      <c r="VH693"/>
      <c r="VI693"/>
      <c r="VJ693"/>
      <c r="VK693"/>
      <c r="VL693"/>
      <c r="VM693"/>
      <c r="VN693"/>
      <c r="VO693"/>
      <c r="VP693"/>
      <c r="VQ693"/>
      <c r="VR693"/>
      <c r="VS693"/>
      <c r="VT693"/>
      <c r="VU693"/>
      <c r="VV693"/>
      <c r="VW693"/>
      <c r="VX693"/>
      <c r="VY693"/>
      <c r="VZ693"/>
      <c r="WA693"/>
      <c r="WB693"/>
      <c r="WC693"/>
      <c r="WD693"/>
      <c r="WE693"/>
      <c r="WF693"/>
      <c r="WG693"/>
      <c r="WH693"/>
      <c r="WI693"/>
      <c r="WJ693"/>
      <c r="WK693"/>
      <c r="WL693"/>
      <c r="WM693"/>
      <c r="WN693"/>
      <c r="WO693"/>
      <c r="WP693"/>
      <c r="WQ693"/>
      <c r="WR693"/>
      <c r="WS693"/>
      <c r="WT693"/>
      <c r="WU693"/>
      <c r="WV693"/>
      <c r="WW693"/>
      <c r="WX693"/>
      <c r="WY693"/>
      <c r="WZ693"/>
      <c r="XA693"/>
      <c r="XB693"/>
      <c r="XC693"/>
      <c r="XD693"/>
      <c r="XE693"/>
      <c r="XF693"/>
      <c r="XG693"/>
      <c r="XH693"/>
      <c r="XI693"/>
      <c r="XJ693"/>
      <c r="XK693"/>
      <c r="XL693"/>
      <c r="XM693"/>
      <c r="XN693"/>
      <c r="XO693"/>
      <c r="XP693"/>
      <c r="XQ693"/>
      <c r="XR693"/>
      <c r="XS693"/>
      <c r="XT693"/>
      <c r="XU693"/>
      <c r="XV693"/>
      <c r="XW693"/>
      <c r="XX693"/>
      <c r="XY693"/>
      <c r="XZ693"/>
      <c r="YA693"/>
      <c r="YB693"/>
      <c r="YC693"/>
      <c r="YD693"/>
      <c r="YE693"/>
      <c r="YF693"/>
      <c r="YG693"/>
      <c r="YH693"/>
      <c r="YI693"/>
      <c r="YJ693"/>
      <c r="YK693"/>
      <c r="YL693"/>
      <c r="YM693"/>
      <c r="YN693"/>
      <c r="YO693"/>
      <c r="YP693"/>
      <c r="YQ693"/>
      <c r="YR693"/>
      <c r="YS693"/>
      <c r="YT693"/>
      <c r="YU693"/>
      <c r="YV693"/>
      <c r="YW693"/>
      <c r="YX693"/>
      <c r="YY693"/>
      <c r="YZ693"/>
      <c r="ZA693"/>
      <c r="ZB693"/>
      <c r="ZC693"/>
      <c r="ZD693"/>
      <c r="ZE693"/>
      <c r="ZF693"/>
      <c r="ZG693"/>
      <c r="ZH693"/>
      <c r="ZI693"/>
      <c r="ZJ693"/>
      <c r="ZK693"/>
      <c r="ZL693"/>
      <c r="ZM693"/>
      <c r="ZN693"/>
      <c r="ZO693"/>
      <c r="ZP693"/>
      <c r="ZQ693"/>
      <c r="ZR693"/>
      <c r="ZS693"/>
      <c r="ZT693"/>
      <c r="ZU693"/>
      <c r="ZV693"/>
      <c r="ZW693"/>
      <c r="ZX693"/>
      <c r="ZY693"/>
      <c r="ZZ693" s="52"/>
      <c r="AAA693" s="192"/>
      <c r="AAD693" s="90"/>
      <c r="AAE693" s="519">
        <v>1</v>
      </c>
      <c r="AAF693" s="190" t="s">
        <v>52</v>
      </c>
      <c r="AAG693" s="71"/>
      <c r="AAH693" s="71"/>
      <c r="AAI693" s="71"/>
      <c r="AAJ693" s="56"/>
      <c r="AAK693" s="71" t="s">
        <v>0</v>
      </c>
      <c r="AAL693" s="90"/>
    </row>
    <row r="694" spans="1:715" ht="5.25" customHeight="1">
      <c r="A694" s="171"/>
      <c r="B694" s="292"/>
      <c r="C694" s="116"/>
      <c r="D694" s="115"/>
      <c r="E694" s="117"/>
      <c r="F694" s="117"/>
      <c r="G694" s="143"/>
      <c r="H694" s="144"/>
      <c r="I694" s="244"/>
      <c r="J694" s="218"/>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c r="BM694" s="49"/>
      <c r="BN694" s="49"/>
      <c r="BO694" s="49"/>
      <c r="BP694" s="49"/>
      <c r="BQ694" s="49"/>
      <c r="BR694" s="49"/>
      <c r="BS694" s="49"/>
      <c r="BT694" s="49"/>
      <c r="BU694" s="49"/>
      <c r="BV694" s="49"/>
      <c r="BW694" s="49"/>
      <c r="BX694" s="49"/>
      <c r="BY694" s="49"/>
      <c r="BZ694" s="49"/>
      <c r="CA694" s="49"/>
      <c r="CB694" s="49"/>
      <c r="CC694" s="49"/>
      <c r="CD694" s="49"/>
      <c r="CE694" s="49"/>
      <c r="CF694" s="49"/>
      <c r="CG694" s="49"/>
      <c r="CH694" s="49"/>
      <c r="CI694" s="49"/>
      <c r="CJ694" s="49"/>
      <c r="CK694" s="49"/>
      <c r="CL694" s="49"/>
      <c r="CM694" s="49"/>
      <c r="CN694" s="49"/>
      <c r="CO694" s="49"/>
      <c r="CP694" s="49"/>
      <c r="CQ694" s="49"/>
      <c r="CR694" s="49"/>
      <c r="CS694" s="49"/>
      <c r="CT694" s="49"/>
      <c r="CU694" s="49"/>
      <c r="CV694" s="49"/>
      <c r="CW694" s="49"/>
      <c r="CX694" s="49"/>
      <c r="CY694" s="49"/>
      <c r="CZ694" s="49"/>
      <c r="DA694" s="49"/>
      <c r="DB694" s="49"/>
      <c r="DC694" s="49"/>
      <c r="DD694" s="49"/>
      <c r="DE694" s="49"/>
      <c r="DF694" s="49"/>
      <c r="DG694" s="49"/>
      <c r="DH694" s="49"/>
      <c r="DI694" s="49"/>
      <c r="DJ694" s="49"/>
      <c r="DK694" s="49"/>
      <c r="DL694" s="49"/>
      <c r="DM694" s="49"/>
      <c r="DN694" s="49"/>
      <c r="DO694" s="49"/>
      <c r="DP694" s="49"/>
      <c r="AAA694" s="192"/>
      <c r="AAD694" s="90"/>
      <c r="AAE694" s="519" t="s">
        <v>21</v>
      </c>
      <c r="AAF694" s="190" t="s">
        <v>52</v>
      </c>
      <c r="AAG694" s="60"/>
      <c r="AAH694" s="60"/>
      <c r="AAI694" s="72"/>
      <c r="AAJ694" s="56"/>
      <c r="AAK694" s="56"/>
      <c r="AAL694" s="90"/>
      <c r="AAM694"/>
    </row>
    <row r="695" spans="1:715" s="23" customFormat="1" ht="18" customHeight="1">
      <c r="A695" s="171"/>
      <c r="B695" s="854" t="s">
        <v>276</v>
      </c>
      <c r="C695" s="854"/>
      <c r="D695" s="854"/>
      <c r="E695" s="854"/>
      <c r="F695" s="854"/>
      <c r="G695" s="854"/>
      <c r="H695" s="854"/>
      <c r="I695" s="244"/>
      <c r="J695" s="21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c r="BE695" s="47"/>
      <c r="BF695" s="47"/>
      <c r="BG695" s="47"/>
      <c r="BH695" s="47"/>
      <c r="BI695" s="47"/>
      <c r="BJ695" s="47"/>
      <c r="BK695" s="47"/>
      <c r="BL695" s="47"/>
      <c r="BM695" s="47"/>
      <c r="BN695" s="47"/>
      <c r="BO695" s="47"/>
      <c r="BP695" s="47"/>
      <c r="BQ695" s="47"/>
      <c r="BR695" s="47"/>
      <c r="BS695" s="47"/>
      <c r="BT695" s="47"/>
      <c r="BU695" s="47"/>
      <c r="BV695" s="47"/>
      <c r="BW695" s="47"/>
      <c r="BX695" s="47"/>
      <c r="BY695" s="47"/>
      <c r="BZ695" s="47"/>
      <c r="CA695" s="47"/>
      <c r="CB695" s="47"/>
      <c r="CC695" s="47"/>
      <c r="CD695" s="47"/>
      <c r="CE695" s="47"/>
      <c r="CF695" s="47"/>
      <c r="CG695" s="47"/>
      <c r="CH695" s="47"/>
      <c r="CI695" s="47"/>
      <c r="CJ695" s="47"/>
      <c r="CK695" s="47"/>
      <c r="CL695" s="47"/>
      <c r="CM695" s="47"/>
      <c r="CN695" s="47"/>
      <c r="CO695" s="47"/>
      <c r="CP695" s="47"/>
      <c r="CQ695" s="47"/>
      <c r="CR695" s="47"/>
      <c r="CS695" s="47"/>
      <c r="CT695" s="47"/>
      <c r="CU695" s="47"/>
      <c r="CV695" s="47"/>
      <c r="CW695" s="47"/>
      <c r="CX695" s="47"/>
      <c r="CY695" s="47"/>
      <c r="CZ695" s="47"/>
      <c r="DA695" s="47"/>
      <c r="DB695" s="47"/>
      <c r="DC695" s="47"/>
      <c r="DD695" s="47"/>
      <c r="DE695" s="47"/>
      <c r="DF695" s="47"/>
      <c r="DG695" s="47"/>
      <c r="DH695" s="47"/>
      <c r="DI695" s="47"/>
      <c r="DJ695" s="47"/>
      <c r="DK695" s="47"/>
      <c r="DL695" s="47"/>
      <c r="DM695" s="47"/>
      <c r="DN695" s="47"/>
      <c r="DO695" s="47"/>
      <c r="DP695" s="47"/>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c r="IW695"/>
      <c r="IX695"/>
      <c r="IY695"/>
      <c r="IZ695"/>
      <c r="JA695"/>
      <c r="JB695"/>
      <c r="JC695"/>
      <c r="JD695"/>
      <c r="JE695"/>
      <c r="JF695"/>
      <c r="JG695"/>
      <c r="JH695"/>
      <c r="JI695"/>
      <c r="JJ695"/>
      <c r="JK695"/>
      <c r="JL695"/>
      <c r="JM695"/>
      <c r="JN695"/>
      <c r="JO695"/>
      <c r="JP695"/>
      <c r="JQ695"/>
      <c r="JR695"/>
      <c r="JS695"/>
      <c r="JT695"/>
      <c r="JU695"/>
      <c r="JV695"/>
      <c r="JW695"/>
      <c r="JX695"/>
      <c r="JY695"/>
      <c r="JZ695"/>
      <c r="KA695"/>
      <c r="KB695"/>
      <c r="KC695"/>
      <c r="KD695"/>
      <c r="KE695"/>
      <c r="KF695"/>
      <c r="KG695"/>
      <c r="KH695"/>
      <c r="KI695"/>
      <c r="KJ695"/>
      <c r="KK695"/>
      <c r="KL695"/>
      <c r="KM695"/>
      <c r="KN695"/>
      <c r="KO695"/>
      <c r="KP695"/>
      <c r="KQ695"/>
      <c r="KR695"/>
      <c r="KS695"/>
      <c r="KT695"/>
      <c r="KU695"/>
      <c r="KV695"/>
      <c r="KW695"/>
      <c r="KX695"/>
      <c r="KY695"/>
      <c r="KZ695"/>
      <c r="LA695"/>
      <c r="LB695"/>
      <c r="LC695"/>
      <c r="LD695"/>
      <c r="LE695"/>
      <c r="LF695"/>
      <c r="LG695"/>
      <c r="LH695"/>
      <c r="LI695"/>
      <c r="LJ695"/>
      <c r="LK695"/>
      <c r="LL695"/>
      <c r="LM695"/>
      <c r="LN695"/>
      <c r="LO695"/>
      <c r="LP695"/>
      <c r="LQ695"/>
      <c r="LR695"/>
      <c r="LS695"/>
      <c r="LT695"/>
      <c r="LU695"/>
      <c r="LV695"/>
      <c r="LW695"/>
      <c r="LX695"/>
      <c r="LY695"/>
      <c r="LZ695"/>
      <c r="MA695"/>
      <c r="MB695"/>
      <c r="MC695"/>
      <c r="MD695"/>
      <c r="ME695"/>
      <c r="MF695"/>
      <c r="MG695"/>
      <c r="MH695"/>
      <c r="MI695"/>
      <c r="MJ695"/>
      <c r="MK695"/>
      <c r="ML695"/>
      <c r="MM695"/>
      <c r="MN695"/>
      <c r="MO695"/>
      <c r="MP695"/>
      <c r="MQ695"/>
      <c r="MR695"/>
      <c r="MS695"/>
      <c r="MT695"/>
      <c r="MU695"/>
      <c r="MV695"/>
      <c r="MW695"/>
      <c r="MX695"/>
      <c r="MY695"/>
      <c r="MZ695"/>
      <c r="NA695"/>
      <c r="NB695"/>
      <c r="NC695"/>
      <c r="ND695"/>
      <c r="NE695"/>
      <c r="NF695"/>
      <c r="NG695"/>
      <c r="NH695"/>
      <c r="NI695"/>
      <c r="NJ695"/>
      <c r="NK695"/>
      <c r="NL695"/>
      <c r="NM695"/>
      <c r="NN695"/>
      <c r="NO695"/>
      <c r="NP695"/>
      <c r="NQ695"/>
      <c r="NR695"/>
      <c r="NS695"/>
      <c r="NT695"/>
      <c r="NU695"/>
      <c r="NV695"/>
      <c r="NW695"/>
      <c r="NX695"/>
      <c r="NY695"/>
      <c r="NZ695"/>
      <c r="OA695"/>
      <c r="OB695"/>
      <c r="OC695"/>
      <c r="OD695"/>
      <c r="OE695"/>
      <c r="OF695"/>
      <c r="OG695"/>
      <c r="OH695"/>
      <c r="OI695"/>
      <c r="OJ695"/>
      <c r="OK695"/>
      <c r="OL695"/>
      <c r="OM695"/>
      <c r="ON695"/>
      <c r="OO695"/>
      <c r="OP695"/>
      <c r="OQ695"/>
      <c r="OR695"/>
      <c r="OS695"/>
      <c r="OT695"/>
      <c r="OU695"/>
      <c r="OV695"/>
      <c r="OW695"/>
      <c r="OX695"/>
      <c r="OY695"/>
      <c r="OZ695"/>
      <c r="PA695"/>
      <c r="PB695"/>
      <c r="PC695"/>
      <c r="PD695"/>
      <c r="PE695"/>
      <c r="PF695"/>
      <c r="PG695"/>
      <c r="PH695"/>
      <c r="PI695"/>
      <c r="PJ695"/>
      <c r="PK695"/>
      <c r="PL695"/>
      <c r="PM695"/>
      <c r="PN695"/>
      <c r="PO695"/>
      <c r="PP695"/>
      <c r="PQ695"/>
      <c r="PR695"/>
      <c r="PS695"/>
      <c r="PT695"/>
      <c r="PU695"/>
      <c r="PV695"/>
      <c r="PW695"/>
      <c r="PX695"/>
      <c r="PY695"/>
      <c r="PZ695"/>
      <c r="QA695"/>
      <c r="QB695"/>
      <c r="QC695"/>
      <c r="QD695"/>
      <c r="QE695"/>
      <c r="QF695"/>
      <c r="QG695"/>
      <c r="QH695"/>
      <c r="QI695"/>
      <c r="QJ695"/>
      <c r="QK695"/>
      <c r="QL695"/>
      <c r="QM695"/>
      <c r="QN695"/>
      <c r="QO695"/>
      <c r="QP695"/>
      <c r="QQ695"/>
      <c r="QR695"/>
      <c r="QS695"/>
      <c r="QT695"/>
      <c r="QU695"/>
      <c r="QV695"/>
      <c r="QW695"/>
      <c r="QX695"/>
      <c r="QY695"/>
      <c r="QZ695"/>
      <c r="RA695"/>
      <c r="RB695"/>
      <c r="RC695"/>
      <c r="RD695"/>
      <c r="RE695"/>
      <c r="RF695"/>
      <c r="RG695"/>
      <c r="RH695"/>
      <c r="RI695"/>
      <c r="RJ695"/>
      <c r="RK695"/>
      <c r="RL695"/>
      <c r="RM695"/>
      <c r="RN695"/>
      <c r="RO695"/>
      <c r="RP695"/>
      <c r="RQ695"/>
      <c r="RR695"/>
      <c r="RS695"/>
      <c r="RT695"/>
      <c r="RU695"/>
      <c r="RV695"/>
      <c r="RW695"/>
      <c r="RX695"/>
      <c r="RY695"/>
      <c r="RZ695"/>
      <c r="SA695"/>
      <c r="SB695"/>
      <c r="SC695"/>
      <c r="SD695"/>
      <c r="SE695"/>
      <c r="SF695"/>
      <c r="SG695"/>
      <c r="SH695"/>
      <c r="SI695"/>
      <c r="SJ695"/>
      <c r="SK695"/>
      <c r="SL695"/>
      <c r="SM695"/>
      <c r="SN695"/>
      <c r="SO695"/>
      <c r="SP695"/>
      <c r="SQ695"/>
      <c r="SR695"/>
      <c r="SS695"/>
      <c r="ST695"/>
      <c r="SU695"/>
      <c r="SV695"/>
      <c r="SW695"/>
      <c r="SX695"/>
      <c r="SY695"/>
      <c r="SZ695"/>
      <c r="TA695"/>
      <c r="TB695"/>
      <c r="TC695"/>
      <c r="TD695"/>
      <c r="TE695"/>
      <c r="TF695"/>
      <c r="TG695"/>
      <c r="TH695"/>
      <c r="TI695"/>
      <c r="TJ695"/>
      <c r="TK695"/>
      <c r="TL695"/>
      <c r="TM695"/>
      <c r="TN695"/>
      <c r="TO695"/>
      <c r="TP695"/>
      <c r="TQ695"/>
      <c r="TR695"/>
      <c r="TS695"/>
      <c r="TT695"/>
      <c r="TU695"/>
      <c r="TV695"/>
      <c r="TW695"/>
      <c r="TX695"/>
      <c r="TY695"/>
      <c r="TZ695"/>
      <c r="UA695"/>
      <c r="UB695"/>
      <c r="UC695"/>
      <c r="UD695"/>
      <c r="UE695"/>
      <c r="UF695"/>
      <c r="UG695"/>
      <c r="UH695"/>
      <c r="UI695"/>
      <c r="UJ695"/>
      <c r="UK695"/>
      <c r="UL695"/>
      <c r="UM695"/>
      <c r="UN695"/>
      <c r="UO695"/>
      <c r="UP695"/>
      <c r="UQ695"/>
      <c r="UR695"/>
      <c r="US695"/>
      <c r="UT695"/>
      <c r="UU695"/>
      <c r="UV695"/>
      <c r="UW695"/>
      <c r="UX695"/>
      <c r="UY695"/>
      <c r="UZ695"/>
      <c r="VA695"/>
      <c r="VB695"/>
      <c r="VC695"/>
      <c r="VD695"/>
      <c r="VE695"/>
      <c r="VF695"/>
      <c r="VG695"/>
      <c r="VH695"/>
      <c r="VI695"/>
      <c r="VJ695"/>
      <c r="VK695"/>
      <c r="VL695"/>
      <c r="VM695"/>
      <c r="VN695"/>
      <c r="VO695"/>
      <c r="VP695"/>
      <c r="VQ695"/>
      <c r="VR695"/>
      <c r="VS695"/>
      <c r="VT695"/>
      <c r="VU695"/>
      <c r="VV695"/>
      <c r="VW695"/>
      <c r="VX695"/>
      <c r="VY695"/>
      <c r="VZ695"/>
      <c r="WA695"/>
      <c r="WB695"/>
      <c r="WC695"/>
      <c r="WD695"/>
      <c r="WE695"/>
      <c r="WF695"/>
      <c r="WG695"/>
      <c r="WH695"/>
      <c r="WI695"/>
      <c r="WJ695"/>
      <c r="WK695"/>
      <c r="WL695"/>
      <c r="WM695"/>
      <c r="WN695"/>
      <c r="WO695"/>
      <c r="WP695"/>
      <c r="WQ695"/>
      <c r="WR695"/>
      <c r="WS695"/>
      <c r="WT695"/>
      <c r="WU695"/>
      <c r="WV695"/>
      <c r="WW695"/>
      <c r="WX695"/>
      <c r="WY695"/>
      <c r="WZ695"/>
      <c r="XA695"/>
      <c r="XB695"/>
      <c r="XC695"/>
      <c r="XD695"/>
      <c r="XE695"/>
      <c r="XF695"/>
      <c r="XG695"/>
      <c r="XH695"/>
      <c r="XI695"/>
      <c r="XJ695"/>
      <c r="XK695"/>
      <c r="XL695"/>
      <c r="XM695"/>
      <c r="XN695"/>
      <c r="XO695"/>
      <c r="XP695"/>
      <c r="XQ695"/>
      <c r="XR695"/>
      <c r="XS695"/>
      <c r="XT695"/>
      <c r="XU695"/>
      <c r="XV695"/>
      <c r="XW695"/>
      <c r="XX695"/>
      <c r="XY695"/>
      <c r="XZ695"/>
      <c r="YA695"/>
      <c r="YB695"/>
      <c r="YC695"/>
      <c r="YD695"/>
      <c r="YE695"/>
      <c r="YF695"/>
      <c r="YG695"/>
      <c r="YH695"/>
      <c r="YI695"/>
      <c r="YJ695"/>
      <c r="YK695"/>
      <c r="YL695"/>
      <c r="YM695"/>
      <c r="YN695"/>
      <c r="YO695"/>
      <c r="YP695"/>
      <c r="YQ695"/>
      <c r="YR695"/>
      <c r="YS695"/>
      <c r="YT695"/>
      <c r="YU695"/>
      <c r="YV695"/>
      <c r="YW695"/>
      <c r="YX695"/>
      <c r="YY695"/>
      <c r="YZ695"/>
      <c r="ZA695"/>
      <c r="ZB695"/>
      <c r="ZC695"/>
      <c r="ZD695"/>
      <c r="ZE695"/>
      <c r="ZF695"/>
      <c r="ZG695"/>
      <c r="ZH695"/>
      <c r="ZI695"/>
      <c r="ZJ695"/>
      <c r="ZK695"/>
      <c r="ZL695"/>
      <c r="ZM695"/>
      <c r="ZN695"/>
      <c r="ZO695"/>
      <c r="ZP695"/>
      <c r="ZQ695"/>
      <c r="ZR695"/>
      <c r="ZS695"/>
      <c r="ZT695"/>
      <c r="ZU695"/>
      <c r="ZV695"/>
      <c r="ZW695"/>
      <c r="ZX695"/>
      <c r="ZY695"/>
      <c r="ZZ695" s="52"/>
      <c r="AAA695" s="192"/>
      <c r="AAB695"/>
      <c r="AAC695"/>
      <c r="AAD695" s="90"/>
      <c r="AAE695" s="519" t="s">
        <v>22</v>
      </c>
      <c r="AAF695" s="190" t="s">
        <v>52</v>
      </c>
      <c r="AAG695" s="72"/>
      <c r="AAH695" s="72"/>
      <c r="AAI695" s="72"/>
      <c r="AAJ695" s="81"/>
      <c r="AAK695" s="71"/>
      <c r="AAL695" s="90"/>
    </row>
    <row r="696" spans="1:715" s="23" customFormat="1" ht="14.25" customHeight="1" outlineLevel="1">
      <c r="A696" s="171"/>
      <c r="B696" s="141" t="s">
        <v>0</v>
      </c>
      <c r="C696" s="100" t="s">
        <v>0</v>
      </c>
      <c r="D696" s="237"/>
      <c r="E696" s="848" t="s">
        <v>225</v>
      </c>
      <c r="F696" s="848"/>
      <c r="G696" s="848" t="s">
        <v>12</v>
      </c>
      <c r="H696" s="848"/>
      <c r="I696" s="244"/>
      <c r="J696" s="195"/>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c r="BC696" s="47"/>
      <c r="BD696" s="47"/>
      <c r="BE696" s="47"/>
      <c r="BF696" s="47"/>
      <c r="BG696" s="47"/>
      <c r="BH696" s="47"/>
      <c r="BI696" s="47"/>
      <c r="BJ696" s="47"/>
      <c r="BK696" s="47"/>
      <c r="BL696" s="47"/>
      <c r="BM696" s="47"/>
      <c r="BN696" s="47"/>
      <c r="BO696" s="47"/>
      <c r="BP696" s="47"/>
      <c r="BQ696" s="47"/>
      <c r="BR696" s="47"/>
      <c r="BS696" s="47"/>
      <c r="BT696" s="47"/>
      <c r="BU696" s="47"/>
      <c r="BV696" s="47"/>
      <c r="BW696" s="47"/>
      <c r="BX696" s="47"/>
      <c r="BY696" s="47"/>
      <c r="BZ696" s="47"/>
      <c r="CA696" s="47"/>
      <c r="CB696" s="47"/>
      <c r="CC696" s="47"/>
      <c r="CD696" s="47"/>
      <c r="CE696" s="47"/>
      <c r="CF696" s="47"/>
      <c r="CG696" s="47"/>
      <c r="CH696" s="47"/>
      <c r="CI696" s="47"/>
      <c r="CJ696" s="47"/>
      <c r="CK696" s="47"/>
      <c r="CL696" s="47"/>
      <c r="CM696" s="47"/>
      <c r="CN696" s="47"/>
      <c r="CO696" s="47"/>
      <c r="CP696" s="47"/>
      <c r="CQ696" s="47"/>
      <c r="CR696" s="47"/>
      <c r="CS696" s="47"/>
      <c r="CT696" s="47"/>
      <c r="CU696" s="47"/>
      <c r="CV696" s="47"/>
      <c r="CW696" s="47"/>
      <c r="CX696" s="47"/>
      <c r="CY696" s="47"/>
      <c r="CZ696" s="47"/>
      <c r="DA696" s="47"/>
      <c r="DB696" s="47"/>
      <c r="DC696" s="47"/>
      <c r="DD696" s="47"/>
      <c r="DE696" s="47"/>
      <c r="DF696" s="47"/>
      <c r="DG696" s="47"/>
      <c r="DH696" s="47"/>
      <c r="DI696" s="47"/>
      <c r="DJ696" s="47"/>
      <c r="DK696" s="47"/>
      <c r="DL696" s="47"/>
      <c r="DM696" s="47"/>
      <c r="DN696" s="47"/>
      <c r="DO696" s="47"/>
      <c r="DP696" s="47"/>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c r="IW696"/>
      <c r="IX696"/>
      <c r="IY696"/>
      <c r="IZ696"/>
      <c r="JA696"/>
      <c r="JB696"/>
      <c r="JC696"/>
      <c r="JD696"/>
      <c r="JE696"/>
      <c r="JF696"/>
      <c r="JG696"/>
      <c r="JH696"/>
      <c r="JI696"/>
      <c r="JJ696"/>
      <c r="JK696"/>
      <c r="JL696"/>
      <c r="JM696"/>
      <c r="JN696"/>
      <c r="JO696"/>
      <c r="JP696"/>
      <c r="JQ696"/>
      <c r="JR696"/>
      <c r="JS696"/>
      <c r="JT696"/>
      <c r="JU696"/>
      <c r="JV696"/>
      <c r="JW696"/>
      <c r="JX696"/>
      <c r="JY696"/>
      <c r="JZ696"/>
      <c r="KA696"/>
      <c r="KB696"/>
      <c r="KC696"/>
      <c r="KD696"/>
      <c r="KE696"/>
      <c r="KF696"/>
      <c r="KG696"/>
      <c r="KH696"/>
      <c r="KI696"/>
      <c r="KJ696"/>
      <c r="KK696"/>
      <c r="KL696"/>
      <c r="KM696"/>
      <c r="KN696"/>
      <c r="KO696"/>
      <c r="KP696"/>
      <c r="KQ696"/>
      <c r="KR696"/>
      <c r="KS696"/>
      <c r="KT696"/>
      <c r="KU696"/>
      <c r="KV696"/>
      <c r="KW696"/>
      <c r="KX696"/>
      <c r="KY696"/>
      <c r="KZ696"/>
      <c r="LA696"/>
      <c r="LB696"/>
      <c r="LC696"/>
      <c r="LD696"/>
      <c r="LE696"/>
      <c r="LF696"/>
      <c r="LG696"/>
      <c r="LH696"/>
      <c r="LI696"/>
      <c r="LJ696"/>
      <c r="LK696"/>
      <c r="LL696"/>
      <c r="LM696"/>
      <c r="LN696"/>
      <c r="LO696"/>
      <c r="LP696"/>
      <c r="LQ696"/>
      <c r="LR696"/>
      <c r="LS696"/>
      <c r="LT696"/>
      <c r="LU696"/>
      <c r="LV696"/>
      <c r="LW696"/>
      <c r="LX696"/>
      <c r="LY696"/>
      <c r="LZ696"/>
      <c r="MA696"/>
      <c r="MB696"/>
      <c r="MC696"/>
      <c r="MD696"/>
      <c r="ME696"/>
      <c r="MF696"/>
      <c r="MG696"/>
      <c r="MH696"/>
      <c r="MI696"/>
      <c r="MJ696"/>
      <c r="MK696"/>
      <c r="ML696"/>
      <c r="MM696"/>
      <c r="MN696"/>
      <c r="MO696"/>
      <c r="MP696"/>
      <c r="MQ696"/>
      <c r="MR696"/>
      <c r="MS696"/>
      <c r="MT696"/>
      <c r="MU696"/>
      <c r="MV696"/>
      <c r="MW696"/>
      <c r="MX696"/>
      <c r="MY696"/>
      <c r="MZ696"/>
      <c r="NA696"/>
      <c r="NB696"/>
      <c r="NC696"/>
      <c r="ND696"/>
      <c r="NE696"/>
      <c r="NF696"/>
      <c r="NG696"/>
      <c r="NH696"/>
      <c r="NI696"/>
      <c r="NJ696"/>
      <c r="NK696"/>
      <c r="NL696"/>
      <c r="NM696"/>
      <c r="NN696"/>
      <c r="NO696"/>
      <c r="NP696"/>
      <c r="NQ696"/>
      <c r="NR696"/>
      <c r="NS696"/>
      <c r="NT696"/>
      <c r="NU696"/>
      <c r="NV696"/>
      <c r="NW696"/>
      <c r="NX696"/>
      <c r="NY696"/>
      <c r="NZ696"/>
      <c r="OA696"/>
      <c r="OB696"/>
      <c r="OC696"/>
      <c r="OD696"/>
      <c r="OE696"/>
      <c r="OF696"/>
      <c r="OG696"/>
      <c r="OH696"/>
      <c r="OI696"/>
      <c r="OJ696"/>
      <c r="OK696"/>
      <c r="OL696"/>
      <c r="OM696"/>
      <c r="ON696"/>
      <c r="OO696"/>
      <c r="OP696"/>
      <c r="OQ696"/>
      <c r="OR696"/>
      <c r="OS696"/>
      <c r="OT696"/>
      <c r="OU696"/>
      <c r="OV696"/>
      <c r="OW696"/>
      <c r="OX696"/>
      <c r="OY696"/>
      <c r="OZ696"/>
      <c r="PA696"/>
      <c r="PB696"/>
      <c r="PC696"/>
      <c r="PD696"/>
      <c r="PE696"/>
      <c r="PF696"/>
      <c r="PG696"/>
      <c r="PH696"/>
      <c r="PI696"/>
      <c r="PJ696"/>
      <c r="PK696"/>
      <c r="PL696"/>
      <c r="PM696"/>
      <c r="PN696"/>
      <c r="PO696"/>
      <c r="PP696"/>
      <c r="PQ696"/>
      <c r="PR696"/>
      <c r="PS696"/>
      <c r="PT696"/>
      <c r="PU696"/>
      <c r="PV696"/>
      <c r="PW696"/>
      <c r="PX696"/>
      <c r="PY696"/>
      <c r="PZ696"/>
      <c r="QA696"/>
      <c r="QB696"/>
      <c r="QC696"/>
      <c r="QD696"/>
      <c r="QE696"/>
      <c r="QF696"/>
      <c r="QG696"/>
      <c r="QH696"/>
      <c r="QI696"/>
      <c r="QJ696"/>
      <c r="QK696"/>
      <c r="QL696"/>
      <c r="QM696"/>
      <c r="QN696"/>
      <c r="QO696"/>
      <c r="QP696"/>
      <c r="QQ696"/>
      <c r="QR696"/>
      <c r="QS696"/>
      <c r="QT696"/>
      <c r="QU696"/>
      <c r="QV696"/>
      <c r="QW696"/>
      <c r="QX696"/>
      <c r="QY696"/>
      <c r="QZ696"/>
      <c r="RA696"/>
      <c r="RB696"/>
      <c r="RC696"/>
      <c r="RD696"/>
      <c r="RE696"/>
      <c r="RF696"/>
      <c r="RG696"/>
      <c r="RH696"/>
      <c r="RI696"/>
      <c r="RJ696"/>
      <c r="RK696"/>
      <c r="RL696"/>
      <c r="RM696"/>
      <c r="RN696"/>
      <c r="RO696"/>
      <c r="RP696"/>
      <c r="RQ696"/>
      <c r="RR696"/>
      <c r="RS696"/>
      <c r="RT696"/>
      <c r="RU696"/>
      <c r="RV696"/>
      <c r="RW696"/>
      <c r="RX696"/>
      <c r="RY696"/>
      <c r="RZ696"/>
      <c r="SA696"/>
      <c r="SB696"/>
      <c r="SC696"/>
      <c r="SD696"/>
      <c r="SE696"/>
      <c r="SF696"/>
      <c r="SG696"/>
      <c r="SH696"/>
      <c r="SI696"/>
      <c r="SJ696"/>
      <c r="SK696"/>
      <c r="SL696"/>
      <c r="SM696"/>
      <c r="SN696"/>
      <c r="SO696"/>
      <c r="SP696"/>
      <c r="SQ696"/>
      <c r="SR696"/>
      <c r="SS696"/>
      <c r="ST696"/>
      <c r="SU696"/>
      <c r="SV696"/>
      <c r="SW696"/>
      <c r="SX696"/>
      <c r="SY696"/>
      <c r="SZ696"/>
      <c r="TA696"/>
      <c r="TB696"/>
      <c r="TC696"/>
      <c r="TD696"/>
      <c r="TE696"/>
      <c r="TF696"/>
      <c r="TG696"/>
      <c r="TH696"/>
      <c r="TI696"/>
      <c r="TJ696"/>
      <c r="TK696"/>
      <c r="TL696"/>
      <c r="TM696"/>
      <c r="TN696"/>
      <c r="TO696"/>
      <c r="TP696"/>
      <c r="TQ696"/>
      <c r="TR696"/>
      <c r="TS696"/>
      <c r="TT696"/>
      <c r="TU696"/>
      <c r="TV696"/>
      <c r="TW696"/>
      <c r="TX696"/>
      <c r="TY696"/>
      <c r="TZ696"/>
      <c r="UA696"/>
      <c r="UB696"/>
      <c r="UC696"/>
      <c r="UD696"/>
      <c r="UE696"/>
      <c r="UF696"/>
      <c r="UG696"/>
      <c r="UH696"/>
      <c r="UI696"/>
      <c r="UJ696"/>
      <c r="UK696"/>
      <c r="UL696"/>
      <c r="UM696"/>
      <c r="UN696"/>
      <c r="UO696"/>
      <c r="UP696"/>
      <c r="UQ696"/>
      <c r="UR696"/>
      <c r="US696"/>
      <c r="UT696"/>
      <c r="UU696"/>
      <c r="UV696"/>
      <c r="UW696"/>
      <c r="UX696"/>
      <c r="UY696"/>
      <c r="UZ696"/>
      <c r="VA696"/>
      <c r="VB696"/>
      <c r="VC696"/>
      <c r="VD696"/>
      <c r="VE696"/>
      <c r="VF696"/>
      <c r="VG696"/>
      <c r="VH696"/>
      <c r="VI696"/>
      <c r="VJ696"/>
      <c r="VK696"/>
      <c r="VL696"/>
      <c r="VM696"/>
      <c r="VN696"/>
      <c r="VO696"/>
      <c r="VP696"/>
      <c r="VQ696"/>
      <c r="VR696"/>
      <c r="VS696"/>
      <c r="VT696"/>
      <c r="VU696"/>
      <c r="VV696"/>
      <c r="VW696"/>
      <c r="VX696"/>
      <c r="VY696"/>
      <c r="VZ696"/>
      <c r="WA696"/>
      <c r="WB696"/>
      <c r="WC696"/>
      <c r="WD696"/>
      <c r="WE696"/>
      <c r="WF696"/>
      <c r="WG696"/>
      <c r="WH696"/>
      <c r="WI696"/>
      <c r="WJ696"/>
      <c r="WK696"/>
      <c r="WL696"/>
      <c r="WM696"/>
      <c r="WN696"/>
      <c r="WO696"/>
      <c r="WP696"/>
      <c r="WQ696"/>
      <c r="WR696"/>
      <c r="WS696"/>
      <c r="WT696"/>
      <c r="WU696"/>
      <c r="WV696"/>
      <c r="WW696"/>
      <c r="WX696"/>
      <c r="WY696"/>
      <c r="WZ696"/>
      <c r="XA696"/>
      <c r="XB696"/>
      <c r="XC696"/>
      <c r="XD696"/>
      <c r="XE696"/>
      <c r="XF696"/>
      <c r="XG696"/>
      <c r="XH696"/>
      <c r="XI696"/>
      <c r="XJ696"/>
      <c r="XK696"/>
      <c r="XL696"/>
      <c r="XM696"/>
      <c r="XN696"/>
      <c r="XO696"/>
      <c r="XP696"/>
      <c r="XQ696"/>
      <c r="XR696"/>
      <c r="XS696"/>
      <c r="XT696"/>
      <c r="XU696"/>
      <c r="XV696"/>
      <c r="XW696"/>
      <c r="XX696"/>
      <c r="XY696"/>
      <c r="XZ696"/>
      <c r="YA696"/>
      <c r="YB696"/>
      <c r="YC696"/>
      <c r="YD696"/>
      <c r="YE696"/>
      <c r="YF696"/>
      <c r="YG696"/>
      <c r="YH696"/>
      <c r="YI696"/>
      <c r="YJ696"/>
      <c r="YK696"/>
      <c r="YL696"/>
      <c r="YM696"/>
      <c r="YN696"/>
      <c r="YO696"/>
      <c r="YP696"/>
      <c r="YQ696"/>
      <c r="YR696"/>
      <c r="YS696"/>
      <c r="YT696"/>
      <c r="YU696"/>
      <c r="YV696"/>
      <c r="YW696"/>
      <c r="YX696"/>
      <c r="YY696"/>
      <c r="YZ696"/>
      <c r="ZA696"/>
      <c r="ZB696"/>
      <c r="ZC696"/>
      <c r="ZD696"/>
      <c r="ZE696"/>
      <c r="ZF696"/>
      <c r="ZG696"/>
      <c r="ZH696"/>
      <c r="ZI696"/>
      <c r="ZJ696"/>
      <c r="ZK696"/>
      <c r="ZL696"/>
      <c r="ZM696"/>
      <c r="ZN696"/>
      <c r="ZO696"/>
      <c r="ZP696"/>
      <c r="ZQ696"/>
      <c r="ZR696"/>
      <c r="ZS696"/>
      <c r="ZT696"/>
      <c r="ZU696"/>
      <c r="ZV696"/>
      <c r="ZW696"/>
      <c r="ZX696"/>
      <c r="ZY696"/>
      <c r="ZZ696" s="52"/>
      <c r="AAA696" s="192"/>
      <c r="AAD696" s="90"/>
      <c r="AAE696" s="519" t="s">
        <v>63</v>
      </c>
      <c r="AAF696" s="190" t="s">
        <v>52</v>
      </c>
      <c r="AAG696" s="90"/>
      <c r="AAH696" s="90"/>
      <c r="AAI696" s="72"/>
      <c r="AAJ696" s="81"/>
      <c r="AAK696" s="71"/>
      <c r="AAL696" s="90"/>
    </row>
    <row r="697" spans="1:715" s="552" customFormat="1" ht="24" customHeight="1" outlineLevel="1">
      <c r="A697" s="545"/>
      <c r="B697" s="686" t="str">
        <f>S.General.RulemakingTitle</f>
        <v>Incorporate Lane Regional Air Protection Agency Rules into State Implementation Plan</v>
      </c>
      <c r="C697" s="547" t="s">
        <v>0</v>
      </c>
      <c r="D697" s="547"/>
      <c r="E697" s="559" t="s">
        <v>228</v>
      </c>
      <c r="F697" s="560" t="s">
        <v>226</v>
      </c>
      <c r="G697" s="548" t="s">
        <v>61</v>
      </c>
      <c r="H697" s="548" t="s">
        <v>227</v>
      </c>
      <c r="I697" s="549"/>
      <c r="J697" s="550"/>
      <c r="K697" s="551"/>
      <c r="L697" s="551"/>
      <c r="M697" s="551"/>
      <c r="N697" s="551"/>
      <c r="O697" s="551"/>
      <c r="P697" s="551"/>
      <c r="Q697" s="551"/>
      <c r="R697" s="551"/>
      <c r="S697" s="551"/>
      <c r="T697" s="551"/>
      <c r="U697" s="551"/>
      <c r="V697" s="551"/>
      <c r="W697" s="551"/>
      <c r="X697" s="551"/>
      <c r="Y697" s="551"/>
      <c r="Z697" s="551"/>
      <c r="AA697" s="551"/>
      <c r="AB697" s="551"/>
      <c r="AC697" s="551"/>
      <c r="AD697" s="551"/>
      <c r="AE697" s="551"/>
      <c r="AF697" s="551"/>
      <c r="AG697" s="551"/>
      <c r="AH697" s="551"/>
      <c r="AI697" s="551"/>
      <c r="AJ697" s="551"/>
      <c r="AK697" s="551"/>
      <c r="AL697" s="551"/>
      <c r="AM697" s="551"/>
      <c r="AN697" s="551"/>
      <c r="AO697" s="551"/>
      <c r="AP697" s="551"/>
      <c r="AQ697" s="551"/>
      <c r="AR697" s="551"/>
      <c r="AS697" s="551"/>
      <c r="AT697" s="551"/>
      <c r="AU697" s="551"/>
      <c r="AV697" s="551"/>
      <c r="AW697" s="551"/>
      <c r="AX697" s="551"/>
      <c r="AY697" s="551"/>
      <c r="AZ697" s="551"/>
      <c r="BA697" s="551"/>
      <c r="BB697" s="551"/>
      <c r="BC697" s="551"/>
      <c r="BD697" s="551"/>
      <c r="BE697" s="551"/>
      <c r="BF697" s="551"/>
      <c r="BG697" s="551"/>
      <c r="BH697" s="551"/>
      <c r="BI697" s="551"/>
      <c r="BJ697" s="551"/>
      <c r="BK697" s="551"/>
      <c r="BL697" s="551"/>
      <c r="BM697" s="551"/>
      <c r="BN697" s="551"/>
      <c r="BO697" s="551"/>
      <c r="BP697" s="551"/>
      <c r="BQ697" s="551"/>
      <c r="BR697" s="551"/>
      <c r="BS697" s="551"/>
      <c r="BT697" s="551"/>
      <c r="BU697" s="551"/>
      <c r="BV697" s="551"/>
      <c r="BW697" s="551"/>
      <c r="BX697" s="551"/>
      <c r="BY697" s="551"/>
      <c r="BZ697" s="551"/>
      <c r="CA697" s="551"/>
      <c r="CB697" s="551"/>
      <c r="CC697" s="551"/>
      <c r="CD697" s="551"/>
      <c r="CE697" s="551"/>
      <c r="CF697" s="551"/>
      <c r="CG697" s="551"/>
      <c r="CH697" s="551"/>
      <c r="CI697" s="551"/>
      <c r="CJ697" s="551"/>
      <c r="CK697" s="551"/>
      <c r="CL697" s="551"/>
      <c r="CM697" s="551"/>
      <c r="CN697" s="551"/>
      <c r="CO697" s="551"/>
      <c r="CP697" s="551"/>
      <c r="CQ697" s="551"/>
      <c r="CR697" s="551"/>
      <c r="CS697" s="551"/>
      <c r="CT697" s="551"/>
      <c r="CU697" s="551"/>
      <c r="CV697" s="551"/>
      <c r="CW697" s="551"/>
      <c r="CX697" s="551"/>
      <c r="CY697" s="551"/>
      <c r="CZ697" s="551"/>
      <c r="DA697" s="551"/>
      <c r="DB697" s="551"/>
      <c r="DC697" s="551"/>
      <c r="DD697" s="551"/>
      <c r="DE697" s="551"/>
      <c r="DF697" s="551"/>
      <c r="DG697" s="551"/>
      <c r="DH697" s="551"/>
      <c r="DI697" s="551"/>
      <c r="DJ697" s="551"/>
      <c r="DK697" s="551"/>
      <c r="DL697" s="551"/>
      <c r="DM697" s="551"/>
      <c r="DN697" s="551"/>
      <c r="DO697" s="551"/>
      <c r="DP697" s="551"/>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c r="IW697"/>
      <c r="IX697"/>
      <c r="IY697"/>
      <c r="IZ697"/>
      <c r="JA697"/>
      <c r="JB697"/>
      <c r="JC697"/>
      <c r="JD697"/>
      <c r="JE697"/>
      <c r="JF697"/>
      <c r="JG697"/>
      <c r="JH697"/>
      <c r="JI697"/>
      <c r="JJ697"/>
      <c r="JK697"/>
      <c r="JL697"/>
      <c r="JM697"/>
      <c r="JN697"/>
      <c r="JO697"/>
      <c r="JP697"/>
      <c r="JQ697"/>
      <c r="JR697"/>
      <c r="JS697"/>
      <c r="JT697"/>
      <c r="JU697"/>
      <c r="JV697"/>
      <c r="JW697"/>
      <c r="JX697"/>
      <c r="JY697"/>
      <c r="JZ697"/>
      <c r="KA697"/>
      <c r="KB697"/>
      <c r="KC697"/>
      <c r="KD697"/>
      <c r="KE697"/>
      <c r="KF697"/>
      <c r="KG697"/>
      <c r="KH697"/>
      <c r="KI697"/>
      <c r="KJ697"/>
      <c r="KK697"/>
      <c r="KL697"/>
      <c r="KM697"/>
      <c r="KN697"/>
      <c r="KO697"/>
      <c r="KP697"/>
      <c r="KQ697"/>
      <c r="KR697"/>
      <c r="KS697"/>
      <c r="KT697"/>
      <c r="KU697"/>
      <c r="KV697"/>
      <c r="KW697"/>
      <c r="KX697"/>
      <c r="KY697"/>
      <c r="KZ697"/>
      <c r="LA697"/>
      <c r="LB697"/>
      <c r="LC697"/>
      <c r="LD697"/>
      <c r="LE697"/>
      <c r="LF697"/>
      <c r="LG697"/>
      <c r="LH697"/>
      <c r="LI697"/>
      <c r="LJ697"/>
      <c r="LK697"/>
      <c r="LL697"/>
      <c r="LM697"/>
      <c r="LN697"/>
      <c r="LO697"/>
      <c r="LP697"/>
      <c r="LQ697"/>
      <c r="LR697"/>
      <c r="LS697"/>
      <c r="LT697"/>
      <c r="LU697"/>
      <c r="LV697"/>
      <c r="LW697"/>
      <c r="LX697"/>
      <c r="LY697"/>
      <c r="LZ697"/>
      <c r="MA697"/>
      <c r="MB697"/>
      <c r="MC697"/>
      <c r="MD697"/>
      <c r="ME697"/>
      <c r="MF697"/>
      <c r="MG697"/>
      <c r="MH697"/>
      <c r="MI697"/>
      <c r="MJ697"/>
      <c r="MK697"/>
      <c r="ML697"/>
      <c r="MM697"/>
      <c r="MN697"/>
      <c r="MO697"/>
      <c r="MP697"/>
      <c r="MQ697"/>
      <c r="MR697"/>
      <c r="MS697"/>
      <c r="MT697"/>
      <c r="MU697"/>
      <c r="MV697"/>
      <c r="MW697"/>
      <c r="MX697"/>
      <c r="MY697"/>
      <c r="MZ697"/>
      <c r="NA697"/>
      <c r="NB697"/>
      <c r="NC697"/>
      <c r="ND697"/>
      <c r="NE697"/>
      <c r="NF697"/>
      <c r="NG697"/>
      <c r="NH697"/>
      <c r="NI697"/>
      <c r="NJ697"/>
      <c r="NK697"/>
      <c r="NL697"/>
      <c r="NM697"/>
      <c r="NN697"/>
      <c r="NO697"/>
      <c r="NP697"/>
      <c r="NQ697"/>
      <c r="NR697"/>
      <c r="NS697"/>
      <c r="NT697"/>
      <c r="NU697"/>
      <c r="NV697"/>
      <c r="NW697"/>
      <c r="NX697"/>
      <c r="NY697"/>
      <c r="NZ697"/>
      <c r="OA697"/>
      <c r="OB697"/>
      <c r="OC697"/>
      <c r="OD697"/>
      <c r="OE697"/>
      <c r="OF697"/>
      <c r="OG697"/>
      <c r="OH697"/>
      <c r="OI697"/>
      <c r="OJ697"/>
      <c r="OK697"/>
      <c r="OL697"/>
      <c r="OM697"/>
      <c r="ON697"/>
      <c r="OO697"/>
      <c r="OP697"/>
      <c r="OQ697"/>
      <c r="OR697"/>
      <c r="OS697"/>
      <c r="OT697"/>
      <c r="OU697"/>
      <c r="OV697"/>
      <c r="OW697"/>
      <c r="OX697"/>
      <c r="OY697"/>
      <c r="OZ697"/>
      <c r="PA697"/>
      <c r="PB697"/>
      <c r="PC697"/>
      <c r="PD697"/>
      <c r="PE697"/>
      <c r="PF697"/>
      <c r="PG697"/>
      <c r="PH697"/>
      <c r="PI697"/>
      <c r="PJ697"/>
      <c r="PK697"/>
      <c r="PL697"/>
      <c r="PM697"/>
      <c r="PN697"/>
      <c r="PO697"/>
      <c r="PP697"/>
      <c r="PQ697"/>
      <c r="PR697"/>
      <c r="PS697"/>
      <c r="PT697"/>
      <c r="PU697"/>
      <c r="PV697"/>
      <c r="PW697"/>
      <c r="PX697"/>
      <c r="PY697"/>
      <c r="PZ697"/>
      <c r="QA697"/>
      <c r="QB697"/>
      <c r="QC697"/>
      <c r="QD697"/>
      <c r="QE697"/>
      <c r="QF697"/>
      <c r="QG697"/>
      <c r="QH697"/>
      <c r="QI697"/>
      <c r="QJ697"/>
      <c r="QK697"/>
      <c r="QL697"/>
      <c r="QM697"/>
      <c r="QN697"/>
      <c r="QO697"/>
      <c r="QP697"/>
      <c r="QQ697"/>
      <c r="QR697"/>
      <c r="QS697"/>
      <c r="QT697"/>
      <c r="QU697"/>
      <c r="QV697"/>
      <c r="QW697"/>
      <c r="QX697"/>
      <c r="QY697"/>
      <c r="QZ697"/>
      <c r="RA697"/>
      <c r="RB697"/>
      <c r="RC697"/>
      <c r="RD697"/>
      <c r="RE697"/>
      <c r="RF697"/>
      <c r="RG697"/>
      <c r="RH697"/>
      <c r="RI697"/>
      <c r="RJ697"/>
      <c r="RK697"/>
      <c r="RL697"/>
      <c r="RM697"/>
      <c r="RN697"/>
      <c r="RO697"/>
      <c r="RP697"/>
      <c r="RQ697"/>
      <c r="RR697"/>
      <c r="RS697"/>
      <c r="RT697"/>
      <c r="RU697"/>
      <c r="RV697"/>
      <c r="RW697"/>
      <c r="RX697"/>
      <c r="RY697"/>
      <c r="RZ697"/>
      <c r="SA697"/>
      <c r="SB697"/>
      <c r="SC697"/>
      <c r="SD697"/>
      <c r="SE697"/>
      <c r="SF697"/>
      <c r="SG697"/>
      <c r="SH697"/>
      <c r="SI697"/>
      <c r="SJ697"/>
      <c r="SK697"/>
      <c r="SL697"/>
      <c r="SM697"/>
      <c r="SN697"/>
      <c r="SO697"/>
      <c r="SP697"/>
      <c r="SQ697"/>
      <c r="SR697"/>
      <c r="SS697"/>
      <c r="ST697"/>
      <c r="SU697"/>
      <c r="SV697"/>
      <c r="SW697"/>
      <c r="SX697"/>
      <c r="SY697"/>
      <c r="SZ697"/>
      <c r="TA697"/>
      <c r="TB697"/>
      <c r="TC697"/>
      <c r="TD697"/>
      <c r="TE697"/>
      <c r="TF697"/>
      <c r="TG697"/>
      <c r="TH697"/>
      <c r="TI697"/>
      <c r="TJ697"/>
      <c r="TK697"/>
      <c r="TL697"/>
      <c r="TM697"/>
      <c r="TN697"/>
      <c r="TO697"/>
      <c r="TP697"/>
      <c r="TQ697"/>
      <c r="TR697"/>
      <c r="TS697"/>
      <c r="TT697"/>
      <c r="TU697"/>
      <c r="TV697"/>
      <c r="TW697"/>
      <c r="TX697"/>
      <c r="TY697"/>
      <c r="TZ697"/>
      <c r="UA697"/>
      <c r="UB697"/>
      <c r="UC697"/>
      <c r="UD697"/>
      <c r="UE697"/>
      <c r="UF697"/>
      <c r="UG697"/>
      <c r="UH697"/>
      <c r="UI697"/>
      <c r="UJ697"/>
      <c r="UK697"/>
      <c r="UL697"/>
      <c r="UM697"/>
      <c r="UN697"/>
      <c r="UO697"/>
      <c r="UP697"/>
      <c r="UQ697"/>
      <c r="UR697"/>
      <c r="US697"/>
      <c r="UT697"/>
      <c r="UU697"/>
      <c r="UV697"/>
      <c r="UW697"/>
      <c r="UX697"/>
      <c r="UY697"/>
      <c r="UZ697"/>
      <c r="VA697"/>
      <c r="VB697"/>
      <c r="VC697"/>
      <c r="VD697"/>
      <c r="VE697"/>
      <c r="VF697"/>
      <c r="VG697"/>
      <c r="VH697"/>
      <c r="VI697"/>
      <c r="VJ697"/>
      <c r="VK697"/>
      <c r="VL697"/>
      <c r="VM697"/>
      <c r="VN697"/>
      <c r="VO697"/>
      <c r="VP697"/>
      <c r="VQ697"/>
      <c r="VR697"/>
      <c r="VS697"/>
      <c r="VT697"/>
      <c r="VU697"/>
      <c r="VV697"/>
      <c r="VW697"/>
      <c r="VX697"/>
      <c r="VY697"/>
      <c r="VZ697"/>
      <c r="WA697"/>
      <c r="WB697"/>
      <c r="WC697"/>
      <c r="WD697"/>
      <c r="WE697"/>
      <c r="WF697"/>
      <c r="WG697"/>
      <c r="WH697"/>
      <c r="WI697"/>
      <c r="WJ697"/>
      <c r="WK697"/>
      <c r="WL697"/>
      <c r="WM697"/>
      <c r="WN697"/>
      <c r="WO697"/>
      <c r="WP697"/>
      <c r="WQ697"/>
      <c r="WR697"/>
      <c r="WS697"/>
      <c r="WT697"/>
      <c r="WU697"/>
      <c r="WV697"/>
      <c r="WW697"/>
      <c r="WX697"/>
      <c r="WY697"/>
      <c r="WZ697"/>
      <c r="XA697"/>
      <c r="XB697"/>
      <c r="XC697"/>
      <c r="XD697"/>
      <c r="XE697"/>
      <c r="XF697"/>
      <c r="XG697"/>
      <c r="XH697"/>
      <c r="XI697"/>
      <c r="XJ697"/>
      <c r="XK697"/>
      <c r="XL697"/>
      <c r="XM697"/>
      <c r="XN697"/>
      <c r="XO697"/>
      <c r="XP697"/>
      <c r="XQ697"/>
      <c r="XR697"/>
      <c r="XS697"/>
      <c r="XT697"/>
      <c r="XU697"/>
      <c r="XV697"/>
      <c r="XW697"/>
      <c r="XX697"/>
      <c r="XY697"/>
      <c r="XZ697"/>
      <c r="YA697"/>
      <c r="YB697"/>
      <c r="YC697"/>
      <c r="YD697"/>
      <c r="YE697"/>
      <c r="YF697"/>
      <c r="YG697"/>
      <c r="YH697"/>
      <c r="YI697"/>
      <c r="YJ697"/>
      <c r="YK697"/>
      <c r="YL697"/>
      <c r="YM697"/>
      <c r="YN697"/>
      <c r="YO697"/>
      <c r="YP697"/>
      <c r="YQ697"/>
      <c r="YR697"/>
      <c r="YS697"/>
      <c r="YT697"/>
      <c r="YU697"/>
      <c r="YV697"/>
      <c r="YW697"/>
      <c r="YX697"/>
      <c r="YY697"/>
      <c r="YZ697"/>
      <c r="ZA697"/>
      <c r="ZB697"/>
      <c r="ZC697"/>
      <c r="ZD697"/>
      <c r="ZE697"/>
      <c r="ZF697"/>
      <c r="ZG697"/>
      <c r="ZH697"/>
      <c r="ZI697"/>
      <c r="ZJ697"/>
      <c r="ZK697"/>
      <c r="ZL697"/>
      <c r="ZM697"/>
      <c r="ZN697"/>
      <c r="ZO697"/>
      <c r="ZP697"/>
      <c r="ZQ697"/>
      <c r="ZR697"/>
      <c r="ZS697"/>
      <c r="ZT697"/>
      <c r="ZU697"/>
      <c r="ZV697"/>
      <c r="ZW697"/>
      <c r="ZX697"/>
      <c r="ZY697"/>
      <c r="ZZ697" s="52"/>
      <c r="AAA697" s="770"/>
      <c r="AAD697" s="553"/>
      <c r="AAE697" s="554" t="s">
        <v>63</v>
      </c>
      <c r="AAF697" s="555" t="s">
        <v>52</v>
      </c>
      <c r="AAG697" s="553"/>
      <c r="AAH697" s="553"/>
      <c r="AAI697" s="556"/>
      <c r="AAJ697" s="557"/>
      <c r="AAK697" s="558"/>
      <c r="AAL697" s="553"/>
    </row>
    <row r="698" spans="1:715" ht="18" customHeight="1" outlineLevel="1">
      <c r="A698" s="171"/>
      <c r="B698" s="127"/>
      <c r="C698" s="145" t="s">
        <v>0</v>
      </c>
      <c r="D698" s="128"/>
      <c r="E698" s="140"/>
      <c r="F698" s="162">
        <f>NETWORKDAYS(S.PostEQC.BANNER.Begin,S.PostEQC.BANNER.End,S.DDL_DEQClosed)</f>
        <v>64</v>
      </c>
      <c r="G698" s="247">
        <f>AAG698</f>
        <v>41717</v>
      </c>
      <c r="H698" s="280">
        <f>AAH698</f>
        <v>41807</v>
      </c>
      <c r="I698" s="244"/>
      <c r="J698" s="216"/>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219"/>
      <c r="AK698" s="219"/>
      <c r="AL698" s="219"/>
      <c r="AM698" s="219"/>
      <c r="AN698" s="219"/>
      <c r="AO698" s="219"/>
      <c r="AP698" s="219"/>
      <c r="AQ698" s="219"/>
      <c r="AR698" s="219"/>
      <c r="AS698" s="219"/>
      <c r="AT698" s="219"/>
      <c r="AU698" s="219"/>
      <c r="AV698" s="219"/>
      <c r="AW698" s="219"/>
      <c r="AX698" s="219"/>
      <c r="AY698" s="219"/>
      <c r="AZ698" s="219"/>
      <c r="BA698" s="219"/>
      <c r="BB698" s="219"/>
      <c r="BC698" s="219"/>
      <c r="BD698" s="219"/>
      <c r="BE698" s="219"/>
      <c r="BF698" s="219"/>
      <c r="BG698" s="219"/>
      <c r="BH698" s="219"/>
      <c r="BI698" s="219"/>
      <c r="BJ698" s="219"/>
      <c r="BK698" s="219"/>
      <c r="BL698" s="219"/>
      <c r="BM698" s="219"/>
      <c r="BN698" s="219"/>
      <c r="BO698" s="219"/>
      <c r="BP698" s="219"/>
      <c r="BQ698" s="219"/>
      <c r="BR698" s="219"/>
      <c r="BS698" s="219"/>
      <c r="BT698" s="219"/>
      <c r="BU698" s="219"/>
      <c r="BV698" s="219"/>
      <c r="BW698" s="219"/>
      <c r="BX698" s="219"/>
      <c r="BY698" s="219"/>
      <c r="BZ698" s="219"/>
      <c r="CA698" s="219"/>
      <c r="CB698" s="219"/>
      <c r="CC698" s="219"/>
      <c r="CD698" s="219"/>
      <c r="CE698" s="219"/>
      <c r="CF698" s="219"/>
      <c r="CG698" s="219"/>
      <c r="CH698" s="219"/>
      <c r="CI698" s="219"/>
      <c r="CJ698" s="219"/>
      <c r="CK698" s="219"/>
      <c r="CL698" s="219"/>
      <c r="CM698" s="219"/>
      <c r="CN698" s="219"/>
      <c r="CO698" s="219"/>
      <c r="CP698" s="219"/>
      <c r="CQ698" s="219"/>
      <c r="CR698" s="219"/>
      <c r="CS698" s="219"/>
      <c r="CT698" s="219"/>
      <c r="CU698" s="219"/>
      <c r="CV698" s="219"/>
      <c r="CW698" s="219"/>
      <c r="CX698" s="219"/>
      <c r="CY698" s="219"/>
      <c r="CZ698" s="219"/>
      <c r="DA698" s="219"/>
      <c r="DB698" s="219"/>
      <c r="DC698" s="219"/>
      <c r="DD698" s="219"/>
      <c r="DE698" s="219"/>
      <c r="DF698" s="219"/>
      <c r="DG698" s="219"/>
      <c r="DH698" s="219"/>
      <c r="DI698" s="219"/>
      <c r="DJ698" s="219"/>
      <c r="DK698" s="219"/>
      <c r="DL698" s="219"/>
      <c r="DM698" s="219"/>
      <c r="DN698" s="219"/>
      <c r="DO698" s="219"/>
      <c r="DP698" s="219"/>
      <c r="AAA698" s="192" t="s">
        <v>0</v>
      </c>
      <c r="AAD698" s="90"/>
      <c r="AAE698" s="519" t="s">
        <v>63</v>
      </c>
      <c r="AAF698" s="190" t="s">
        <v>52</v>
      </c>
      <c r="AAG698" s="73">
        <f>S.EQC.Meeting</f>
        <v>41717</v>
      </c>
      <c r="AAH698" s="73">
        <f>WORKDAY(S.PostEQC.BANNER.Begin+89,1,S.DDL_DEQClosed)</f>
        <v>41807</v>
      </c>
      <c r="AAI698" s="72"/>
      <c r="AAJ698" s="56"/>
      <c r="AAK698" s="56"/>
      <c r="AAL698" s="90"/>
      <c r="AAM698"/>
    </row>
    <row r="699" spans="1:715" ht="6" customHeight="1" outlineLevel="1">
      <c r="A699" s="171"/>
      <c r="B699" s="120"/>
      <c r="C699" s="112"/>
      <c r="D699" s="230"/>
      <c r="E699" s="113"/>
      <c r="F699" s="113"/>
      <c r="G699" s="112"/>
      <c r="H699" s="112"/>
      <c r="I699" s="244"/>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c r="CY699" s="32"/>
      <c r="CZ699" s="32"/>
      <c r="DA699" s="32"/>
      <c r="DB699" s="32"/>
      <c r="DC699" s="32"/>
      <c r="DD699" s="32"/>
      <c r="DE699" s="32"/>
      <c r="DF699" s="32"/>
      <c r="DG699" s="32"/>
      <c r="DH699" s="32"/>
      <c r="DI699" s="32"/>
      <c r="DJ699" s="32"/>
      <c r="DK699" s="32"/>
      <c r="DL699" s="32"/>
      <c r="DM699" s="32"/>
      <c r="DN699" s="32"/>
      <c r="DO699" s="32"/>
      <c r="DP699" s="32"/>
      <c r="AAA699" s="192"/>
      <c r="AAD699" s="90"/>
      <c r="AAE699" s="519" t="s">
        <v>17</v>
      </c>
      <c r="AAF699" s="190" t="s">
        <v>52</v>
      </c>
      <c r="AAG699" s="60"/>
      <c r="AAH699" s="60"/>
      <c r="AAI699" s="72"/>
      <c r="AAJ699" s="56"/>
      <c r="AAK699" s="56"/>
      <c r="AAL699" s="90"/>
      <c r="AAM699"/>
    </row>
    <row r="700" spans="1:715" s="23" customFormat="1" ht="12.75" customHeight="1" outlineLevel="1">
      <c r="A700" s="171"/>
      <c r="B700" s="798" t="s">
        <v>510</v>
      </c>
      <c r="C700" s="797" t="str">
        <f>HYPERLINK("","i")</f>
        <v>i</v>
      </c>
      <c r="D700" s="231"/>
      <c r="E700" s="97"/>
      <c r="F700" s="97"/>
      <c r="G700" s="96"/>
      <c r="H700" s="96"/>
      <c r="I700" s="244"/>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c r="ZZ700" s="52"/>
      <c r="AAA700" s="192"/>
      <c r="AAD700" s="90"/>
      <c r="AAE700" s="520" t="s">
        <v>21</v>
      </c>
      <c r="AAF700" s="190" t="s">
        <v>52</v>
      </c>
      <c r="AAG700" s="60"/>
      <c r="AAH700" s="60"/>
      <c r="AAI700" s="82"/>
      <c r="AAJ700" s="82"/>
      <c r="AAK700" s="40"/>
      <c r="AAL700" s="90"/>
    </row>
    <row r="701" spans="1:715" s="23" customFormat="1" ht="18" customHeight="1" outlineLevel="1">
      <c r="A701" s="171"/>
      <c r="B701" s="894" t="s">
        <v>507</v>
      </c>
      <c r="C701" s="894"/>
      <c r="D701" s="894"/>
      <c r="E701" s="894"/>
      <c r="F701" s="894"/>
      <c r="G701" s="894"/>
      <c r="H701" s="894"/>
      <c r="I701" s="244"/>
      <c r="J701" s="194"/>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c r="BE701" s="49"/>
      <c r="BF701" s="49"/>
      <c r="BG701" s="49"/>
      <c r="BH701" s="49"/>
      <c r="BI701" s="49"/>
      <c r="BJ701" s="49"/>
      <c r="BK701" s="49"/>
      <c r="BL701" s="49"/>
      <c r="BM701" s="49"/>
      <c r="BN701" s="49"/>
      <c r="BO701" s="49"/>
      <c r="BP701" s="49"/>
      <c r="BQ701" s="49"/>
      <c r="BR701" s="49"/>
      <c r="BS701" s="49"/>
      <c r="BT701" s="49"/>
      <c r="BU701" s="49"/>
      <c r="BV701" s="49"/>
      <c r="BW701" s="49"/>
      <c r="BX701" s="49"/>
      <c r="BY701" s="49"/>
      <c r="BZ701" s="49"/>
      <c r="CA701" s="49"/>
      <c r="CB701" s="49"/>
      <c r="CC701" s="49"/>
      <c r="CD701" s="49"/>
      <c r="CE701" s="49"/>
      <c r="CF701" s="49"/>
      <c r="CG701" s="49"/>
      <c r="CH701" s="49"/>
      <c r="CI701" s="49"/>
      <c r="CJ701" s="49"/>
      <c r="CK701" s="49"/>
      <c r="CL701" s="49"/>
      <c r="CM701" s="49"/>
      <c r="CN701" s="49"/>
      <c r="CO701" s="49"/>
      <c r="CP701" s="49"/>
      <c r="CQ701" s="49"/>
      <c r="CR701" s="49"/>
      <c r="CS701" s="49"/>
      <c r="CT701" s="49"/>
      <c r="CU701" s="49"/>
      <c r="CV701" s="49"/>
      <c r="CW701" s="49"/>
      <c r="CX701" s="49"/>
      <c r="CY701" s="49"/>
      <c r="CZ701" s="49"/>
      <c r="DA701" s="49"/>
      <c r="DB701" s="49"/>
      <c r="DC701" s="49"/>
      <c r="DD701" s="49"/>
      <c r="DE701" s="49"/>
      <c r="DF701" s="49"/>
      <c r="DG701" s="49"/>
      <c r="DH701" s="49"/>
      <c r="DI701" s="49"/>
      <c r="DJ701" s="49"/>
      <c r="DK701" s="49"/>
      <c r="DL701" s="49"/>
      <c r="DM701" s="49"/>
      <c r="DN701" s="49"/>
      <c r="DO701" s="49"/>
      <c r="DP701" s="49"/>
      <c r="ZZ701" s="52"/>
      <c r="AAA701" s="192"/>
      <c r="AAD701" s="90"/>
      <c r="AAE701" s="519">
        <f>IF(S.Notice.Involved="Y",1,0)</f>
        <v>1</v>
      </c>
      <c r="AAF701" s="190" t="s">
        <v>52</v>
      </c>
      <c r="AAG701" s="60"/>
      <c r="AAH701" s="60"/>
      <c r="AAI701" s="60"/>
      <c r="AAJ701" s="56"/>
      <c r="AAK701" s="85"/>
      <c r="AAL701" s="90"/>
    </row>
    <row r="702" spans="1:715" s="23" customFormat="1" ht="15" customHeight="1" outlineLevel="1">
      <c r="A702" s="171" t="s">
        <v>0</v>
      </c>
      <c r="B702" s="414" t="str">
        <f>AAK702</f>
        <v>AndreaRW:</v>
      </c>
      <c r="C702" s="346"/>
      <c r="D702" s="421"/>
      <c r="E702" s="350"/>
      <c r="F702" s="350"/>
      <c r="G702" s="346"/>
      <c r="H702" s="346"/>
      <c r="I702" s="655"/>
      <c r="J702" s="194"/>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c r="BG702" s="49"/>
      <c r="BH702" s="49"/>
      <c r="BI702" s="49"/>
      <c r="BJ702" s="49"/>
      <c r="BK702" s="49"/>
      <c r="BL702" s="49"/>
      <c r="BM702" s="49"/>
      <c r="BN702" s="49"/>
      <c r="BO702" s="49"/>
      <c r="BP702" s="49"/>
      <c r="BQ702" s="49"/>
      <c r="BR702" s="49"/>
      <c r="BS702" s="49"/>
      <c r="BT702" s="49"/>
      <c r="BU702" s="49"/>
      <c r="BV702" s="49"/>
      <c r="BW702" s="49"/>
      <c r="BX702" s="49"/>
      <c r="BY702" s="49"/>
      <c r="BZ702" s="49"/>
      <c r="CA702" s="49"/>
      <c r="CB702" s="49"/>
      <c r="CC702" s="49"/>
      <c r="CD702" s="49"/>
      <c r="CE702" s="49"/>
      <c r="CF702" s="49"/>
      <c r="CG702" s="49"/>
      <c r="CH702" s="49"/>
      <c r="CI702" s="49"/>
      <c r="CJ702" s="49"/>
      <c r="CK702" s="49"/>
      <c r="CL702" s="49"/>
      <c r="CM702" s="49"/>
      <c r="CN702" s="49"/>
      <c r="CO702" s="49"/>
      <c r="CP702" s="49"/>
      <c r="CQ702" s="49"/>
      <c r="CR702" s="49"/>
      <c r="CS702" s="49"/>
      <c r="CT702" s="49"/>
      <c r="CU702" s="49"/>
      <c r="CV702" s="49"/>
      <c r="CW702" s="49"/>
      <c r="CX702" s="49"/>
      <c r="CY702" s="49"/>
      <c r="CZ702" s="49"/>
      <c r="DA702" s="49"/>
      <c r="DB702" s="49"/>
      <c r="DC702" s="49"/>
      <c r="DD702" s="49"/>
      <c r="DE702" s="49"/>
      <c r="DF702" s="49"/>
      <c r="DG702" s="49"/>
      <c r="DH702" s="49"/>
      <c r="DI702" s="49"/>
      <c r="DJ702" s="49"/>
      <c r="DK702" s="49"/>
      <c r="DL702" s="49"/>
      <c r="DM702" s="49"/>
      <c r="DN702" s="49"/>
      <c r="DO702" s="49"/>
      <c r="DP702" s="49"/>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c r="IW702"/>
      <c r="IX702"/>
      <c r="IY702"/>
      <c r="IZ702"/>
      <c r="JA702"/>
      <c r="JB702"/>
      <c r="JC702"/>
      <c r="JD702"/>
      <c r="JE702"/>
      <c r="JF702"/>
      <c r="JG702"/>
      <c r="JH702"/>
      <c r="JI702"/>
      <c r="JJ702"/>
      <c r="JK702"/>
      <c r="JL702"/>
      <c r="JM702"/>
      <c r="JN702"/>
      <c r="JO702"/>
      <c r="JP702"/>
      <c r="JQ702"/>
      <c r="JR702"/>
      <c r="JS702"/>
      <c r="JT702"/>
      <c r="JU702"/>
      <c r="JV702"/>
      <c r="JW702"/>
      <c r="JX702"/>
      <c r="JY702"/>
      <c r="JZ702"/>
      <c r="KA702"/>
      <c r="KB702"/>
      <c r="KC702"/>
      <c r="KD702"/>
      <c r="KE702"/>
      <c r="KF702"/>
      <c r="KG702"/>
      <c r="KH702"/>
      <c r="KI702"/>
      <c r="KJ702"/>
      <c r="KK702"/>
      <c r="KL702"/>
      <c r="KM702"/>
      <c r="KN702"/>
      <c r="KO702"/>
      <c r="KP702"/>
      <c r="KQ702"/>
      <c r="KR702"/>
      <c r="KS702"/>
      <c r="KT702"/>
      <c r="KU702"/>
      <c r="KV702"/>
      <c r="KW702"/>
      <c r="KX702"/>
      <c r="KY702"/>
      <c r="KZ702"/>
      <c r="LA702"/>
      <c r="LB702"/>
      <c r="LC702"/>
      <c r="LD702"/>
      <c r="LE702"/>
      <c r="LF702"/>
      <c r="LG702"/>
      <c r="LH702"/>
      <c r="LI702"/>
      <c r="LJ702"/>
      <c r="LK702"/>
      <c r="LL702"/>
      <c r="LM702"/>
      <c r="LN702"/>
      <c r="LO702"/>
      <c r="LP702"/>
      <c r="LQ702"/>
      <c r="LR702"/>
      <c r="LS702"/>
      <c r="LT702"/>
      <c r="LU702"/>
      <c r="LV702"/>
      <c r="LW702"/>
      <c r="LX702"/>
      <c r="LY702"/>
      <c r="LZ702"/>
      <c r="MA702"/>
      <c r="MB702"/>
      <c r="MC702"/>
      <c r="MD702"/>
      <c r="ME702"/>
      <c r="MF702"/>
      <c r="MG702"/>
      <c r="MH702"/>
      <c r="MI702"/>
      <c r="MJ702"/>
      <c r="MK702"/>
      <c r="ML702"/>
      <c r="MM702"/>
      <c r="MN702"/>
      <c r="MO702"/>
      <c r="MP702"/>
      <c r="MQ702"/>
      <c r="MR702"/>
      <c r="MS702"/>
      <c r="MT702"/>
      <c r="MU702"/>
      <c r="MV702"/>
      <c r="MW702"/>
      <c r="MX702"/>
      <c r="MY702"/>
      <c r="MZ702"/>
      <c r="NA702"/>
      <c r="NB702"/>
      <c r="NC702"/>
      <c r="ND702"/>
      <c r="NE702"/>
      <c r="NF702"/>
      <c r="NG702"/>
      <c r="NH702"/>
      <c r="NI702"/>
      <c r="NJ702"/>
      <c r="NK702"/>
      <c r="NL702"/>
      <c r="NM702"/>
      <c r="NN702"/>
      <c r="NO702"/>
      <c r="NP702"/>
      <c r="NQ702"/>
      <c r="NR702"/>
      <c r="NS702"/>
      <c r="NT702"/>
      <c r="NU702"/>
      <c r="NV702"/>
      <c r="NW702"/>
      <c r="NX702"/>
      <c r="NY702"/>
      <c r="NZ702"/>
      <c r="OA702"/>
      <c r="OB702"/>
      <c r="OC702"/>
      <c r="OD702"/>
      <c r="OE702"/>
      <c r="OF702"/>
      <c r="OG702"/>
      <c r="OH702"/>
      <c r="OI702"/>
      <c r="OJ702"/>
      <c r="OK702"/>
      <c r="OL702"/>
      <c r="OM702"/>
      <c r="ON702"/>
      <c r="OO702"/>
      <c r="OP702"/>
      <c r="OQ702"/>
      <c r="OR702"/>
      <c r="OS702"/>
      <c r="OT702"/>
      <c r="OU702"/>
      <c r="OV702"/>
      <c r="OW702"/>
      <c r="OX702"/>
      <c r="OY702"/>
      <c r="OZ702"/>
      <c r="PA702"/>
      <c r="PB702"/>
      <c r="PC702"/>
      <c r="PD702"/>
      <c r="PE702"/>
      <c r="PF702"/>
      <c r="PG702"/>
      <c r="PH702"/>
      <c r="PI702"/>
      <c r="PJ702"/>
      <c r="PK702"/>
      <c r="PL702"/>
      <c r="PM702"/>
      <c r="PN702"/>
      <c r="PO702"/>
      <c r="PP702"/>
      <c r="PQ702"/>
      <c r="PR702"/>
      <c r="PS702"/>
      <c r="PT702"/>
      <c r="PU702"/>
      <c r="PV702"/>
      <c r="PW702"/>
      <c r="PX702"/>
      <c r="PY702"/>
      <c r="PZ702"/>
      <c r="QA702"/>
      <c r="QB702"/>
      <c r="QC702"/>
      <c r="QD702"/>
      <c r="QE702"/>
      <c r="QF702"/>
      <c r="QG702"/>
      <c r="QH702"/>
      <c r="QI702"/>
      <c r="QJ702"/>
      <c r="QK702"/>
      <c r="QL702"/>
      <c r="QM702"/>
      <c r="QN702"/>
      <c r="QO702"/>
      <c r="QP702"/>
      <c r="QQ702"/>
      <c r="QR702"/>
      <c r="QS702"/>
      <c r="QT702"/>
      <c r="QU702"/>
      <c r="QV702"/>
      <c r="QW702"/>
      <c r="QX702"/>
      <c r="QY702"/>
      <c r="QZ702"/>
      <c r="RA702"/>
      <c r="RB702"/>
      <c r="RC702"/>
      <c r="RD702"/>
      <c r="RE702"/>
      <c r="RF702"/>
      <c r="RG702"/>
      <c r="RH702"/>
      <c r="RI702"/>
      <c r="RJ702"/>
      <c r="RK702"/>
      <c r="RL702"/>
      <c r="RM702"/>
      <c r="RN702"/>
      <c r="RO702"/>
      <c r="RP702"/>
      <c r="RQ702"/>
      <c r="RR702"/>
      <c r="RS702"/>
      <c r="RT702"/>
      <c r="RU702"/>
      <c r="RV702"/>
      <c r="RW702"/>
      <c r="RX702"/>
      <c r="RY702"/>
      <c r="RZ702"/>
      <c r="SA702"/>
      <c r="SB702"/>
      <c r="SC702"/>
      <c r="SD702"/>
      <c r="SE702"/>
      <c r="SF702"/>
      <c r="SG702"/>
      <c r="SH702"/>
      <c r="SI702"/>
      <c r="SJ702"/>
      <c r="SK702"/>
      <c r="SL702"/>
      <c r="SM702"/>
      <c r="SN702"/>
      <c r="SO702"/>
      <c r="SP702"/>
      <c r="SQ702"/>
      <c r="SR702"/>
      <c r="SS702"/>
      <c r="ST702"/>
      <c r="SU702"/>
      <c r="SV702"/>
      <c r="SW702"/>
      <c r="SX702"/>
      <c r="SY702"/>
      <c r="SZ702"/>
      <c r="TA702"/>
      <c r="TB702"/>
      <c r="TC702"/>
      <c r="TD702"/>
      <c r="TE702"/>
      <c r="TF702"/>
      <c r="TG702"/>
      <c r="TH702"/>
      <c r="TI702"/>
      <c r="TJ702"/>
      <c r="TK702"/>
      <c r="TL702"/>
      <c r="TM702"/>
      <c r="TN702"/>
      <c r="TO702"/>
      <c r="TP702"/>
      <c r="TQ702"/>
      <c r="TR702"/>
      <c r="TS702"/>
      <c r="TT702"/>
      <c r="TU702"/>
      <c r="TV702"/>
      <c r="TW702"/>
      <c r="TX702"/>
      <c r="TY702"/>
      <c r="TZ702"/>
      <c r="UA702"/>
      <c r="UB702"/>
      <c r="UC702"/>
      <c r="UD702"/>
      <c r="UE702"/>
      <c r="UF702"/>
      <c r="UG702"/>
      <c r="UH702"/>
      <c r="UI702"/>
      <c r="UJ702"/>
      <c r="UK702"/>
      <c r="UL702"/>
      <c r="UM702"/>
      <c r="UN702"/>
      <c r="UO702"/>
      <c r="UP702"/>
      <c r="UQ702"/>
      <c r="UR702"/>
      <c r="US702"/>
      <c r="UT702"/>
      <c r="UU702"/>
      <c r="UV702"/>
      <c r="UW702"/>
      <c r="UX702"/>
      <c r="UY702"/>
      <c r="UZ702"/>
      <c r="VA702"/>
      <c r="VB702"/>
      <c r="VC702"/>
      <c r="VD702"/>
      <c r="VE702"/>
      <c r="VF702"/>
      <c r="VG702"/>
      <c r="VH702"/>
      <c r="VI702"/>
      <c r="VJ702"/>
      <c r="VK702"/>
      <c r="VL702"/>
      <c r="VM702"/>
      <c r="VN702"/>
      <c r="VO702"/>
      <c r="VP702"/>
      <c r="VQ702"/>
      <c r="VR702"/>
      <c r="VS702"/>
      <c r="VT702"/>
      <c r="VU702"/>
      <c r="VV702"/>
      <c r="VW702"/>
      <c r="VX702"/>
      <c r="VY702"/>
      <c r="VZ702"/>
      <c r="WA702"/>
      <c r="WB702"/>
      <c r="WC702"/>
      <c r="WD702"/>
      <c r="WE702"/>
      <c r="WF702"/>
      <c r="WG702"/>
      <c r="WH702"/>
      <c r="WI702"/>
      <c r="WJ702"/>
      <c r="WK702"/>
      <c r="WL702"/>
      <c r="WM702"/>
      <c r="WN702"/>
      <c r="WO702"/>
      <c r="WP702"/>
      <c r="WQ702"/>
      <c r="WR702"/>
      <c r="WS702"/>
      <c r="WT702"/>
      <c r="WU702"/>
      <c r="WV702"/>
      <c r="WW702"/>
      <c r="WX702"/>
      <c r="WY702"/>
      <c r="WZ702"/>
      <c r="XA702"/>
      <c r="XB702"/>
      <c r="XC702"/>
      <c r="XD702"/>
      <c r="XE702"/>
      <c r="XF702"/>
      <c r="XG702"/>
      <c r="XH702"/>
      <c r="XI702"/>
      <c r="XJ702"/>
      <c r="XK702"/>
      <c r="XL702"/>
      <c r="XM702"/>
      <c r="XN702"/>
      <c r="XO702"/>
      <c r="XP702"/>
      <c r="XQ702"/>
      <c r="XR702"/>
      <c r="XS702"/>
      <c r="XT702"/>
      <c r="XU702"/>
      <c r="XV702"/>
      <c r="XW702"/>
      <c r="XX702"/>
      <c r="XY702"/>
      <c r="XZ702"/>
      <c r="YA702"/>
      <c r="YB702"/>
      <c r="YC702"/>
      <c r="YD702"/>
      <c r="YE702"/>
      <c r="YF702"/>
      <c r="YG702"/>
      <c r="YH702"/>
      <c r="YI702"/>
      <c r="YJ702"/>
      <c r="YK702"/>
      <c r="YL702"/>
      <c r="YM702"/>
      <c r="YN702"/>
      <c r="YO702"/>
      <c r="YP702"/>
      <c r="YQ702"/>
      <c r="YR702"/>
      <c r="YS702"/>
      <c r="YT702"/>
      <c r="YU702"/>
      <c r="YV702"/>
      <c r="YW702"/>
      <c r="YX702"/>
      <c r="YY702"/>
      <c r="YZ702"/>
      <c r="ZA702"/>
      <c r="ZB702"/>
      <c r="ZC702"/>
      <c r="ZD702"/>
      <c r="ZE702"/>
      <c r="ZF702"/>
      <c r="ZG702"/>
      <c r="ZH702"/>
      <c r="ZI702"/>
      <c r="ZJ702"/>
      <c r="ZK702"/>
      <c r="ZL702"/>
      <c r="ZM702"/>
      <c r="ZN702"/>
      <c r="ZO702"/>
      <c r="ZP702"/>
      <c r="ZQ702"/>
      <c r="ZR702"/>
      <c r="ZS702"/>
      <c r="ZT702"/>
      <c r="ZU702"/>
      <c r="ZV702"/>
      <c r="ZW702"/>
      <c r="ZX702"/>
      <c r="ZY702"/>
      <c r="ZZ702" s="52"/>
      <c r="AAA702" s="192" t="s">
        <v>0</v>
      </c>
      <c r="AAD702" s="90"/>
      <c r="AAE702" s="519">
        <v>1</v>
      </c>
      <c r="AAF702" s="190" t="s">
        <v>52</v>
      </c>
      <c r="AAG702" s="94"/>
      <c r="AAH702" s="94"/>
      <c r="AAI702" s="72"/>
      <c r="AAJ702" s="185"/>
      <c r="AAK702" s="80" t="str">
        <f>S.Staff.Lead&amp;":"</f>
        <v>AndreaRW:</v>
      </c>
      <c r="AAL702" s="90"/>
    </row>
    <row r="703" spans="1:715" ht="15.75" customHeight="1" outlineLevel="1">
      <c r="A703" s="171"/>
      <c r="B703" s="304" t="s">
        <v>260</v>
      </c>
      <c r="C703" s="376" t="s">
        <v>0</v>
      </c>
      <c r="D703" s="428"/>
      <c r="E703"/>
      <c r="F703" s="457">
        <f t="shared" ref="F703:F708" ca="1" si="596">IF(YEAR(H703)&gt;2000,NETWORKDAYS(TODAY(),H703,S.DDL_DEQClosed),0)</f>
        <v>97</v>
      </c>
      <c r="G703"/>
      <c r="H703" s="343">
        <f t="shared" ref="H703:H709" si="597">AAH703</f>
        <v>41717</v>
      </c>
      <c r="I703" s="244"/>
      <c r="J703" s="194"/>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c r="BG703" s="49"/>
      <c r="BH703" s="49"/>
      <c r="BI703" s="49"/>
      <c r="BJ703" s="49"/>
      <c r="BK703" s="49"/>
      <c r="BL703" s="49"/>
      <c r="BM703" s="49"/>
      <c r="BN703" s="49"/>
      <c r="BO703" s="49"/>
      <c r="BP703" s="49"/>
      <c r="BQ703" s="49"/>
      <c r="BR703" s="49"/>
      <c r="BS703" s="49"/>
      <c r="BT703" s="49"/>
      <c r="BU703" s="49"/>
      <c r="BV703" s="49"/>
      <c r="BW703" s="49"/>
      <c r="BX703" s="49"/>
      <c r="BY703" s="49"/>
      <c r="BZ703" s="49"/>
      <c r="CA703" s="49"/>
      <c r="CB703" s="49"/>
      <c r="CC703" s="49"/>
      <c r="CD703" s="49"/>
      <c r="CE703" s="49"/>
      <c r="CF703" s="49"/>
      <c r="CG703" s="49"/>
      <c r="CH703" s="49"/>
      <c r="CI703" s="49"/>
      <c r="CJ703" s="49"/>
      <c r="CK703" s="49"/>
      <c r="CL703" s="49"/>
      <c r="CM703" s="49"/>
      <c r="CN703" s="49"/>
      <c r="CO703" s="49"/>
      <c r="CP703" s="49"/>
      <c r="CQ703" s="49"/>
      <c r="CR703" s="49"/>
      <c r="CS703" s="49"/>
      <c r="CT703" s="49"/>
      <c r="CU703" s="49"/>
      <c r="CV703" s="49"/>
      <c r="CW703" s="49"/>
      <c r="CX703" s="49"/>
      <c r="CY703" s="49"/>
      <c r="CZ703" s="49"/>
      <c r="DA703" s="49"/>
      <c r="DB703" s="49"/>
      <c r="DC703" s="49"/>
      <c r="DD703" s="49"/>
      <c r="DE703" s="49"/>
      <c r="DF703" s="49"/>
      <c r="DG703" s="49"/>
      <c r="DH703" s="49"/>
      <c r="DI703" s="49"/>
      <c r="DJ703" s="49"/>
      <c r="DK703" s="49"/>
      <c r="DL703" s="49"/>
      <c r="DM703" s="49"/>
      <c r="DN703" s="49"/>
      <c r="DO703" s="49"/>
      <c r="DP703" s="49"/>
      <c r="AAA703" s="192"/>
      <c r="AAD703" s="90"/>
      <c r="AAE703" s="519">
        <v>1</v>
      </c>
      <c r="AAF703" s="90"/>
      <c r="AAG703" s="94"/>
      <c r="AAH703" s="73">
        <f t="shared" ref="AAH703:AAH714" si="598">S.PostEQC.BANNER.Begin</f>
        <v>41717</v>
      </c>
      <c r="AAI703" s="72"/>
      <c r="AAJ703" s="56"/>
      <c r="AAK703" s="301"/>
      <c r="AAL703" s="90"/>
      <c r="AAM703"/>
    </row>
    <row r="704" spans="1:715" s="23" customFormat="1" ht="15.75" customHeight="1" outlineLevel="1">
      <c r="A704" s="171"/>
      <c r="B704" s="630" t="s">
        <v>261</v>
      </c>
      <c r="C704" s="376" t="s">
        <v>0</v>
      </c>
      <c r="D704" s="428"/>
      <c r="E704"/>
      <c r="F704" s="457">
        <f t="shared" ca="1" si="596"/>
        <v>97</v>
      </c>
      <c r="G704"/>
      <c r="H704" s="343">
        <f t="shared" ref="H704" si="599">AAH704</f>
        <v>41717</v>
      </c>
      <c r="I704" s="244"/>
      <c r="J704" s="194"/>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c r="BG704" s="49"/>
      <c r="BH704" s="49"/>
      <c r="BI704" s="49"/>
      <c r="BJ704" s="49"/>
      <c r="BK704" s="49"/>
      <c r="BL704" s="49"/>
      <c r="BM704" s="49"/>
      <c r="BN704" s="49"/>
      <c r="BO704" s="49"/>
      <c r="BP704" s="49"/>
      <c r="BQ704" s="49"/>
      <c r="BR704" s="49"/>
      <c r="BS704" s="49"/>
      <c r="BT704" s="49"/>
      <c r="BU704" s="49"/>
      <c r="BV704" s="49"/>
      <c r="BW704" s="49"/>
      <c r="BX704" s="49"/>
      <c r="BY704" s="49"/>
      <c r="BZ704" s="49"/>
      <c r="CA704" s="49"/>
      <c r="CB704" s="49"/>
      <c r="CC704" s="49"/>
      <c r="CD704" s="49"/>
      <c r="CE704" s="49"/>
      <c r="CF704" s="49"/>
      <c r="CG704" s="49"/>
      <c r="CH704" s="49"/>
      <c r="CI704" s="49"/>
      <c r="CJ704" s="49"/>
      <c r="CK704" s="49"/>
      <c r="CL704" s="49"/>
      <c r="CM704" s="49"/>
      <c r="CN704" s="49"/>
      <c r="CO704" s="49"/>
      <c r="CP704" s="49"/>
      <c r="CQ704" s="49"/>
      <c r="CR704" s="49"/>
      <c r="CS704" s="49"/>
      <c r="CT704" s="49"/>
      <c r="CU704" s="49"/>
      <c r="CV704" s="49"/>
      <c r="CW704" s="49"/>
      <c r="CX704" s="49"/>
      <c r="CY704" s="49"/>
      <c r="CZ704" s="49"/>
      <c r="DA704" s="49"/>
      <c r="DB704" s="49"/>
      <c r="DC704" s="49"/>
      <c r="DD704" s="49"/>
      <c r="DE704" s="49"/>
      <c r="DF704" s="49"/>
      <c r="DG704" s="49"/>
      <c r="DH704" s="49"/>
      <c r="DI704" s="49"/>
      <c r="DJ704" s="49"/>
      <c r="DK704" s="49"/>
      <c r="DL704" s="49"/>
      <c r="DM704" s="49"/>
      <c r="DN704" s="49"/>
      <c r="DO704" s="49"/>
      <c r="DP704" s="49"/>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c r="IW704"/>
      <c r="IX704"/>
      <c r="IY704"/>
      <c r="IZ704"/>
      <c r="JA704"/>
      <c r="JB704"/>
      <c r="JC704"/>
      <c r="JD704"/>
      <c r="JE704"/>
      <c r="JF704"/>
      <c r="JG704"/>
      <c r="JH704"/>
      <c r="JI704"/>
      <c r="JJ704"/>
      <c r="JK704"/>
      <c r="JL704"/>
      <c r="JM704"/>
      <c r="JN704"/>
      <c r="JO704"/>
      <c r="JP704"/>
      <c r="JQ704"/>
      <c r="JR704"/>
      <c r="JS704"/>
      <c r="JT704"/>
      <c r="JU704"/>
      <c r="JV704"/>
      <c r="JW704"/>
      <c r="JX704"/>
      <c r="JY704"/>
      <c r="JZ704"/>
      <c r="KA704"/>
      <c r="KB704"/>
      <c r="KC704"/>
      <c r="KD704"/>
      <c r="KE704"/>
      <c r="KF704"/>
      <c r="KG704"/>
      <c r="KH704"/>
      <c r="KI704"/>
      <c r="KJ704"/>
      <c r="KK704"/>
      <c r="KL704"/>
      <c r="KM704"/>
      <c r="KN704"/>
      <c r="KO704"/>
      <c r="KP704"/>
      <c r="KQ704"/>
      <c r="KR704"/>
      <c r="KS704"/>
      <c r="KT704"/>
      <c r="KU704"/>
      <c r="KV704"/>
      <c r="KW704"/>
      <c r="KX704"/>
      <c r="KY704"/>
      <c r="KZ704"/>
      <c r="LA704"/>
      <c r="LB704"/>
      <c r="LC704"/>
      <c r="LD704"/>
      <c r="LE704"/>
      <c r="LF704"/>
      <c r="LG704"/>
      <c r="LH704"/>
      <c r="LI704"/>
      <c r="LJ704"/>
      <c r="LK704"/>
      <c r="LL704"/>
      <c r="LM704"/>
      <c r="LN704"/>
      <c r="LO704"/>
      <c r="LP704"/>
      <c r="LQ704"/>
      <c r="LR704"/>
      <c r="LS704"/>
      <c r="LT704"/>
      <c r="LU704"/>
      <c r="LV704"/>
      <c r="LW704"/>
      <c r="LX704"/>
      <c r="LY704"/>
      <c r="LZ704"/>
      <c r="MA704"/>
      <c r="MB704"/>
      <c r="MC704"/>
      <c r="MD704"/>
      <c r="ME704"/>
      <c r="MF704"/>
      <c r="MG704"/>
      <c r="MH704"/>
      <c r="MI704"/>
      <c r="MJ704"/>
      <c r="MK704"/>
      <c r="ML704"/>
      <c r="MM704"/>
      <c r="MN704"/>
      <c r="MO704"/>
      <c r="MP704"/>
      <c r="MQ704"/>
      <c r="MR704"/>
      <c r="MS704"/>
      <c r="MT704"/>
      <c r="MU704"/>
      <c r="MV704"/>
      <c r="MW704"/>
      <c r="MX704"/>
      <c r="MY704"/>
      <c r="MZ704"/>
      <c r="NA704"/>
      <c r="NB704"/>
      <c r="NC704"/>
      <c r="ND704"/>
      <c r="NE704"/>
      <c r="NF704"/>
      <c r="NG704"/>
      <c r="NH704"/>
      <c r="NI704"/>
      <c r="NJ704"/>
      <c r="NK704"/>
      <c r="NL704"/>
      <c r="NM704"/>
      <c r="NN704"/>
      <c r="NO704"/>
      <c r="NP704"/>
      <c r="NQ704"/>
      <c r="NR704"/>
      <c r="NS704"/>
      <c r="NT704"/>
      <c r="NU704"/>
      <c r="NV704"/>
      <c r="NW704"/>
      <c r="NX704"/>
      <c r="NY704"/>
      <c r="NZ704"/>
      <c r="OA704"/>
      <c r="OB704"/>
      <c r="OC704"/>
      <c r="OD704"/>
      <c r="OE704"/>
      <c r="OF704"/>
      <c r="OG704"/>
      <c r="OH704"/>
      <c r="OI704"/>
      <c r="OJ704"/>
      <c r="OK704"/>
      <c r="OL704"/>
      <c r="OM704"/>
      <c r="ON704"/>
      <c r="OO704"/>
      <c r="OP704"/>
      <c r="OQ704"/>
      <c r="OR704"/>
      <c r="OS704"/>
      <c r="OT704"/>
      <c r="OU704"/>
      <c r="OV704"/>
      <c r="OW704"/>
      <c r="OX704"/>
      <c r="OY704"/>
      <c r="OZ704"/>
      <c r="PA704"/>
      <c r="PB704"/>
      <c r="PC704"/>
      <c r="PD704"/>
      <c r="PE704"/>
      <c r="PF704"/>
      <c r="PG704"/>
      <c r="PH704"/>
      <c r="PI704"/>
      <c r="PJ704"/>
      <c r="PK704"/>
      <c r="PL704"/>
      <c r="PM704"/>
      <c r="PN704"/>
      <c r="PO704"/>
      <c r="PP704"/>
      <c r="PQ704"/>
      <c r="PR704"/>
      <c r="PS704"/>
      <c r="PT704"/>
      <c r="PU704"/>
      <c r="PV704"/>
      <c r="PW704"/>
      <c r="PX704"/>
      <c r="PY704"/>
      <c r="PZ704"/>
      <c r="QA704"/>
      <c r="QB704"/>
      <c r="QC704"/>
      <c r="QD704"/>
      <c r="QE704"/>
      <c r="QF704"/>
      <c r="QG704"/>
      <c r="QH704"/>
      <c r="QI704"/>
      <c r="QJ704"/>
      <c r="QK704"/>
      <c r="QL704"/>
      <c r="QM704"/>
      <c r="QN704"/>
      <c r="QO704"/>
      <c r="QP704"/>
      <c r="QQ704"/>
      <c r="QR704"/>
      <c r="QS704"/>
      <c r="QT704"/>
      <c r="QU704"/>
      <c r="QV704"/>
      <c r="QW704"/>
      <c r="QX704"/>
      <c r="QY704"/>
      <c r="QZ704"/>
      <c r="RA704"/>
      <c r="RB704"/>
      <c r="RC704"/>
      <c r="RD704"/>
      <c r="RE704"/>
      <c r="RF704"/>
      <c r="RG704"/>
      <c r="RH704"/>
      <c r="RI704"/>
      <c r="RJ704"/>
      <c r="RK704"/>
      <c r="RL704"/>
      <c r="RM704"/>
      <c r="RN704"/>
      <c r="RO704"/>
      <c r="RP704"/>
      <c r="RQ704"/>
      <c r="RR704"/>
      <c r="RS704"/>
      <c r="RT704"/>
      <c r="RU704"/>
      <c r="RV704"/>
      <c r="RW704"/>
      <c r="RX704"/>
      <c r="RY704"/>
      <c r="RZ704"/>
      <c r="SA704"/>
      <c r="SB704"/>
      <c r="SC704"/>
      <c r="SD704"/>
      <c r="SE704"/>
      <c r="SF704"/>
      <c r="SG704"/>
      <c r="SH704"/>
      <c r="SI704"/>
      <c r="SJ704"/>
      <c r="SK704"/>
      <c r="SL704"/>
      <c r="SM704"/>
      <c r="SN704"/>
      <c r="SO704"/>
      <c r="SP704"/>
      <c r="SQ704"/>
      <c r="SR704"/>
      <c r="SS704"/>
      <c r="ST704"/>
      <c r="SU704"/>
      <c r="SV704"/>
      <c r="SW704"/>
      <c r="SX704"/>
      <c r="SY704"/>
      <c r="SZ704"/>
      <c r="TA704"/>
      <c r="TB704"/>
      <c r="TC704"/>
      <c r="TD704"/>
      <c r="TE704"/>
      <c r="TF704"/>
      <c r="TG704"/>
      <c r="TH704"/>
      <c r="TI704"/>
      <c r="TJ704"/>
      <c r="TK704"/>
      <c r="TL704"/>
      <c r="TM704"/>
      <c r="TN704"/>
      <c r="TO704"/>
      <c r="TP704"/>
      <c r="TQ704"/>
      <c r="TR704"/>
      <c r="TS704"/>
      <c r="TT704"/>
      <c r="TU704"/>
      <c r="TV704"/>
      <c r="TW704"/>
      <c r="TX704"/>
      <c r="TY704"/>
      <c r="TZ704"/>
      <c r="UA704"/>
      <c r="UB704"/>
      <c r="UC704"/>
      <c r="UD704"/>
      <c r="UE704"/>
      <c r="UF704"/>
      <c r="UG704"/>
      <c r="UH704"/>
      <c r="UI704"/>
      <c r="UJ704"/>
      <c r="UK704"/>
      <c r="UL704"/>
      <c r="UM704"/>
      <c r="UN704"/>
      <c r="UO704"/>
      <c r="UP704"/>
      <c r="UQ704"/>
      <c r="UR704"/>
      <c r="US704"/>
      <c r="UT704"/>
      <c r="UU704"/>
      <c r="UV704"/>
      <c r="UW704"/>
      <c r="UX704"/>
      <c r="UY704"/>
      <c r="UZ704"/>
      <c r="VA704"/>
      <c r="VB704"/>
      <c r="VC704"/>
      <c r="VD704"/>
      <c r="VE704"/>
      <c r="VF704"/>
      <c r="VG704"/>
      <c r="VH704"/>
      <c r="VI704"/>
      <c r="VJ704"/>
      <c r="VK704"/>
      <c r="VL704"/>
      <c r="VM704"/>
      <c r="VN704"/>
      <c r="VO704"/>
      <c r="VP704"/>
      <c r="VQ704"/>
      <c r="VR704"/>
      <c r="VS704"/>
      <c r="VT704"/>
      <c r="VU704"/>
      <c r="VV704"/>
      <c r="VW704"/>
      <c r="VX704"/>
      <c r="VY704"/>
      <c r="VZ704"/>
      <c r="WA704"/>
      <c r="WB704"/>
      <c r="WC704"/>
      <c r="WD704"/>
      <c r="WE704"/>
      <c r="WF704"/>
      <c r="WG704"/>
      <c r="WH704"/>
      <c r="WI704"/>
      <c r="WJ704"/>
      <c r="WK704"/>
      <c r="WL704"/>
      <c r="WM704"/>
      <c r="WN704"/>
      <c r="WO704"/>
      <c r="WP704"/>
      <c r="WQ704"/>
      <c r="WR704"/>
      <c r="WS704"/>
      <c r="WT704"/>
      <c r="WU704"/>
      <c r="WV704"/>
      <c r="WW704"/>
      <c r="WX704"/>
      <c r="WY704"/>
      <c r="WZ704"/>
      <c r="XA704"/>
      <c r="XB704"/>
      <c r="XC704"/>
      <c r="XD704"/>
      <c r="XE704"/>
      <c r="XF704"/>
      <c r="XG704"/>
      <c r="XH704"/>
      <c r="XI704"/>
      <c r="XJ704"/>
      <c r="XK704"/>
      <c r="XL704"/>
      <c r="XM704"/>
      <c r="XN704"/>
      <c r="XO704"/>
      <c r="XP704"/>
      <c r="XQ704"/>
      <c r="XR704"/>
      <c r="XS704"/>
      <c r="XT704"/>
      <c r="XU704"/>
      <c r="XV704"/>
      <c r="XW704"/>
      <c r="XX704"/>
      <c r="XY704"/>
      <c r="XZ704"/>
      <c r="YA704"/>
      <c r="YB704"/>
      <c r="YC704"/>
      <c r="YD704"/>
      <c r="YE704"/>
      <c r="YF704"/>
      <c r="YG704"/>
      <c r="YH704"/>
      <c r="YI704"/>
      <c r="YJ704"/>
      <c r="YK704"/>
      <c r="YL704"/>
      <c r="YM704"/>
      <c r="YN704"/>
      <c r="YO704"/>
      <c r="YP704"/>
      <c r="YQ704"/>
      <c r="YR704"/>
      <c r="YS704"/>
      <c r="YT704"/>
      <c r="YU704"/>
      <c r="YV704"/>
      <c r="YW704"/>
      <c r="YX704"/>
      <c r="YY704"/>
      <c r="YZ704"/>
      <c r="ZA704"/>
      <c r="ZB704"/>
      <c r="ZC704"/>
      <c r="ZD704"/>
      <c r="ZE704"/>
      <c r="ZF704"/>
      <c r="ZG704"/>
      <c r="ZH704"/>
      <c r="ZI704"/>
      <c r="ZJ704"/>
      <c r="ZK704"/>
      <c r="ZL704"/>
      <c r="ZM704"/>
      <c r="ZN704"/>
      <c r="ZO704"/>
      <c r="ZP704"/>
      <c r="ZQ704"/>
      <c r="ZR704"/>
      <c r="ZS704"/>
      <c r="ZT704"/>
      <c r="ZU704"/>
      <c r="ZV704"/>
      <c r="ZW704"/>
      <c r="ZX704"/>
      <c r="ZY704"/>
      <c r="ZZ704" s="52"/>
      <c r="AAA704" s="192"/>
      <c r="AAD704" s="90"/>
      <c r="AAE704" s="519">
        <v>1</v>
      </c>
      <c r="AAF704" s="90"/>
      <c r="AAG704" s="94"/>
      <c r="AAH704" s="73">
        <f t="shared" si="598"/>
        <v>41717</v>
      </c>
      <c r="AAI704" s="72"/>
      <c r="AAJ704" s="56"/>
      <c r="AAK704" s="301"/>
      <c r="AAL704" s="90"/>
    </row>
    <row r="705" spans="1:715" s="23" customFormat="1" ht="15.75" customHeight="1" outlineLevel="1">
      <c r="A705" s="171"/>
      <c r="B705" s="370" t="str">
        <f t="shared" ref="B705:B709" si="600">AAK705</f>
        <v>- ADOPTED.RULES.3.19.2014.docx</v>
      </c>
      <c r="C705" s="376" t="s">
        <v>0</v>
      </c>
      <c r="D705" s="428"/>
      <c r="E705"/>
      <c r="F705" s="457">
        <f t="shared" ca="1" si="596"/>
        <v>97</v>
      </c>
      <c r="G705"/>
      <c r="H705" s="343">
        <f t="shared" si="597"/>
        <v>41717</v>
      </c>
      <c r="I705" s="244"/>
      <c r="J705" s="194"/>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c r="BG705" s="49"/>
      <c r="BH705" s="49"/>
      <c r="BI705" s="49"/>
      <c r="BJ705" s="49"/>
      <c r="BK705" s="49"/>
      <c r="BL705" s="49"/>
      <c r="BM705" s="49"/>
      <c r="BN705" s="49"/>
      <c r="BO705" s="49"/>
      <c r="BP705" s="49"/>
      <c r="BQ705" s="49"/>
      <c r="BR705" s="49"/>
      <c r="BS705" s="49"/>
      <c r="BT705" s="49"/>
      <c r="BU705" s="49"/>
      <c r="BV705" s="49"/>
      <c r="BW705" s="49"/>
      <c r="BX705" s="49"/>
      <c r="BY705" s="49"/>
      <c r="BZ705" s="49"/>
      <c r="CA705" s="49"/>
      <c r="CB705" s="49"/>
      <c r="CC705" s="49"/>
      <c r="CD705" s="49"/>
      <c r="CE705" s="49"/>
      <c r="CF705" s="49"/>
      <c r="CG705" s="49"/>
      <c r="CH705" s="49"/>
      <c r="CI705" s="49"/>
      <c r="CJ705" s="49"/>
      <c r="CK705" s="49"/>
      <c r="CL705" s="49"/>
      <c r="CM705" s="49"/>
      <c r="CN705" s="49"/>
      <c r="CO705" s="49"/>
      <c r="CP705" s="49"/>
      <c r="CQ705" s="49"/>
      <c r="CR705" s="49"/>
      <c r="CS705" s="49"/>
      <c r="CT705" s="49"/>
      <c r="CU705" s="49"/>
      <c r="CV705" s="49"/>
      <c r="CW705" s="49"/>
      <c r="CX705" s="49"/>
      <c r="CY705" s="49"/>
      <c r="CZ705" s="49"/>
      <c r="DA705" s="49"/>
      <c r="DB705" s="49"/>
      <c r="DC705" s="49"/>
      <c r="DD705" s="49"/>
      <c r="DE705" s="49"/>
      <c r="DF705" s="49"/>
      <c r="DG705" s="49"/>
      <c r="DH705" s="49"/>
      <c r="DI705" s="49"/>
      <c r="DJ705" s="49"/>
      <c r="DK705" s="49"/>
      <c r="DL705" s="49"/>
      <c r="DM705" s="49"/>
      <c r="DN705" s="49"/>
      <c r="DO705" s="49"/>
      <c r="DP705" s="49"/>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c r="IW705"/>
      <c r="IX705"/>
      <c r="IY705"/>
      <c r="IZ705"/>
      <c r="JA705"/>
      <c r="JB705"/>
      <c r="JC705"/>
      <c r="JD705"/>
      <c r="JE705"/>
      <c r="JF705"/>
      <c r="JG705"/>
      <c r="JH705"/>
      <c r="JI705"/>
      <c r="JJ705"/>
      <c r="JK705"/>
      <c r="JL705"/>
      <c r="JM705"/>
      <c r="JN705"/>
      <c r="JO705"/>
      <c r="JP705"/>
      <c r="JQ705"/>
      <c r="JR705"/>
      <c r="JS705"/>
      <c r="JT705"/>
      <c r="JU705"/>
      <c r="JV705"/>
      <c r="JW705"/>
      <c r="JX705"/>
      <c r="JY705"/>
      <c r="JZ705"/>
      <c r="KA705"/>
      <c r="KB705"/>
      <c r="KC705"/>
      <c r="KD705"/>
      <c r="KE705"/>
      <c r="KF705"/>
      <c r="KG705"/>
      <c r="KH705"/>
      <c r="KI705"/>
      <c r="KJ705"/>
      <c r="KK705"/>
      <c r="KL705"/>
      <c r="KM705"/>
      <c r="KN705"/>
      <c r="KO705"/>
      <c r="KP705"/>
      <c r="KQ705"/>
      <c r="KR705"/>
      <c r="KS705"/>
      <c r="KT705"/>
      <c r="KU705"/>
      <c r="KV705"/>
      <c r="KW705"/>
      <c r="KX705"/>
      <c r="KY705"/>
      <c r="KZ705"/>
      <c r="LA705"/>
      <c r="LB705"/>
      <c r="LC705"/>
      <c r="LD705"/>
      <c r="LE705"/>
      <c r="LF705"/>
      <c r="LG705"/>
      <c r="LH705"/>
      <c r="LI705"/>
      <c r="LJ705"/>
      <c r="LK705"/>
      <c r="LL705"/>
      <c r="LM705"/>
      <c r="LN705"/>
      <c r="LO705"/>
      <c r="LP705"/>
      <c r="LQ705"/>
      <c r="LR705"/>
      <c r="LS705"/>
      <c r="LT705"/>
      <c r="LU705"/>
      <c r="LV705"/>
      <c r="LW705"/>
      <c r="LX705"/>
      <c r="LY705"/>
      <c r="LZ705"/>
      <c r="MA705"/>
      <c r="MB705"/>
      <c r="MC705"/>
      <c r="MD705"/>
      <c r="ME705"/>
      <c r="MF705"/>
      <c r="MG705"/>
      <c r="MH705"/>
      <c r="MI705"/>
      <c r="MJ705"/>
      <c r="MK705"/>
      <c r="ML705"/>
      <c r="MM705"/>
      <c r="MN705"/>
      <c r="MO705"/>
      <c r="MP705"/>
      <c r="MQ705"/>
      <c r="MR705"/>
      <c r="MS705"/>
      <c r="MT705"/>
      <c r="MU705"/>
      <c r="MV705"/>
      <c r="MW705"/>
      <c r="MX705"/>
      <c r="MY705"/>
      <c r="MZ705"/>
      <c r="NA705"/>
      <c r="NB705"/>
      <c r="NC705"/>
      <c r="ND705"/>
      <c r="NE705"/>
      <c r="NF705"/>
      <c r="NG705"/>
      <c r="NH705"/>
      <c r="NI705"/>
      <c r="NJ705"/>
      <c r="NK705"/>
      <c r="NL705"/>
      <c r="NM705"/>
      <c r="NN705"/>
      <c r="NO705"/>
      <c r="NP705"/>
      <c r="NQ705"/>
      <c r="NR705"/>
      <c r="NS705"/>
      <c r="NT705"/>
      <c r="NU705"/>
      <c r="NV705"/>
      <c r="NW705"/>
      <c r="NX705"/>
      <c r="NY705"/>
      <c r="NZ705"/>
      <c r="OA705"/>
      <c r="OB705"/>
      <c r="OC705"/>
      <c r="OD705"/>
      <c r="OE705"/>
      <c r="OF705"/>
      <c r="OG705"/>
      <c r="OH705"/>
      <c r="OI705"/>
      <c r="OJ705"/>
      <c r="OK705"/>
      <c r="OL705"/>
      <c r="OM705"/>
      <c r="ON705"/>
      <c r="OO705"/>
      <c r="OP705"/>
      <c r="OQ705"/>
      <c r="OR705"/>
      <c r="OS705"/>
      <c r="OT705"/>
      <c r="OU705"/>
      <c r="OV705"/>
      <c r="OW705"/>
      <c r="OX705"/>
      <c r="OY705"/>
      <c r="OZ705"/>
      <c r="PA705"/>
      <c r="PB705"/>
      <c r="PC705"/>
      <c r="PD705"/>
      <c r="PE705"/>
      <c r="PF705"/>
      <c r="PG705"/>
      <c r="PH705"/>
      <c r="PI705"/>
      <c r="PJ705"/>
      <c r="PK705"/>
      <c r="PL705"/>
      <c r="PM705"/>
      <c r="PN705"/>
      <c r="PO705"/>
      <c r="PP705"/>
      <c r="PQ705"/>
      <c r="PR705"/>
      <c r="PS705"/>
      <c r="PT705"/>
      <c r="PU705"/>
      <c r="PV705"/>
      <c r="PW705"/>
      <c r="PX705"/>
      <c r="PY705"/>
      <c r="PZ705"/>
      <c r="QA705"/>
      <c r="QB705"/>
      <c r="QC705"/>
      <c r="QD705"/>
      <c r="QE705"/>
      <c r="QF705"/>
      <c r="QG705"/>
      <c r="QH705"/>
      <c r="QI705"/>
      <c r="QJ705"/>
      <c r="QK705"/>
      <c r="QL705"/>
      <c r="QM705"/>
      <c r="QN705"/>
      <c r="QO705"/>
      <c r="QP705"/>
      <c r="QQ705"/>
      <c r="QR705"/>
      <c r="QS705"/>
      <c r="QT705"/>
      <c r="QU705"/>
      <c r="QV705"/>
      <c r="QW705"/>
      <c r="QX705"/>
      <c r="QY705"/>
      <c r="QZ705"/>
      <c r="RA705"/>
      <c r="RB705"/>
      <c r="RC705"/>
      <c r="RD705"/>
      <c r="RE705"/>
      <c r="RF705"/>
      <c r="RG705"/>
      <c r="RH705"/>
      <c r="RI705"/>
      <c r="RJ705"/>
      <c r="RK705"/>
      <c r="RL705"/>
      <c r="RM705"/>
      <c r="RN705"/>
      <c r="RO705"/>
      <c r="RP705"/>
      <c r="RQ705"/>
      <c r="RR705"/>
      <c r="RS705"/>
      <c r="RT705"/>
      <c r="RU705"/>
      <c r="RV705"/>
      <c r="RW705"/>
      <c r="RX705"/>
      <c r="RY705"/>
      <c r="RZ705"/>
      <c r="SA705"/>
      <c r="SB705"/>
      <c r="SC705"/>
      <c r="SD705"/>
      <c r="SE705"/>
      <c r="SF705"/>
      <c r="SG705"/>
      <c r="SH705"/>
      <c r="SI705"/>
      <c r="SJ705"/>
      <c r="SK705"/>
      <c r="SL705"/>
      <c r="SM705"/>
      <c r="SN705"/>
      <c r="SO705"/>
      <c r="SP705"/>
      <c r="SQ705"/>
      <c r="SR705"/>
      <c r="SS705"/>
      <c r="ST705"/>
      <c r="SU705"/>
      <c r="SV705"/>
      <c r="SW705"/>
      <c r="SX705"/>
      <c r="SY705"/>
      <c r="SZ705"/>
      <c r="TA705"/>
      <c r="TB705"/>
      <c r="TC705"/>
      <c r="TD705"/>
      <c r="TE705"/>
      <c r="TF705"/>
      <c r="TG705"/>
      <c r="TH705"/>
      <c r="TI705"/>
      <c r="TJ705"/>
      <c r="TK705"/>
      <c r="TL705"/>
      <c r="TM705"/>
      <c r="TN705"/>
      <c r="TO705"/>
      <c r="TP705"/>
      <c r="TQ705"/>
      <c r="TR705"/>
      <c r="TS705"/>
      <c r="TT705"/>
      <c r="TU705"/>
      <c r="TV705"/>
      <c r="TW705"/>
      <c r="TX705"/>
      <c r="TY705"/>
      <c r="TZ705"/>
      <c r="UA705"/>
      <c r="UB705"/>
      <c r="UC705"/>
      <c r="UD705"/>
      <c r="UE705"/>
      <c r="UF705"/>
      <c r="UG705"/>
      <c r="UH705"/>
      <c r="UI705"/>
      <c r="UJ705"/>
      <c r="UK705"/>
      <c r="UL705"/>
      <c r="UM705"/>
      <c r="UN705"/>
      <c r="UO705"/>
      <c r="UP705"/>
      <c r="UQ705"/>
      <c r="UR705"/>
      <c r="US705"/>
      <c r="UT705"/>
      <c r="UU705"/>
      <c r="UV705"/>
      <c r="UW705"/>
      <c r="UX705"/>
      <c r="UY705"/>
      <c r="UZ705"/>
      <c r="VA705"/>
      <c r="VB705"/>
      <c r="VC705"/>
      <c r="VD705"/>
      <c r="VE705"/>
      <c r="VF705"/>
      <c r="VG705"/>
      <c r="VH705"/>
      <c r="VI705"/>
      <c r="VJ705"/>
      <c r="VK705"/>
      <c r="VL705"/>
      <c r="VM705"/>
      <c r="VN705"/>
      <c r="VO705"/>
      <c r="VP705"/>
      <c r="VQ705"/>
      <c r="VR705"/>
      <c r="VS705"/>
      <c r="VT705"/>
      <c r="VU705"/>
      <c r="VV705"/>
      <c r="VW705"/>
      <c r="VX705"/>
      <c r="VY705"/>
      <c r="VZ705"/>
      <c r="WA705"/>
      <c r="WB705"/>
      <c r="WC705"/>
      <c r="WD705"/>
      <c r="WE705"/>
      <c r="WF705"/>
      <c r="WG705"/>
      <c r="WH705"/>
      <c r="WI705"/>
      <c r="WJ705"/>
      <c r="WK705"/>
      <c r="WL705"/>
      <c r="WM705"/>
      <c r="WN705"/>
      <c r="WO705"/>
      <c r="WP705"/>
      <c r="WQ705"/>
      <c r="WR705"/>
      <c r="WS705"/>
      <c r="WT705"/>
      <c r="WU705"/>
      <c r="WV705"/>
      <c r="WW705"/>
      <c r="WX705"/>
      <c r="WY705"/>
      <c r="WZ705"/>
      <c r="XA705"/>
      <c r="XB705"/>
      <c r="XC705"/>
      <c r="XD705"/>
      <c r="XE705"/>
      <c r="XF705"/>
      <c r="XG705"/>
      <c r="XH705"/>
      <c r="XI705"/>
      <c r="XJ705"/>
      <c r="XK705"/>
      <c r="XL705"/>
      <c r="XM705"/>
      <c r="XN705"/>
      <c r="XO705"/>
      <c r="XP705"/>
      <c r="XQ705"/>
      <c r="XR705"/>
      <c r="XS705"/>
      <c r="XT705"/>
      <c r="XU705"/>
      <c r="XV705"/>
      <c r="XW705"/>
      <c r="XX705"/>
      <c r="XY705"/>
      <c r="XZ705"/>
      <c r="YA705"/>
      <c r="YB705"/>
      <c r="YC705"/>
      <c r="YD705"/>
      <c r="YE705"/>
      <c r="YF705"/>
      <c r="YG705"/>
      <c r="YH705"/>
      <c r="YI705"/>
      <c r="YJ705"/>
      <c r="YK705"/>
      <c r="YL705"/>
      <c r="YM705"/>
      <c r="YN705"/>
      <c r="YO705"/>
      <c r="YP705"/>
      <c r="YQ705"/>
      <c r="YR705"/>
      <c r="YS705"/>
      <c r="YT705"/>
      <c r="YU705"/>
      <c r="YV705"/>
      <c r="YW705"/>
      <c r="YX705"/>
      <c r="YY705"/>
      <c r="YZ705"/>
      <c r="ZA705"/>
      <c r="ZB705"/>
      <c r="ZC705"/>
      <c r="ZD705"/>
      <c r="ZE705"/>
      <c r="ZF705"/>
      <c r="ZG705"/>
      <c r="ZH705"/>
      <c r="ZI705"/>
      <c r="ZJ705"/>
      <c r="ZK705"/>
      <c r="ZL705"/>
      <c r="ZM705"/>
      <c r="ZN705"/>
      <c r="ZO705"/>
      <c r="ZP705"/>
      <c r="ZQ705"/>
      <c r="ZR705"/>
      <c r="ZS705"/>
      <c r="ZT705"/>
      <c r="ZU705"/>
      <c r="ZV705"/>
      <c r="ZW705"/>
      <c r="ZX705"/>
      <c r="ZY705"/>
      <c r="ZZ705" s="52"/>
      <c r="AAA705" s="192"/>
      <c r="AAD705" s="90"/>
      <c r="AAE705" s="519">
        <v>1</v>
      </c>
      <c r="AAF705" s="90"/>
      <c r="AAG705" s="94"/>
      <c r="AAH705" s="73">
        <f t="shared" si="598"/>
        <v>41717</v>
      </c>
      <c r="AAI705" s="72"/>
      <c r="AAJ705" s="56"/>
      <c r="AAK705" s="296" t="str">
        <f>"- ADOPTED.RULES."&amp;TEXT(S.EQC.Meeting,"m.d.yyyy")&amp;".docx"</f>
        <v>- ADOPTED.RULES.3.19.2014.docx</v>
      </c>
      <c r="AAL705" s="90"/>
    </row>
    <row r="706" spans="1:715" s="23" customFormat="1" ht="15.75" customHeight="1" outlineLevel="1">
      <c r="A706" s="171"/>
      <c r="B706" s="370" t="str">
        <f t="shared" si="600"/>
        <v>- ADOPTED.REDLINE.RULES.docx</v>
      </c>
      <c r="C706" s="376" t="s">
        <v>0</v>
      </c>
      <c r="D706" s="428"/>
      <c r="E706"/>
      <c r="F706" s="457">
        <f t="shared" ca="1" si="596"/>
        <v>97</v>
      </c>
      <c r="G706"/>
      <c r="H706" s="343">
        <f t="shared" si="597"/>
        <v>41717</v>
      </c>
      <c r="I706" s="244"/>
      <c r="J706" s="194"/>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49"/>
      <c r="AW706" s="49"/>
      <c r="AX706" s="49"/>
      <c r="AY706" s="49"/>
      <c r="AZ706" s="49"/>
      <c r="BA706" s="49"/>
      <c r="BB706" s="49"/>
      <c r="BC706" s="49"/>
      <c r="BD706" s="49"/>
      <c r="BE706" s="49"/>
      <c r="BF706" s="49"/>
      <c r="BG706" s="49"/>
      <c r="BH706" s="49"/>
      <c r="BI706" s="49"/>
      <c r="BJ706" s="49"/>
      <c r="BK706" s="49"/>
      <c r="BL706" s="49"/>
      <c r="BM706" s="49"/>
      <c r="BN706" s="49"/>
      <c r="BO706" s="49"/>
      <c r="BP706" s="49"/>
      <c r="BQ706" s="49"/>
      <c r="BR706" s="49"/>
      <c r="BS706" s="49"/>
      <c r="BT706" s="49"/>
      <c r="BU706" s="49"/>
      <c r="BV706" s="49"/>
      <c r="BW706" s="49"/>
      <c r="BX706" s="49"/>
      <c r="BY706" s="49"/>
      <c r="BZ706" s="49"/>
      <c r="CA706" s="49"/>
      <c r="CB706" s="49"/>
      <c r="CC706" s="49"/>
      <c r="CD706" s="49"/>
      <c r="CE706" s="49"/>
      <c r="CF706" s="49"/>
      <c r="CG706" s="49"/>
      <c r="CH706" s="49"/>
      <c r="CI706" s="49"/>
      <c r="CJ706" s="49"/>
      <c r="CK706" s="49"/>
      <c r="CL706" s="49"/>
      <c r="CM706" s="49"/>
      <c r="CN706" s="49"/>
      <c r="CO706" s="49"/>
      <c r="CP706" s="49"/>
      <c r="CQ706" s="49"/>
      <c r="CR706" s="49"/>
      <c r="CS706" s="49"/>
      <c r="CT706" s="49"/>
      <c r="CU706" s="49"/>
      <c r="CV706" s="49"/>
      <c r="CW706" s="49"/>
      <c r="CX706" s="49"/>
      <c r="CY706" s="49"/>
      <c r="CZ706" s="49"/>
      <c r="DA706" s="49"/>
      <c r="DB706" s="49"/>
      <c r="DC706" s="49"/>
      <c r="DD706" s="49"/>
      <c r="DE706" s="49"/>
      <c r="DF706" s="49"/>
      <c r="DG706" s="49"/>
      <c r="DH706" s="49"/>
      <c r="DI706" s="49"/>
      <c r="DJ706" s="49"/>
      <c r="DK706" s="49"/>
      <c r="DL706" s="49"/>
      <c r="DM706" s="49"/>
      <c r="DN706" s="49"/>
      <c r="DO706" s="49"/>
      <c r="DP706" s="49"/>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c r="IW706"/>
      <c r="IX706"/>
      <c r="IY706"/>
      <c r="IZ706"/>
      <c r="JA706"/>
      <c r="JB706"/>
      <c r="JC706"/>
      <c r="JD706"/>
      <c r="JE706"/>
      <c r="JF706"/>
      <c r="JG706"/>
      <c r="JH706"/>
      <c r="JI706"/>
      <c r="JJ706"/>
      <c r="JK706"/>
      <c r="JL706"/>
      <c r="JM706"/>
      <c r="JN706"/>
      <c r="JO706"/>
      <c r="JP706"/>
      <c r="JQ706"/>
      <c r="JR706"/>
      <c r="JS706"/>
      <c r="JT706"/>
      <c r="JU706"/>
      <c r="JV706"/>
      <c r="JW706"/>
      <c r="JX706"/>
      <c r="JY706"/>
      <c r="JZ706"/>
      <c r="KA706"/>
      <c r="KB706"/>
      <c r="KC706"/>
      <c r="KD706"/>
      <c r="KE706"/>
      <c r="KF706"/>
      <c r="KG706"/>
      <c r="KH706"/>
      <c r="KI706"/>
      <c r="KJ706"/>
      <c r="KK706"/>
      <c r="KL706"/>
      <c r="KM706"/>
      <c r="KN706"/>
      <c r="KO706"/>
      <c r="KP706"/>
      <c r="KQ706"/>
      <c r="KR706"/>
      <c r="KS706"/>
      <c r="KT706"/>
      <c r="KU706"/>
      <c r="KV706"/>
      <c r="KW706"/>
      <c r="KX706"/>
      <c r="KY706"/>
      <c r="KZ706"/>
      <c r="LA706"/>
      <c r="LB706"/>
      <c r="LC706"/>
      <c r="LD706"/>
      <c r="LE706"/>
      <c r="LF706"/>
      <c r="LG706"/>
      <c r="LH706"/>
      <c r="LI706"/>
      <c r="LJ706"/>
      <c r="LK706"/>
      <c r="LL706"/>
      <c r="LM706"/>
      <c r="LN706"/>
      <c r="LO706"/>
      <c r="LP706"/>
      <c r="LQ706"/>
      <c r="LR706"/>
      <c r="LS706"/>
      <c r="LT706"/>
      <c r="LU706"/>
      <c r="LV706"/>
      <c r="LW706"/>
      <c r="LX706"/>
      <c r="LY706"/>
      <c r="LZ706"/>
      <c r="MA706"/>
      <c r="MB706"/>
      <c r="MC706"/>
      <c r="MD706"/>
      <c r="ME706"/>
      <c r="MF706"/>
      <c r="MG706"/>
      <c r="MH706"/>
      <c r="MI706"/>
      <c r="MJ706"/>
      <c r="MK706"/>
      <c r="ML706"/>
      <c r="MM706"/>
      <c r="MN706"/>
      <c r="MO706"/>
      <c r="MP706"/>
      <c r="MQ706"/>
      <c r="MR706"/>
      <c r="MS706"/>
      <c r="MT706"/>
      <c r="MU706"/>
      <c r="MV706"/>
      <c r="MW706"/>
      <c r="MX706"/>
      <c r="MY706"/>
      <c r="MZ706"/>
      <c r="NA706"/>
      <c r="NB706"/>
      <c r="NC706"/>
      <c r="ND706"/>
      <c r="NE706"/>
      <c r="NF706"/>
      <c r="NG706"/>
      <c r="NH706"/>
      <c r="NI706"/>
      <c r="NJ706"/>
      <c r="NK706"/>
      <c r="NL706"/>
      <c r="NM706"/>
      <c r="NN706"/>
      <c r="NO706"/>
      <c r="NP706"/>
      <c r="NQ706"/>
      <c r="NR706"/>
      <c r="NS706"/>
      <c r="NT706"/>
      <c r="NU706"/>
      <c r="NV706"/>
      <c r="NW706"/>
      <c r="NX706"/>
      <c r="NY706"/>
      <c r="NZ706"/>
      <c r="OA706"/>
      <c r="OB706"/>
      <c r="OC706"/>
      <c r="OD706"/>
      <c r="OE706"/>
      <c r="OF706"/>
      <c r="OG706"/>
      <c r="OH706"/>
      <c r="OI706"/>
      <c r="OJ706"/>
      <c r="OK706"/>
      <c r="OL706"/>
      <c r="OM706"/>
      <c r="ON706"/>
      <c r="OO706"/>
      <c r="OP706"/>
      <c r="OQ706"/>
      <c r="OR706"/>
      <c r="OS706"/>
      <c r="OT706"/>
      <c r="OU706"/>
      <c r="OV706"/>
      <c r="OW706"/>
      <c r="OX706"/>
      <c r="OY706"/>
      <c r="OZ706"/>
      <c r="PA706"/>
      <c r="PB706"/>
      <c r="PC706"/>
      <c r="PD706"/>
      <c r="PE706"/>
      <c r="PF706"/>
      <c r="PG706"/>
      <c r="PH706"/>
      <c r="PI706"/>
      <c r="PJ706"/>
      <c r="PK706"/>
      <c r="PL706"/>
      <c r="PM706"/>
      <c r="PN706"/>
      <c r="PO706"/>
      <c r="PP706"/>
      <c r="PQ706"/>
      <c r="PR706"/>
      <c r="PS706"/>
      <c r="PT706"/>
      <c r="PU706"/>
      <c r="PV706"/>
      <c r="PW706"/>
      <c r="PX706"/>
      <c r="PY706"/>
      <c r="PZ706"/>
      <c r="QA706"/>
      <c r="QB706"/>
      <c r="QC706"/>
      <c r="QD706"/>
      <c r="QE706"/>
      <c r="QF706"/>
      <c r="QG706"/>
      <c r="QH706"/>
      <c r="QI706"/>
      <c r="QJ706"/>
      <c r="QK706"/>
      <c r="QL706"/>
      <c r="QM706"/>
      <c r="QN706"/>
      <c r="QO706"/>
      <c r="QP706"/>
      <c r="QQ706"/>
      <c r="QR706"/>
      <c r="QS706"/>
      <c r="QT706"/>
      <c r="QU706"/>
      <c r="QV706"/>
      <c r="QW706"/>
      <c r="QX706"/>
      <c r="QY706"/>
      <c r="QZ706"/>
      <c r="RA706"/>
      <c r="RB706"/>
      <c r="RC706"/>
      <c r="RD706"/>
      <c r="RE706"/>
      <c r="RF706"/>
      <c r="RG706"/>
      <c r="RH706"/>
      <c r="RI706"/>
      <c r="RJ706"/>
      <c r="RK706"/>
      <c r="RL706"/>
      <c r="RM706"/>
      <c r="RN706"/>
      <c r="RO706"/>
      <c r="RP706"/>
      <c r="RQ706"/>
      <c r="RR706"/>
      <c r="RS706"/>
      <c r="RT706"/>
      <c r="RU706"/>
      <c r="RV706"/>
      <c r="RW706"/>
      <c r="RX706"/>
      <c r="RY706"/>
      <c r="RZ706"/>
      <c r="SA706"/>
      <c r="SB706"/>
      <c r="SC706"/>
      <c r="SD706"/>
      <c r="SE706"/>
      <c r="SF706"/>
      <c r="SG706"/>
      <c r="SH706"/>
      <c r="SI706"/>
      <c r="SJ706"/>
      <c r="SK706"/>
      <c r="SL706"/>
      <c r="SM706"/>
      <c r="SN706"/>
      <c r="SO706"/>
      <c r="SP706"/>
      <c r="SQ706"/>
      <c r="SR706"/>
      <c r="SS706"/>
      <c r="ST706"/>
      <c r="SU706"/>
      <c r="SV706"/>
      <c r="SW706"/>
      <c r="SX706"/>
      <c r="SY706"/>
      <c r="SZ706"/>
      <c r="TA706"/>
      <c r="TB706"/>
      <c r="TC706"/>
      <c r="TD706"/>
      <c r="TE706"/>
      <c r="TF706"/>
      <c r="TG706"/>
      <c r="TH706"/>
      <c r="TI706"/>
      <c r="TJ706"/>
      <c r="TK706"/>
      <c r="TL706"/>
      <c r="TM706"/>
      <c r="TN706"/>
      <c r="TO706"/>
      <c r="TP706"/>
      <c r="TQ706"/>
      <c r="TR706"/>
      <c r="TS706"/>
      <c r="TT706"/>
      <c r="TU706"/>
      <c r="TV706"/>
      <c r="TW706"/>
      <c r="TX706"/>
      <c r="TY706"/>
      <c r="TZ706"/>
      <c r="UA706"/>
      <c r="UB706"/>
      <c r="UC706"/>
      <c r="UD706"/>
      <c r="UE706"/>
      <c r="UF706"/>
      <c r="UG706"/>
      <c r="UH706"/>
      <c r="UI706"/>
      <c r="UJ706"/>
      <c r="UK706"/>
      <c r="UL706"/>
      <c r="UM706"/>
      <c r="UN706"/>
      <c r="UO706"/>
      <c r="UP706"/>
      <c r="UQ706"/>
      <c r="UR706"/>
      <c r="US706"/>
      <c r="UT706"/>
      <c r="UU706"/>
      <c r="UV706"/>
      <c r="UW706"/>
      <c r="UX706"/>
      <c r="UY706"/>
      <c r="UZ706"/>
      <c r="VA706"/>
      <c r="VB706"/>
      <c r="VC706"/>
      <c r="VD706"/>
      <c r="VE706"/>
      <c r="VF706"/>
      <c r="VG706"/>
      <c r="VH706"/>
      <c r="VI706"/>
      <c r="VJ706"/>
      <c r="VK706"/>
      <c r="VL706"/>
      <c r="VM706"/>
      <c r="VN706"/>
      <c r="VO706"/>
      <c r="VP706"/>
      <c r="VQ706"/>
      <c r="VR706"/>
      <c r="VS706"/>
      <c r="VT706"/>
      <c r="VU706"/>
      <c r="VV706"/>
      <c r="VW706"/>
      <c r="VX706"/>
      <c r="VY706"/>
      <c r="VZ706"/>
      <c r="WA706"/>
      <c r="WB706"/>
      <c r="WC706"/>
      <c r="WD706"/>
      <c r="WE706"/>
      <c r="WF706"/>
      <c r="WG706"/>
      <c r="WH706"/>
      <c r="WI706"/>
      <c r="WJ706"/>
      <c r="WK706"/>
      <c r="WL706"/>
      <c r="WM706"/>
      <c r="WN706"/>
      <c r="WO706"/>
      <c r="WP706"/>
      <c r="WQ706"/>
      <c r="WR706"/>
      <c r="WS706"/>
      <c r="WT706"/>
      <c r="WU706"/>
      <c r="WV706"/>
      <c r="WW706"/>
      <c r="WX706"/>
      <c r="WY706"/>
      <c r="WZ706"/>
      <c r="XA706"/>
      <c r="XB706"/>
      <c r="XC706"/>
      <c r="XD706"/>
      <c r="XE706"/>
      <c r="XF706"/>
      <c r="XG706"/>
      <c r="XH706"/>
      <c r="XI706"/>
      <c r="XJ706"/>
      <c r="XK706"/>
      <c r="XL706"/>
      <c r="XM706"/>
      <c r="XN706"/>
      <c r="XO706"/>
      <c r="XP706"/>
      <c r="XQ706"/>
      <c r="XR706"/>
      <c r="XS706"/>
      <c r="XT706"/>
      <c r="XU706"/>
      <c r="XV706"/>
      <c r="XW706"/>
      <c r="XX706"/>
      <c r="XY706"/>
      <c r="XZ706"/>
      <c r="YA706"/>
      <c r="YB706"/>
      <c r="YC706"/>
      <c r="YD706"/>
      <c r="YE706"/>
      <c r="YF706"/>
      <c r="YG706"/>
      <c r="YH706"/>
      <c r="YI706"/>
      <c r="YJ706"/>
      <c r="YK706"/>
      <c r="YL706"/>
      <c r="YM706"/>
      <c r="YN706"/>
      <c r="YO706"/>
      <c r="YP706"/>
      <c r="YQ706"/>
      <c r="YR706"/>
      <c r="YS706"/>
      <c r="YT706"/>
      <c r="YU706"/>
      <c r="YV706"/>
      <c r="YW706"/>
      <c r="YX706"/>
      <c r="YY706"/>
      <c r="YZ706"/>
      <c r="ZA706"/>
      <c r="ZB706"/>
      <c r="ZC706"/>
      <c r="ZD706"/>
      <c r="ZE706"/>
      <c r="ZF706"/>
      <c r="ZG706"/>
      <c r="ZH706"/>
      <c r="ZI706"/>
      <c r="ZJ706"/>
      <c r="ZK706"/>
      <c r="ZL706"/>
      <c r="ZM706"/>
      <c r="ZN706"/>
      <c r="ZO706"/>
      <c r="ZP706"/>
      <c r="ZQ706"/>
      <c r="ZR706"/>
      <c r="ZS706"/>
      <c r="ZT706"/>
      <c r="ZU706"/>
      <c r="ZV706"/>
      <c r="ZW706"/>
      <c r="ZX706"/>
      <c r="ZY706"/>
      <c r="ZZ706" s="52"/>
      <c r="AAA706" s="192"/>
      <c r="AAD706" s="90"/>
      <c r="AAE706" s="519">
        <v>1</v>
      </c>
      <c r="AAF706" s="90"/>
      <c r="AAG706" s="94"/>
      <c r="AAH706" s="73">
        <f t="shared" si="598"/>
        <v>41717</v>
      </c>
      <c r="AAI706" s="72"/>
      <c r="AAJ706" s="56"/>
      <c r="AAK706" s="296" t="str">
        <f>"- ADOPTED.REDLINE.RULES.docx"</f>
        <v>- ADOPTED.REDLINE.RULES.docx</v>
      </c>
      <c r="AAL706" s="90"/>
    </row>
    <row r="707" spans="1:715" s="23" customFormat="1" ht="15.75" customHeight="1" outlineLevel="1">
      <c r="A707" s="171"/>
      <c r="B707" s="370" t="str">
        <f t="shared" si="600"/>
        <v>- TABLES.FOR.DIVSION.###.docx (1 .docx per division)</v>
      </c>
      <c r="C707" s="376" t="s">
        <v>0</v>
      </c>
      <c r="D707" s="428"/>
      <c r="E707"/>
      <c r="F707" s="457">
        <f t="shared" ca="1" si="596"/>
        <v>97</v>
      </c>
      <c r="G707"/>
      <c r="H707" s="343">
        <f t="shared" si="597"/>
        <v>41717</v>
      </c>
      <c r="I707" s="244"/>
      <c r="J707" s="194"/>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c r="AY707" s="49"/>
      <c r="AZ707" s="49"/>
      <c r="BA707" s="49"/>
      <c r="BB707" s="49"/>
      <c r="BC707" s="49"/>
      <c r="BD707" s="49"/>
      <c r="BE707" s="49"/>
      <c r="BF707" s="49"/>
      <c r="BG707" s="49"/>
      <c r="BH707" s="49"/>
      <c r="BI707" s="49"/>
      <c r="BJ707" s="49"/>
      <c r="BK707" s="49"/>
      <c r="BL707" s="49"/>
      <c r="BM707" s="49"/>
      <c r="BN707" s="49"/>
      <c r="BO707" s="49"/>
      <c r="BP707" s="49"/>
      <c r="BQ707" s="49"/>
      <c r="BR707" s="49"/>
      <c r="BS707" s="49"/>
      <c r="BT707" s="49"/>
      <c r="BU707" s="49"/>
      <c r="BV707" s="49"/>
      <c r="BW707" s="49"/>
      <c r="BX707" s="49"/>
      <c r="BY707" s="49"/>
      <c r="BZ707" s="49"/>
      <c r="CA707" s="49"/>
      <c r="CB707" s="49"/>
      <c r="CC707" s="49"/>
      <c r="CD707" s="49"/>
      <c r="CE707" s="49"/>
      <c r="CF707" s="49"/>
      <c r="CG707" s="49"/>
      <c r="CH707" s="49"/>
      <c r="CI707" s="49"/>
      <c r="CJ707" s="49"/>
      <c r="CK707" s="49"/>
      <c r="CL707" s="49"/>
      <c r="CM707" s="49"/>
      <c r="CN707" s="49"/>
      <c r="CO707" s="49"/>
      <c r="CP707" s="49"/>
      <c r="CQ707" s="49"/>
      <c r="CR707" s="49"/>
      <c r="CS707" s="49"/>
      <c r="CT707" s="49"/>
      <c r="CU707" s="49"/>
      <c r="CV707" s="49"/>
      <c r="CW707" s="49"/>
      <c r="CX707" s="49"/>
      <c r="CY707" s="49"/>
      <c r="CZ707" s="49"/>
      <c r="DA707" s="49"/>
      <c r="DB707" s="49"/>
      <c r="DC707" s="49"/>
      <c r="DD707" s="49"/>
      <c r="DE707" s="49"/>
      <c r="DF707" s="49"/>
      <c r="DG707" s="49"/>
      <c r="DH707" s="49"/>
      <c r="DI707" s="49"/>
      <c r="DJ707" s="49"/>
      <c r="DK707" s="49"/>
      <c r="DL707" s="49"/>
      <c r="DM707" s="49"/>
      <c r="DN707" s="49"/>
      <c r="DO707" s="49"/>
      <c r="DP707" s="49"/>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c r="IW707"/>
      <c r="IX707"/>
      <c r="IY707"/>
      <c r="IZ707"/>
      <c r="JA707"/>
      <c r="JB707"/>
      <c r="JC707"/>
      <c r="JD707"/>
      <c r="JE707"/>
      <c r="JF707"/>
      <c r="JG707"/>
      <c r="JH707"/>
      <c r="JI707"/>
      <c r="JJ707"/>
      <c r="JK707"/>
      <c r="JL707"/>
      <c r="JM707"/>
      <c r="JN707"/>
      <c r="JO707"/>
      <c r="JP707"/>
      <c r="JQ707"/>
      <c r="JR707"/>
      <c r="JS707"/>
      <c r="JT707"/>
      <c r="JU707"/>
      <c r="JV707"/>
      <c r="JW707"/>
      <c r="JX707"/>
      <c r="JY707"/>
      <c r="JZ707"/>
      <c r="KA707"/>
      <c r="KB707"/>
      <c r="KC707"/>
      <c r="KD707"/>
      <c r="KE707"/>
      <c r="KF707"/>
      <c r="KG707"/>
      <c r="KH707"/>
      <c r="KI707"/>
      <c r="KJ707"/>
      <c r="KK707"/>
      <c r="KL707"/>
      <c r="KM707"/>
      <c r="KN707"/>
      <c r="KO707"/>
      <c r="KP707"/>
      <c r="KQ707"/>
      <c r="KR707"/>
      <c r="KS707"/>
      <c r="KT707"/>
      <c r="KU707"/>
      <c r="KV707"/>
      <c r="KW707"/>
      <c r="KX707"/>
      <c r="KY707"/>
      <c r="KZ707"/>
      <c r="LA707"/>
      <c r="LB707"/>
      <c r="LC707"/>
      <c r="LD707"/>
      <c r="LE707"/>
      <c r="LF707"/>
      <c r="LG707"/>
      <c r="LH707"/>
      <c r="LI707"/>
      <c r="LJ707"/>
      <c r="LK707"/>
      <c r="LL707"/>
      <c r="LM707"/>
      <c r="LN707"/>
      <c r="LO707"/>
      <c r="LP707"/>
      <c r="LQ707"/>
      <c r="LR707"/>
      <c r="LS707"/>
      <c r="LT707"/>
      <c r="LU707"/>
      <c r="LV707"/>
      <c r="LW707"/>
      <c r="LX707"/>
      <c r="LY707"/>
      <c r="LZ707"/>
      <c r="MA707"/>
      <c r="MB707"/>
      <c r="MC707"/>
      <c r="MD707"/>
      <c r="ME707"/>
      <c r="MF707"/>
      <c r="MG707"/>
      <c r="MH707"/>
      <c r="MI707"/>
      <c r="MJ707"/>
      <c r="MK707"/>
      <c r="ML707"/>
      <c r="MM707"/>
      <c r="MN707"/>
      <c r="MO707"/>
      <c r="MP707"/>
      <c r="MQ707"/>
      <c r="MR707"/>
      <c r="MS707"/>
      <c r="MT707"/>
      <c r="MU707"/>
      <c r="MV707"/>
      <c r="MW707"/>
      <c r="MX707"/>
      <c r="MY707"/>
      <c r="MZ707"/>
      <c r="NA707"/>
      <c r="NB707"/>
      <c r="NC707"/>
      <c r="ND707"/>
      <c r="NE707"/>
      <c r="NF707"/>
      <c r="NG707"/>
      <c r="NH707"/>
      <c r="NI707"/>
      <c r="NJ707"/>
      <c r="NK707"/>
      <c r="NL707"/>
      <c r="NM707"/>
      <c r="NN707"/>
      <c r="NO707"/>
      <c r="NP707"/>
      <c r="NQ707"/>
      <c r="NR707"/>
      <c r="NS707"/>
      <c r="NT707"/>
      <c r="NU707"/>
      <c r="NV707"/>
      <c r="NW707"/>
      <c r="NX707"/>
      <c r="NY707"/>
      <c r="NZ707"/>
      <c r="OA707"/>
      <c r="OB707"/>
      <c r="OC707"/>
      <c r="OD707"/>
      <c r="OE707"/>
      <c r="OF707"/>
      <c r="OG707"/>
      <c r="OH707"/>
      <c r="OI707"/>
      <c r="OJ707"/>
      <c r="OK707"/>
      <c r="OL707"/>
      <c r="OM707"/>
      <c r="ON707"/>
      <c r="OO707"/>
      <c r="OP707"/>
      <c r="OQ707"/>
      <c r="OR707"/>
      <c r="OS707"/>
      <c r="OT707"/>
      <c r="OU707"/>
      <c r="OV707"/>
      <c r="OW707"/>
      <c r="OX707"/>
      <c r="OY707"/>
      <c r="OZ707"/>
      <c r="PA707"/>
      <c r="PB707"/>
      <c r="PC707"/>
      <c r="PD707"/>
      <c r="PE707"/>
      <c r="PF707"/>
      <c r="PG707"/>
      <c r="PH707"/>
      <c r="PI707"/>
      <c r="PJ707"/>
      <c r="PK707"/>
      <c r="PL707"/>
      <c r="PM707"/>
      <c r="PN707"/>
      <c r="PO707"/>
      <c r="PP707"/>
      <c r="PQ707"/>
      <c r="PR707"/>
      <c r="PS707"/>
      <c r="PT707"/>
      <c r="PU707"/>
      <c r="PV707"/>
      <c r="PW707"/>
      <c r="PX707"/>
      <c r="PY707"/>
      <c r="PZ707"/>
      <c r="QA707"/>
      <c r="QB707"/>
      <c r="QC707"/>
      <c r="QD707"/>
      <c r="QE707"/>
      <c r="QF707"/>
      <c r="QG707"/>
      <c r="QH707"/>
      <c r="QI707"/>
      <c r="QJ707"/>
      <c r="QK707"/>
      <c r="QL707"/>
      <c r="QM707"/>
      <c r="QN707"/>
      <c r="QO707"/>
      <c r="QP707"/>
      <c r="QQ707"/>
      <c r="QR707"/>
      <c r="QS707"/>
      <c r="QT707"/>
      <c r="QU707"/>
      <c r="QV707"/>
      <c r="QW707"/>
      <c r="QX707"/>
      <c r="QY707"/>
      <c r="QZ707"/>
      <c r="RA707"/>
      <c r="RB707"/>
      <c r="RC707"/>
      <c r="RD707"/>
      <c r="RE707"/>
      <c r="RF707"/>
      <c r="RG707"/>
      <c r="RH707"/>
      <c r="RI707"/>
      <c r="RJ707"/>
      <c r="RK707"/>
      <c r="RL707"/>
      <c r="RM707"/>
      <c r="RN707"/>
      <c r="RO707"/>
      <c r="RP707"/>
      <c r="RQ707"/>
      <c r="RR707"/>
      <c r="RS707"/>
      <c r="RT707"/>
      <c r="RU707"/>
      <c r="RV707"/>
      <c r="RW707"/>
      <c r="RX707"/>
      <c r="RY707"/>
      <c r="RZ707"/>
      <c r="SA707"/>
      <c r="SB707"/>
      <c r="SC707"/>
      <c r="SD707"/>
      <c r="SE707"/>
      <c r="SF707"/>
      <c r="SG707"/>
      <c r="SH707"/>
      <c r="SI707"/>
      <c r="SJ707"/>
      <c r="SK707"/>
      <c r="SL707"/>
      <c r="SM707"/>
      <c r="SN707"/>
      <c r="SO707"/>
      <c r="SP707"/>
      <c r="SQ707"/>
      <c r="SR707"/>
      <c r="SS707"/>
      <c r="ST707"/>
      <c r="SU707"/>
      <c r="SV707"/>
      <c r="SW707"/>
      <c r="SX707"/>
      <c r="SY707"/>
      <c r="SZ707"/>
      <c r="TA707"/>
      <c r="TB707"/>
      <c r="TC707"/>
      <c r="TD707"/>
      <c r="TE707"/>
      <c r="TF707"/>
      <c r="TG707"/>
      <c r="TH707"/>
      <c r="TI707"/>
      <c r="TJ707"/>
      <c r="TK707"/>
      <c r="TL707"/>
      <c r="TM707"/>
      <c r="TN707"/>
      <c r="TO707"/>
      <c r="TP707"/>
      <c r="TQ707"/>
      <c r="TR707"/>
      <c r="TS707"/>
      <c r="TT707"/>
      <c r="TU707"/>
      <c r="TV707"/>
      <c r="TW707"/>
      <c r="TX707"/>
      <c r="TY707"/>
      <c r="TZ707"/>
      <c r="UA707"/>
      <c r="UB707"/>
      <c r="UC707"/>
      <c r="UD707"/>
      <c r="UE707"/>
      <c r="UF707"/>
      <c r="UG707"/>
      <c r="UH707"/>
      <c r="UI707"/>
      <c r="UJ707"/>
      <c r="UK707"/>
      <c r="UL707"/>
      <c r="UM707"/>
      <c r="UN707"/>
      <c r="UO707"/>
      <c r="UP707"/>
      <c r="UQ707"/>
      <c r="UR707"/>
      <c r="US707"/>
      <c r="UT707"/>
      <c r="UU707"/>
      <c r="UV707"/>
      <c r="UW707"/>
      <c r="UX707"/>
      <c r="UY707"/>
      <c r="UZ707"/>
      <c r="VA707"/>
      <c r="VB707"/>
      <c r="VC707"/>
      <c r="VD707"/>
      <c r="VE707"/>
      <c r="VF707"/>
      <c r="VG707"/>
      <c r="VH707"/>
      <c r="VI707"/>
      <c r="VJ707"/>
      <c r="VK707"/>
      <c r="VL707"/>
      <c r="VM707"/>
      <c r="VN707"/>
      <c r="VO707"/>
      <c r="VP707"/>
      <c r="VQ707"/>
      <c r="VR707"/>
      <c r="VS707"/>
      <c r="VT707"/>
      <c r="VU707"/>
      <c r="VV707"/>
      <c r="VW707"/>
      <c r="VX707"/>
      <c r="VY707"/>
      <c r="VZ707"/>
      <c r="WA707"/>
      <c r="WB707"/>
      <c r="WC707"/>
      <c r="WD707"/>
      <c r="WE707"/>
      <c r="WF707"/>
      <c r="WG707"/>
      <c r="WH707"/>
      <c r="WI707"/>
      <c r="WJ707"/>
      <c r="WK707"/>
      <c r="WL707"/>
      <c r="WM707"/>
      <c r="WN707"/>
      <c r="WO707"/>
      <c r="WP707"/>
      <c r="WQ707"/>
      <c r="WR707"/>
      <c r="WS707"/>
      <c r="WT707"/>
      <c r="WU707"/>
      <c r="WV707"/>
      <c r="WW707"/>
      <c r="WX707"/>
      <c r="WY707"/>
      <c r="WZ707"/>
      <c r="XA707"/>
      <c r="XB707"/>
      <c r="XC707"/>
      <c r="XD707"/>
      <c r="XE707"/>
      <c r="XF707"/>
      <c r="XG707"/>
      <c r="XH707"/>
      <c r="XI707"/>
      <c r="XJ707"/>
      <c r="XK707"/>
      <c r="XL707"/>
      <c r="XM707"/>
      <c r="XN707"/>
      <c r="XO707"/>
      <c r="XP707"/>
      <c r="XQ707"/>
      <c r="XR707"/>
      <c r="XS707"/>
      <c r="XT707"/>
      <c r="XU707"/>
      <c r="XV707"/>
      <c r="XW707"/>
      <c r="XX707"/>
      <c r="XY707"/>
      <c r="XZ707"/>
      <c r="YA707"/>
      <c r="YB707"/>
      <c r="YC707"/>
      <c r="YD707"/>
      <c r="YE707"/>
      <c r="YF707"/>
      <c r="YG707"/>
      <c r="YH707"/>
      <c r="YI707"/>
      <c r="YJ707"/>
      <c r="YK707"/>
      <c r="YL707"/>
      <c r="YM707"/>
      <c r="YN707"/>
      <c r="YO707"/>
      <c r="YP707"/>
      <c r="YQ707"/>
      <c r="YR707"/>
      <c r="YS707"/>
      <c r="YT707"/>
      <c r="YU707"/>
      <c r="YV707"/>
      <c r="YW707"/>
      <c r="YX707"/>
      <c r="YY707"/>
      <c r="YZ707"/>
      <c r="ZA707"/>
      <c r="ZB707"/>
      <c r="ZC707"/>
      <c r="ZD707"/>
      <c r="ZE707"/>
      <c r="ZF707"/>
      <c r="ZG707"/>
      <c r="ZH707"/>
      <c r="ZI707"/>
      <c r="ZJ707"/>
      <c r="ZK707"/>
      <c r="ZL707"/>
      <c r="ZM707"/>
      <c r="ZN707"/>
      <c r="ZO707"/>
      <c r="ZP707"/>
      <c r="ZQ707"/>
      <c r="ZR707"/>
      <c r="ZS707"/>
      <c r="ZT707"/>
      <c r="ZU707"/>
      <c r="ZV707"/>
      <c r="ZW707"/>
      <c r="ZX707"/>
      <c r="ZY707"/>
      <c r="ZZ707" s="52"/>
      <c r="AAA707" s="192"/>
      <c r="AAD707" s="90"/>
      <c r="AAE707" s="519">
        <v>1</v>
      </c>
      <c r="AAF707" s="90"/>
      <c r="AAG707" s="94"/>
      <c r="AAH707" s="73">
        <f t="shared" si="598"/>
        <v>41717</v>
      </c>
      <c r="AAI707" s="72"/>
      <c r="AAJ707" s="56"/>
      <c r="AAK707" s="296" t="str">
        <f>"- TABLES.FOR.DIVSION.###.docx (1 .docx per division)"</f>
        <v>- TABLES.FOR.DIVSION.###.docx (1 .docx per division)</v>
      </c>
      <c r="AAL707" s="90"/>
    </row>
    <row r="708" spans="1:715" s="23" customFormat="1" ht="15.75" customHeight="1" outlineLevel="1">
      <c r="A708" s="171"/>
      <c r="B708" s="370" t="str">
        <f t="shared" si="600"/>
        <v>- TABLES.FOR.DIVISION.###.docx (1 .docx per division), etc.</v>
      </c>
      <c r="C708" s="376" t="s">
        <v>0</v>
      </c>
      <c r="D708" s="428"/>
      <c r="E708"/>
      <c r="F708" s="457">
        <f t="shared" ca="1" si="596"/>
        <v>97</v>
      </c>
      <c r="G708"/>
      <c r="H708" s="343">
        <f t="shared" si="597"/>
        <v>41717</v>
      </c>
      <c r="I708" s="244"/>
      <c r="J708" s="194"/>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49"/>
      <c r="AY708" s="49"/>
      <c r="AZ708" s="49"/>
      <c r="BA708" s="49"/>
      <c r="BB708" s="49"/>
      <c r="BC708" s="49"/>
      <c r="BD708" s="49"/>
      <c r="BE708" s="49"/>
      <c r="BF708" s="49"/>
      <c r="BG708" s="49"/>
      <c r="BH708" s="49"/>
      <c r="BI708" s="49"/>
      <c r="BJ708" s="49"/>
      <c r="BK708" s="49"/>
      <c r="BL708" s="49"/>
      <c r="BM708" s="49"/>
      <c r="BN708" s="49"/>
      <c r="BO708" s="49"/>
      <c r="BP708" s="49"/>
      <c r="BQ708" s="49"/>
      <c r="BR708" s="49"/>
      <c r="BS708" s="49"/>
      <c r="BT708" s="49"/>
      <c r="BU708" s="49"/>
      <c r="BV708" s="49"/>
      <c r="BW708" s="49"/>
      <c r="BX708" s="49"/>
      <c r="BY708" s="49"/>
      <c r="BZ708" s="49"/>
      <c r="CA708" s="49"/>
      <c r="CB708" s="49"/>
      <c r="CC708" s="49"/>
      <c r="CD708" s="49"/>
      <c r="CE708" s="49"/>
      <c r="CF708" s="49"/>
      <c r="CG708" s="49"/>
      <c r="CH708" s="49"/>
      <c r="CI708" s="49"/>
      <c r="CJ708" s="49"/>
      <c r="CK708" s="49"/>
      <c r="CL708" s="49"/>
      <c r="CM708" s="49"/>
      <c r="CN708" s="49"/>
      <c r="CO708" s="49"/>
      <c r="CP708" s="49"/>
      <c r="CQ708" s="49"/>
      <c r="CR708" s="49"/>
      <c r="CS708" s="49"/>
      <c r="CT708" s="49"/>
      <c r="CU708" s="49"/>
      <c r="CV708" s="49"/>
      <c r="CW708" s="49"/>
      <c r="CX708" s="49"/>
      <c r="CY708" s="49"/>
      <c r="CZ708" s="49"/>
      <c r="DA708" s="49"/>
      <c r="DB708" s="49"/>
      <c r="DC708" s="49"/>
      <c r="DD708" s="49"/>
      <c r="DE708" s="49"/>
      <c r="DF708" s="49"/>
      <c r="DG708" s="49"/>
      <c r="DH708" s="49"/>
      <c r="DI708" s="49"/>
      <c r="DJ708" s="49"/>
      <c r="DK708" s="49"/>
      <c r="DL708" s="49"/>
      <c r="DM708" s="49"/>
      <c r="DN708" s="49"/>
      <c r="DO708" s="49"/>
      <c r="DP708" s="49"/>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c r="IW708"/>
      <c r="IX708"/>
      <c r="IY708"/>
      <c r="IZ708"/>
      <c r="JA708"/>
      <c r="JB708"/>
      <c r="JC708"/>
      <c r="JD708"/>
      <c r="JE708"/>
      <c r="JF708"/>
      <c r="JG708"/>
      <c r="JH708"/>
      <c r="JI708"/>
      <c r="JJ708"/>
      <c r="JK708"/>
      <c r="JL708"/>
      <c r="JM708"/>
      <c r="JN708"/>
      <c r="JO708"/>
      <c r="JP708"/>
      <c r="JQ708"/>
      <c r="JR708"/>
      <c r="JS708"/>
      <c r="JT708"/>
      <c r="JU708"/>
      <c r="JV708"/>
      <c r="JW708"/>
      <c r="JX708"/>
      <c r="JY708"/>
      <c r="JZ708"/>
      <c r="KA708"/>
      <c r="KB708"/>
      <c r="KC708"/>
      <c r="KD708"/>
      <c r="KE708"/>
      <c r="KF708"/>
      <c r="KG708"/>
      <c r="KH708"/>
      <c r="KI708"/>
      <c r="KJ708"/>
      <c r="KK708"/>
      <c r="KL708"/>
      <c r="KM708"/>
      <c r="KN708"/>
      <c r="KO708"/>
      <c r="KP708"/>
      <c r="KQ708"/>
      <c r="KR708"/>
      <c r="KS708"/>
      <c r="KT708"/>
      <c r="KU708"/>
      <c r="KV708"/>
      <c r="KW708"/>
      <c r="KX708"/>
      <c r="KY708"/>
      <c r="KZ708"/>
      <c r="LA708"/>
      <c r="LB708"/>
      <c r="LC708"/>
      <c r="LD708"/>
      <c r="LE708"/>
      <c r="LF708"/>
      <c r="LG708"/>
      <c r="LH708"/>
      <c r="LI708"/>
      <c r="LJ708"/>
      <c r="LK708"/>
      <c r="LL708"/>
      <c r="LM708"/>
      <c r="LN708"/>
      <c r="LO708"/>
      <c r="LP708"/>
      <c r="LQ708"/>
      <c r="LR708"/>
      <c r="LS708"/>
      <c r="LT708"/>
      <c r="LU708"/>
      <c r="LV708"/>
      <c r="LW708"/>
      <c r="LX708"/>
      <c r="LY708"/>
      <c r="LZ708"/>
      <c r="MA708"/>
      <c r="MB708"/>
      <c r="MC708"/>
      <c r="MD708"/>
      <c r="ME708"/>
      <c r="MF708"/>
      <c r="MG708"/>
      <c r="MH708"/>
      <c r="MI708"/>
      <c r="MJ708"/>
      <c r="MK708"/>
      <c r="ML708"/>
      <c r="MM708"/>
      <c r="MN708"/>
      <c r="MO708"/>
      <c r="MP708"/>
      <c r="MQ708"/>
      <c r="MR708"/>
      <c r="MS708"/>
      <c r="MT708"/>
      <c r="MU708"/>
      <c r="MV708"/>
      <c r="MW708"/>
      <c r="MX708"/>
      <c r="MY708"/>
      <c r="MZ708"/>
      <c r="NA708"/>
      <c r="NB708"/>
      <c r="NC708"/>
      <c r="ND708"/>
      <c r="NE708"/>
      <c r="NF708"/>
      <c r="NG708"/>
      <c r="NH708"/>
      <c r="NI708"/>
      <c r="NJ708"/>
      <c r="NK708"/>
      <c r="NL708"/>
      <c r="NM708"/>
      <c r="NN708"/>
      <c r="NO708"/>
      <c r="NP708"/>
      <c r="NQ708"/>
      <c r="NR708"/>
      <c r="NS708"/>
      <c r="NT708"/>
      <c r="NU708"/>
      <c r="NV708"/>
      <c r="NW708"/>
      <c r="NX708"/>
      <c r="NY708"/>
      <c r="NZ708"/>
      <c r="OA708"/>
      <c r="OB708"/>
      <c r="OC708"/>
      <c r="OD708"/>
      <c r="OE708"/>
      <c r="OF708"/>
      <c r="OG708"/>
      <c r="OH708"/>
      <c r="OI708"/>
      <c r="OJ708"/>
      <c r="OK708"/>
      <c r="OL708"/>
      <c r="OM708"/>
      <c r="ON708"/>
      <c r="OO708"/>
      <c r="OP708"/>
      <c r="OQ708"/>
      <c r="OR708"/>
      <c r="OS708"/>
      <c r="OT708"/>
      <c r="OU708"/>
      <c r="OV708"/>
      <c r="OW708"/>
      <c r="OX708"/>
      <c r="OY708"/>
      <c r="OZ708"/>
      <c r="PA708"/>
      <c r="PB708"/>
      <c r="PC708"/>
      <c r="PD708"/>
      <c r="PE708"/>
      <c r="PF708"/>
      <c r="PG708"/>
      <c r="PH708"/>
      <c r="PI708"/>
      <c r="PJ708"/>
      <c r="PK708"/>
      <c r="PL708"/>
      <c r="PM708"/>
      <c r="PN708"/>
      <c r="PO708"/>
      <c r="PP708"/>
      <c r="PQ708"/>
      <c r="PR708"/>
      <c r="PS708"/>
      <c r="PT708"/>
      <c r="PU708"/>
      <c r="PV708"/>
      <c r="PW708"/>
      <c r="PX708"/>
      <c r="PY708"/>
      <c r="PZ708"/>
      <c r="QA708"/>
      <c r="QB708"/>
      <c r="QC708"/>
      <c r="QD708"/>
      <c r="QE708"/>
      <c r="QF708"/>
      <c r="QG708"/>
      <c r="QH708"/>
      <c r="QI708"/>
      <c r="QJ708"/>
      <c r="QK708"/>
      <c r="QL708"/>
      <c r="QM708"/>
      <c r="QN708"/>
      <c r="QO708"/>
      <c r="QP708"/>
      <c r="QQ708"/>
      <c r="QR708"/>
      <c r="QS708"/>
      <c r="QT708"/>
      <c r="QU708"/>
      <c r="QV708"/>
      <c r="QW708"/>
      <c r="QX708"/>
      <c r="QY708"/>
      <c r="QZ708"/>
      <c r="RA708"/>
      <c r="RB708"/>
      <c r="RC708"/>
      <c r="RD708"/>
      <c r="RE708"/>
      <c r="RF708"/>
      <c r="RG708"/>
      <c r="RH708"/>
      <c r="RI708"/>
      <c r="RJ708"/>
      <c r="RK708"/>
      <c r="RL708"/>
      <c r="RM708"/>
      <c r="RN708"/>
      <c r="RO708"/>
      <c r="RP708"/>
      <c r="RQ708"/>
      <c r="RR708"/>
      <c r="RS708"/>
      <c r="RT708"/>
      <c r="RU708"/>
      <c r="RV708"/>
      <c r="RW708"/>
      <c r="RX708"/>
      <c r="RY708"/>
      <c r="RZ708"/>
      <c r="SA708"/>
      <c r="SB708"/>
      <c r="SC708"/>
      <c r="SD708"/>
      <c r="SE708"/>
      <c r="SF708"/>
      <c r="SG708"/>
      <c r="SH708"/>
      <c r="SI708"/>
      <c r="SJ708"/>
      <c r="SK708"/>
      <c r="SL708"/>
      <c r="SM708"/>
      <c r="SN708"/>
      <c r="SO708"/>
      <c r="SP708"/>
      <c r="SQ708"/>
      <c r="SR708"/>
      <c r="SS708"/>
      <c r="ST708"/>
      <c r="SU708"/>
      <c r="SV708"/>
      <c r="SW708"/>
      <c r="SX708"/>
      <c r="SY708"/>
      <c r="SZ708"/>
      <c r="TA708"/>
      <c r="TB708"/>
      <c r="TC708"/>
      <c r="TD708"/>
      <c r="TE708"/>
      <c r="TF708"/>
      <c r="TG708"/>
      <c r="TH708"/>
      <c r="TI708"/>
      <c r="TJ708"/>
      <c r="TK708"/>
      <c r="TL708"/>
      <c r="TM708"/>
      <c r="TN708"/>
      <c r="TO708"/>
      <c r="TP708"/>
      <c r="TQ708"/>
      <c r="TR708"/>
      <c r="TS708"/>
      <c r="TT708"/>
      <c r="TU708"/>
      <c r="TV708"/>
      <c r="TW708"/>
      <c r="TX708"/>
      <c r="TY708"/>
      <c r="TZ708"/>
      <c r="UA708"/>
      <c r="UB708"/>
      <c r="UC708"/>
      <c r="UD708"/>
      <c r="UE708"/>
      <c r="UF708"/>
      <c r="UG708"/>
      <c r="UH708"/>
      <c r="UI708"/>
      <c r="UJ708"/>
      <c r="UK708"/>
      <c r="UL708"/>
      <c r="UM708"/>
      <c r="UN708"/>
      <c r="UO708"/>
      <c r="UP708"/>
      <c r="UQ708"/>
      <c r="UR708"/>
      <c r="US708"/>
      <c r="UT708"/>
      <c r="UU708"/>
      <c r="UV708"/>
      <c r="UW708"/>
      <c r="UX708"/>
      <c r="UY708"/>
      <c r="UZ708"/>
      <c r="VA708"/>
      <c r="VB708"/>
      <c r="VC708"/>
      <c r="VD708"/>
      <c r="VE708"/>
      <c r="VF708"/>
      <c r="VG708"/>
      <c r="VH708"/>
      <c r="VI708"/>
      <c r="VJ708"/>
      <c r="VK708"/>
      <c r="VL708"/>
      <c r="VM708"/>
      <c r="VN708"/>
      <c r="VO708"/>
      <c r="VP708"/>
      <c r="VQ708"/>
      <c r="VR708"/>
      <c r="VS708"/>
      <c r="VT708"/>
      <c r="VU708"/>
      <c r="VV708"/>
      <c r="VW708"/>
      <c r="VX708"/>
      <c r="VY708"/>
      <c r="VZ708"/>
      <c r="WA708"/>
      <c r="WB708"/>
      <c r="WC708"/>
      <c r="WD708"/>
      <c r="WE708"/>
      <c r="WF708"/>
      <c r="WG708"/>
      <c r="WH708"/>
      <c r="WI708"/>
      <c r="WJ708"/>
      <c r="WK708"/>
      <c r="WL708"/>
      <c r="WM708"/>
      <c r="WN708"/>
      <c r="WO708"/>
      <c r="WP708"/>
      <c r="WQ708"/>
      <c r="WR708"/>
      <c r="WS708"/>
      <c r="WT708"/>
      <c r="WU708"/>
      <c r="WV708"/>
      <c r="WW708"/>
      <c r="WX708"/>
      <c r="WY708"/>
      <c r="WZ708"/>
      <c r="XA708"/>
      <c r="XB708"/>
      <c r="XC708"/>
      <c r="XD708"/>
      <c r="XE708"/>
      <c r="XF708"/>
      <c r="XG708"/>
      <c r="XH708"/>
      <c r="XI708"/>
      <c r="XJ708"/>
      <c r="XK708"/>
      <c r="XL708"/>
      <c r="XM708"/>
      <c r="XN708"/>
      <c r="XO708"/>
      <c r="XP708"/>
      <c r="XQ708"/>
      <c r="XR708"/>
      <c r="XS708"/>
      <c r="XT708"/>
      <c r="XU708"/>
      <c r="XV708"/>
      <c r="XW708"/>
      <c r="XX708"/>
      <c r="XY708"/>
      <c r="XZ708"/>
      <c r="YA708"/>
      <c r="YB708"/>
      <c r="YC708"/>
      <c r="YD708"/>
      <c r="YE708"/>
      <c r="YF708"/>
      <c r="YG708"/>
      <c r="YH708"/>
      <c r="YI708"/>
      <c r="YJ708"/>
      <c r="YK708"/>
      <c r="YL708"/>
      <c r="YM708"/>
      <c r="YN708"/>
      <c r="YO708"/>
      <c r="YP708"/>
      <c r="YQ708"/>
      <c r="YR708"/>
      <c r="YS708"/>
      <c r="YT708"/>
      <c r="YU708"/>
      <c r="YV708"/>
      <c r="YW708"/>
      <c r="YX708"/>
      <c r="YY708"/>
      <c r="YZ708"/>
      <c r="ZA708"/>
      <c r="ZB708"/>
      <c r="ZC708"/>
      <c r="ZD708"/>
      <c r="ZE708"/>
      <c r="ZF708"/>
      <c r="ZG708"/>
      <c r="ZH708"/>
      <c r="ZI708"/>
      <c r="ZJ708"/>
      <c r="ZK708"/>
      <c r="ZL708"/>
      <c r="ZM708"/>
      <c r="ZN708"/>
      <c r="ZO708"/>
      <c r="ZP708"/>
      <c r="ZQ708"/>
      <c r="ZR708"/>
      <c r="ZS708"/>
      <c r="ZT708"/>
      <c r="ZU708"/>
      <c r="ZV708"/>
      <c r="ZW708"/>
      <c r="ZX708"/>
      <c r="ZY708"/>
      <c r="ZZ708" s="52"/>
      <c r="AAA708" s="192"/>
      <c r="AAD708" s="90"/>
      <c r="AAE708" s="519">
        <v>1</v>
      </c>
      <c r="AAF708" s="90"/>
      <c r="AAG708" s="94"/>
      <c r="AAH708" s="73">
        <f t="shared" si="598"/>
        <v>41717</v>
      </c>
      <c r="AAI708" s="72"/>
      <c r="AAJ708" s="56"/>
      <c r="AAK708" s="296" t="str">
        <f>"- TABLES.FOR.DIVISION.###.docx (1 .docx per division), etc."</f>
        <v>- TABLES.FOR.DIVISION.###.docx (1 .docx per division), etc.</v>
      </c>
      <c r="AAL708" s="90"/>
    </row>
    <row r="709" spans="1:715" s="23" customFormat="1" ht="15.75" customHeight="1" outlineLevel="1" thickBot="1">
      <c r="A709" s="171"/>
      <c r="B709" s="304" t="str">
        <f t="shared" si="600"/>
        <v>* emails Maggie affirming EQC action and document readiness</v>
      </c>
      <c r="C709" s="376" t="s">
        <v>0</v>
      </c>
      <c r="D709" s="428"/>
      <c r="E709"/>
      <c r="F709" s="457">
        <f t="shared" ref="F709:F714" ca="1" si="601">IF(YEAR(H709)&gt;2000,NETWORKDAYS(TODAY(),H709,S.DDL_DEQClosed),0)</f>
        <v>97</v>
      </c>
      <c r="G709"/>
      <c r="H709" s="343">
        <f t="shared" si="597"/>
        <v>41717</v>
      </c>
      <c r="I709" s="244"/>
      <c r="J709" s="194"/>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49"/>
      <c r="AW709" s="49"/>
      <c r="AX709" s="49"/>
      <c r="AY709" s="49"/>
      <c r="AZ709" s="49"/>
      <c r="BA709" s="49"/>
      <c r="BB709" s="49"/>
      <c r="BC709" s="49"/>
      <c r="BD709" s="49"/>
      <c r="BE709" s="49"/>
      <c r="BF709" s="49"/>
      <c r="BG709" s="49"/>
      <c r="BH709" s="49"/>
      <c r="BI709" s="49"/>
      <c r="BJ709" s="49"/>
      <c r="BK709" s="49"/>
      <c r="BL709" s="49"/>
      <c r="BM709" s="49"/>
      <c r="BN709" s="49"/>
      <c r="BO709" s="49"/>
      <c r="BP709" s="49"/>
      <c r="BQ709" s="49"/>
      <c r="BR709" s="49"/>
      <c r="BS709" s="49"/>
      <c r="BT709" s="49"/>
      <c r="BU709" s="49"/>
      <c r="BV709" s="49"/>
      <c r="BW709" s="49"/>
      <c r="BX709" s="49"/>
      <c r="BY709" s="49"/>
      <c r="BZ709" s="49"/>
      <c r="CA709" s="49"/>
      <c r="CB709" s="49"/>
      <c r="CC709" s="49"/>
      <c r="CD709" s="49"/>
      <c r="CE709" s="49"/>
      <c r="CF709" s="49"/>
      <c r="CG709" s="49"/>
      <c r="CH709" s="49"/>
      <c r="CI709" s="49"/>
      <c r="CJ709" s="49"/>
      <c r="CK709" s="49"/>
      <c r="CL709" s="49"/>
      <c r="CM709" s="49"/>
      <c r="CN709" s="49"/>
      <c r="CO709" s="49"/>
      <c r="CP709" s="49"/>
      <c r="CQ709" s="49"/>
      <c r="CR709" s="49"/>
      <c r="CS709" s="49"/>
      <c r="CT709" s="49"/>
      <c r="CU709" s="49"/>
      <c r="CV709" s="49"/>
      <c r="CW709" s="49"/>
      <c r="CX709" s="49"/>
      <c r="CY709" s="49"/>
      <c r="CZ709" s="49"/>
      <c r="DA709" s="49"/>
      <c r="DB709" s="49"/>
      <c r="DC709" s="49"/>
      <c r="DD709" s="49"/>
      <c r="DE709" s="49"/>
      <c r="DF709" s="49"/>
      <c r="DG709" s="49"/>
      <c r="DH709" s="49"/>
      <c r="DI709" s="49"/>
      <c r="DJ709" s="49"/>
      <c r="DK709" s="49"/>
      <c r="DL709" s="49"/>
      <c r="DM709" s="49"/>
      <c r="DN709" s="49"/>
      <c r="DO709" s="49"/>
      <c r="DP709" s="4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c r="IW709"/>
      <c r="IX709"/>
      <c r="IY709"/>
      <c r="IZ709"/>
      <c r="JA709"/>
      <c r="JB709"/>
      <c r="JC709"/>
      <c r="JD709"/>
      <c r="JE709"/>
      <c r="JF709"/>
      <c r="JG709"/>
      <c r="JH709"/>
      <c r="JI709"/>
      <c r="JJ709"/>
      <c r="JK709"/>
      <c r="JL709"/>
      <c r="JM709"/>
      <c r="JN709"/>
      <c r="JO709"/>
      <c r="JP709"/>
      <c r="JQ709"/>
      <c r="JR709"/>
      <c r="JS709"/>
      <c r="JT709"/>
      <c r="JU709"/>
      <c r="JV709"/>
      <c r="JW709"/>
      <c r="JX709"/>
      <c r="JY709"/>
      <c r="JZ709"/>
      <c r="KA709"/>
      <c r="KB709"/>
      <c r="KC709"/>
      <c r="KD709"/>
      <c r="KE709"/>
      <c r="KF709"/>
      <c r="KG709"/>
      <c r="KH709"/>
      <c r="KI709"/>
      <c r="KJ709"/>
      <c r="KK709"/>
      <c r="KL709"/>
      <c r="KM709"/>
      <c r="KN709"/>
      <c r="KO709"/>
      <c r="KP709"/>
      <c r="KQ709"/>
      <c r="KR709"/>
      <c r="KS709"/>
      <c r="KT709"/>
      <c r="KU709"/>
      <c r="KV709"/>
      <c r="KW709"/>
      <c r="KX709"/>
      <c r="KY709"/>
      <c r="KZ709"/>
      <c r="LA709"/>
      <c r="LB709"/>
      <c r="LC709"/>
      <c r="LD709"/>
      <c r="LE709"/>
      <c r="LF709"/>
      <c r="LG709"/>
      <c r="LH709"/>
      <c r="LI709"/>
      <c r="LJ709"/>
      <c r="LK709"/>
      <c r="LL709"/>
      <c r="LM709"/>
      <c r="LN709"/>
      <c r="LO709"/>
      <c r="LP709"/>
      <c r="LQ709"/>
      <c r="LR709"/>
      <c r="LS709"/>
      <c r="LT709"/>
      <c r="LU709"/>
      <c r="LV709"/>
      <c r="LW709"/>
      <c r="LX709"/>
      <c r="LY709"/>
      <c r="LZ709"/>
      <c r="MA709"/>
      <c r="MB709"/>
      <c r="MC709"/>
      <c r="MD709"/>
      <c r="ME709"/>
      <c r="MF709"/>
      <c r="MG709"/>
      <c r="MH709"/>
      <c r="MI709"/>
      <c r="MJ709"/>
      <c r="MK709"/>
      <c r="ML709"/>
      <c r="MM709"/>
      <c r="MN709"/>
      <c r="MO709"/>
      <c r="MP709"/>
      <c r="MQ709"/>
      <c r="MR709"/>
      <c r="MS709"/>
      <c r="MT709"/>
      <c r="MU709"/>
      <c r="MV709"/>
      <c r="MW709"/>
      <c r="MX709"/>
      <c r="MY709"/>
      <c r="MZ709"/>
      <c r="NA709"/>
      <c r="NB709"/>
      <c r="NC709"/>
      <c r="ND709"/>
      <c r="NE709"/>
      <c r="NF709"/>
      <c r="NG709"/>
      <c r="NH709"/>
      <c r="NI709"/>
      <c r="NJ709"/>
      <c r="NK709"/>
      <c r="NL709"/>
      <c r="NM709"/>
      <c r="NN709"/>
      <c r="NO709"/>
      <c r="NP709"/>
      <c r="NQ709"/>
      <c r="NR709"/>
      <c r="NS709"/>
      <c r="NT709"/>
      <c r="NU709"/>
      <c r="NV709"/>
      <c r="NW709"/>
      <c r="NX709"/>
      <c r="NY709"/>
      <c r="NZ709"/>
      <c r="OA709"/>
      <c r="OB709"/>
      <c r="OC709"/>
      <c r="OD709"/>
      <c r="OE709"/>
      <c r="OF709"/>
      <c r="OG709"/>
      <c r="OH709"/>
      <c r="OI709"/>
      <c r="OJ709"/>
      <c r="OK709"/>
      <c r="OL709"/>
      <c r="OM709"/>
      <c r="ON709"/>
      <c r="OO709"/>
      <c r="OP709"/>
      <c r="OQ709"/>
      <c r="OR709"/>
      <c r="OS709"/>
      <c r="OT709"/>
      <c r="OU709"/>
      <c r="OV709"/>
      <c r="OW709"/>
      <c r="OX709"/>
      <c r="OY709"/>
      <c r="OZ709"/>
      <c r="PA709"/>
      <c r="PB709"/>
      <c r="PC709"/>
      <c r="PD709"/>
      <c r="PE709"/>
      <c r="PF709"/>
      <c r="PG709"/>
      <c r="PH709"/>
      <c r="PI709"/>
      <c r="PJ709"/>
      <c r="PK709"/>
      <c r="PL709"/>
      <c r="PM709"/>
      <c r="PN709"/>
      <c r="PO709"/>
      <c r="PP709"/>
      <c r="PQ709"/>
      <c r="PR709"/>
      <c r="PS709"/>
      <c r="PT709"/>
      <c r="PU709"/>
      <c r="PV709"/>
      <c r="PW709"/>
      <c r="PX709"/>
      <c r="PY709"/>
      <c r="PZ709"/>
      <c r="QA709"/>
      <c r="QB709"/>
      <c r="QC709"/>
      <c r="QD709"/>
      <c r="QE709"/>
      <c r="QF709"/>
      <c r="QG709"/>
      <c r="QH709"/>
      <c r="QI709"/>
      <c r="QJ709"/>
      <c r="QK709"/>
      <c r="QL709"/>
      <c r="QM709"/>
      <c r="QN709"/>
      <c r="QO709"/>
      <c r="QP709"/>
      <c r="QQ709"/>
      <c r="QR709"/>
      <c r="QS709"/>
      <c r="QT709"/>
      <c r="QU709"/>
      <c r="QV709"/>
      <c r="QW709"/>
      <c r="QX709"/>
      <c r="QY709"/>
      <c r="QZ709"/>
      <c r="RA709"/>
      <c r="RB709"/>
      <c r="RC709"/>
      <c r="RD709"/>
      <c r="RE709"/>
      <c r="RF709"/>
      <c r="RG709"/>
      <c r="RH709"/>
      <c r="RI709"/>
      <c r="RJ709"/>
      <c r="RK709"/>
      <c r="RL709"/>
      <c r="RM709"/>
      <c r="RN709"/>
      <c r="RO709"/>
      <c r="RP709"/>
      <c r="RQ709"/>
      <c r="RR709"/>
      <c r="RS709"/>
      <c r="RT709"/>
      <c r="RU709"/>
      <c r="RV709"/>
      <c r="RW709"/>
      <c r="RX709"/>
      <c r="RY709"/>
      <c r="RZ709"/>
      <c r="SA709"/>
      <c r="SB709"/>
      <c r="SC709"/>
      <c r="SD709"/>
      <c r="SE709"/>
      <c r="SF709"/>
      <c r="SG709"/>
      <c r="SH709"/>
      <c r="SI709"/>
      <c r="SJ709"/>
      <c r="SK709"/>
      <c r="SL709"/>
      <c r="SM709"/>
      <c r="SN709"/>
      <c r="SO709"/>
      <c r="SP709"/>
      <c r="SQ709"/>
      <c r="SR709"/>
      <c r="SS709"/>
      <c r="ST709"/>
      <c r="SU709"/>
      <c r="SV709"/>
      <c r="SW709"/>
      <c r="SX709"/>
      <c r="SY709"/>
      <c r="SZ709"/>
      <c r="TA709"/>
      <c r="TB709"/>
      <c r="TC709"/>
      <c r="TD709"/>
      <c r="TE709"/>
      <c r="TF709"/>
      <c r="TG709"/>
      <c r="TH709"/>
      <c r="TI709"/>
      <c r="TJ709"/>
      <c r="TK709"/>
      <c r="TL709"/>
      <c r="TM709"/>
      <c r="TN709"/>
      <c r="TO709"/>
      <c r="TP709"/>
      <c r="TQ709"/>
      <c r="TR709"/>
      <c r="TS709"/>
      <c r="TT709"/>
      <c r="TU709"/>
      <c r="TV709"/>
      <c r="TW709"/>
      <c r="TX709"/>
      <c r="TY709"/>
      <c r="TZ709"/>
      <c r="UA709"/>
      <c r="UB709"/>
      <c r="UC709"/>
      <c r="UD709"/>
      <c r="UE709"/>
      <c r="UF709"/>
      <c r="UG709"/>
      <c r="UH709"/>
      <c r="UI709"/>
      <c r="UJ709"/>
      <c r="UK709"/>
      <c r="UL709"/>
      <c r="UM709"/>
      <c r="UN709"/>
      <c r="UO709"/>
      <c r="UP709"/>
      <c r="UQ709"/>
      <c r="UR709"/>
      <c r="US709"/>
      <c r="UT709"/>
      <c r="UU709"/>
      <c r="UV709"/>
      <c r="UW709"/>
      <c r="UX709"/>
      <c r="UY709"/>
      <c r="UZ709"/>
      <c r="VA709"/>
      <c r="VB709"/>
      <c r="VC709"/>
      <c r="VD709"/>
      <c r="VE709"/>
      <c r="VF709"/>
      <c r="VG709"/>
      <c r="VH709"/>
      <c r="VI709"/>
      <c r="VJ709"/>
      <c r="VK709"/>
      <c r="VL709"/>
      <c r="VM709"/>
      <c r="VN709"/>
      <c r="VO709"/>
      <c r="VP709"/>
      <c r="VQ709"/>
      <c r="VR709"/>
      <c r="VS709"/>
      <c r="VT709"/>
      <c r="VU709"/>
      <c r="VV709"/>
      <c r="VW709"/>
      <c r="VX709"/>
      <c r="VY709"/>
      <c r="VZ709"/>
      <c r="WA709"/>
      <c r="WB709"/>
      <c r="WC709"/>
      <c r="WD709"/>
      <c r="WE709"/>
      <c r="WF709"/>
      <c r="WG709"/>
      <c r="WH709"/>
      <c r="WI709"/>
      <c r="WJ709"/>
      <c r="WK709"/>
      <c r="WL709"/>
      <c r="WM709"/>
      <c r="WN709"/>
      <c r="WO709"/>
      <c r="WP709"/>
      <c r="WQ709"/>
      <c r="WR709"/>
      <c r="WS709"/>
      <c r="WT709"/>
      <c r="WU709"/>
      <c r="WV709"/>
      <c r="WW709"/>
      <c r="WX709"/>
      <c r="WY709"/>
      <c r="WZ709"/>
      <c r="XA709"/>
      <c r="XB709"/>
      <c r="XC709"/>
      <c r="XD709"/>
      <c r="XE709"/>
      <c r="XF709"/>
      <c r="XG709"/>
      <c r="XH709"/>
      <c r="XI709"/>
      <c r="XJ709"/>
      <c r="XK709"/>
      <c r="XL709"/>
      <c r="XM709"/>
      <c r="XN709"/>
      <c r="XO709"/>
      <c r="XP709"/>
      <c r="XQ709"/>
      <c r="XR709"/>
      <c r="XS709"/>
      <c r="XT709"/>
      <c r="XU709"/>
      <c r="XV709"/>
      <c r="XW709"/>
      <c r="XX709"/>
      <c r="XY709"/>
      <c r="XZ709"/>
      <c r="YA709"/>
      <c r="YB709"/>
      <c r="YC709"/>
      <c r="YD709"/>
      <c r="YE709"/>
      <c r="YF709"/>
      <c r="YG709"/>
      <c r="YH709"/>
      <c r="YI709"/>
      <c r="YJ709"/>
      <c r="YK709"/>
      <c r="YL709"/>
      <c r="YM709"/>
      <c r="YN709"/>
      <c r="YO709"/>
      <c r="YP709"/>
      <c r="YQ709"/>
      <c r="YR709"/>
      <c r="YS709"/>
      <c r="YT709"/>
      <c r="YU709"/>
      <c r="YV709"/>
      <c r="YW709"/>
      <c r="YX709"/>
      <c r="YY709"/>
      <c r="YZ709"/>
      <c r="ZA709"/>
      <c r="ZB709"/>
      <c r="ZC709"/>
      <c r="ZD709"/>
      <c r="ZE709"/>
      <c r="ZF709"/>
      <c r="ZG709"/>
      <c r="ZH709"/>
      <c r="ZI709"/>
      <c r="ZJ709"/>
      <c r="ZK709"/>
      <c r="ZL709"/>
      <c r="ZM709"/>
      <c r="ZN709"/>
      <c r="ZO709"/>
      <c r="ZP709"/>
      <c r="ZQ709"/>
      <c r="ZR709"/>
      <c r="ZS709"/>
      <c r="ZT709"/>
      <c r="ZU709"/>
      <c r="ZV709"/>
      <c r="ZW709"/>
      <c r="ZX709"/>
      <c r="ZY709"/>
      <c r="ZZ709" s="52"/>
      <c r="AAA709" s="192"/>
      <c r="AAD709" s="90"/>
      <c r="AAE709" s="519">
        <v>1</v>
      </c>
      <c r="AAF709" s="90"/>
      <c r="AAG709" s="94"/>
      <c r="AAH709" s="73">
        <f t="shared" si="598"/>
        <v>41717</v>
      </c>
      <c r="AAI709" s="72"/>
      <c r="AAJ709" s="56"/>
      <c r="AAK709" s="298" t="str">
        <f>"* emails "&amp;S.Staff.AgencyRulesCoordinator&amp;" affirming EQC action and document readiness"</f>
        <v>* emails Maggie affirming EQC action and document readiness</v>
      </c>
      <c r="AAL709" s="90"/>
    </row>
    <row r="710" spans="1:715" ht="15.75" customHeight="1" outlineLevel="1" thickBot="1">
      <c r="A710" s="171"/>
      <c r="B710" s="363" t="s">
        <v>304</v>
      </c>
      <c r="C710" s="377" t="s">
        <v>17</v>
      </c>
      <c r="D710" s="431"/>
      <c r="E710"/>
      <c r="F710" s="457">
        <f t="shared" ca="1" si="601"/>
        <v>97</v>
      </c>
      <c r="G710"/>
      <c r="H710" s="343">
        <f t="shared" ref="H710:H714" si="602">AAH710</f>
        <v>41717</v>
      </c>
      <c r="I710" s="244"/>
      <c r="J710" s="194"/>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49"/>
      <c r="AW710" s="49"/>
      <c r="AX710" s="49"/>
      <c r="AY710" s="49"/>
      <c r="AZ710" s="49"/>
      <c r="BA710" s="49"/>
      <c r="BB710" s="49"/>
      <c r="BC710" s="49"/>
      <c r="BD710" s="49"/>
      <c r="BE710" s="49"/>
      <c r="BF710" s="49"/>
      <c r="BG710" s="49"/>
      <c r="BH710" s="49"/>
      <c r="BI710" s="49"/>
      <c r="BJ710" s="49"/>
      <c r="BK710" s="49"/>
      <c r="BL710" s="49"/>
      <c r="BM710" s="49"/>
      <c r="BN710" s="49"/>
      <c r="BO710" s="49"/>
      <c r="BP710" s="49"/>
      <c r="BQ710" s="49"/>
      <c r="BR710" s="49"/>
      <c r="BS710" s="49"/>
      <c r="BT710" s="49"/>
      <c r="BU710" s="49"/>
      <c r="BV710" s="49"/>
      <c r="BW710" s="49"/>
      <c r="BX710" s="49"/>
      <c r="BY710" s="49"/>
      <c r="BZ710" s="49"/>
      <c r="CA710" s="49"/>
      <c r="CB710" s="49"/>
      <c r="CC710" s="49"/>
      <c r="CD710" s="49"/>
      <c r="CE710" s="49"/>
      <c r="CF710" s="49"/>
      <c r="CG710" s="49"/>
      <c r="CH710" s="49"/>
      <c r="CI710" s="49"/>
      <c r="CJ710" s="49"/>
      <c r="CK710" s="49"/>
      <c r="CL710" s="49"/>
      <c r="CM710" s="49"/>
      <c r="CN710" s="49"/>
      <c r="CO710" s="49"/>
      <c r="CP710" s="49"/>
      <c r="CQ710" s="49"/>
      <c r="CR710" s="49"/>
      <c r="CS710" s="49"/>
      <c r="CT710" s="49"/>
      <c r="CU710" s="49"/>
      <c r="CV710" s="49"/>
      <c r="CW710" s="49"/>
      <c r="CX710" s="49"/>
      <c r="CY710" s="49"/>
      <c r="CZ710" s="49"/>
      <c r="DA710" s="49"/>
      <c r="DB710" s="49"/>
      <c r="DC710" s="49"/>
      <c r="DD710" s="49"/>
      <c r="DE710" s="49"/>
      <c r="DF710" s="49"/>
      <c r="DG710" s="49"/>
      <c r="DH710" s="49"/>
      <c r="DI710" s="49"/>
      <c r="DJ710" s="49"/>
      <c r="DK710" s="49"/>
      <c r="DL710" s="49"/>
      <c r="DM710" s="49"/>
      <c r="DN710" s="49"/>
      <c r="DO710" s="49"/>
      <c r="DP710" s="49"/>
      <c r="AAA710" s="192"/>
      <c r="AAD710" s="90"/>
      <c r="AAE710" s="519">
        <f>IF(S.PostEQC.NotifyStakeholders="N",,1)</f>
        <v>1</v>
      </c>
      <c r="AAF710" s="90" t="s">
        <v>0</v>
      </c>
      <c r="AAG710" s="94"/>
      <c r="AAH710" s="73">
        <f t="shared" si="598"/>
        <v>41717</v>
      </c>
      <c r="AAI710" s="72"/>
      <c r="AAJ710" s="72"/>
      <c r="AAK710" s="57" t="s">
        <v>0</v>
      </c>
      <c r="AAL710" s="90"/>
      <c r="AAM710"/>
    </row>
    <row r="711" spans="1:715" s="23" customFormat="1" ht="15.75" customHeight="1" outlineLevel="1">
      <c r="A711" s="171"/>
      <c r="B711" s="363" t="str">
        <f>AAK711</f>
        <v>* coordinates EPA.SIP.SUBMITAL with AndreaSIP</v>
      </c>
      <c r="C711" s="376" t="s">
        <v>0</v>
      </c>
      <c r="D711" s="380"/>
      <c r="E711"/>
      <c r="F711" s="457">
        <f t="shared" ca="1" si="601"/>
        <v>97</v>
      </c>
      <c r="G711"/>
      <c r="H711" s="343">
        <f t="shared" ref="H711" si="603">AAH711</f>
        <v>41717</v>
      </c>
      <c r="I711" s="244"/>
      <c r="J711" s="194"/>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49"/>
      <c r="AW711" s="49"/>
      <c r="AX711" s="49"/>
      <c r="AY711" s="49"/>
      <c r="AZ711" s="49"/>
      <c r="BA711" s="49"/>
      <c r="BB711" s="49"/>
      <c r="BC711" s="49"/>
      <c r="BD711" s="49"/>
      <c r="BE711" s="49"/>
      <c r="BF711" s="49"/>
      <c r="BG711" s="49"/>
      <c r="BH711" s="49"/>
      <c r="BI711" s="49"/>
      <c r="BJ711" s="49"/>
      <c r="BK711" s="49"/>
      <c r="BL711" s="49"/>
      <c r="BM711" s="49"/>
      <c r="BN711" s="49"/>
      <c r="BO711" s="49"/>
      <c r="BP711" s="49"/>
      <c r="BQ711" s="49"/>
      <c r="BR711" s="49"/>
      <c r="BS711" s="49"/>
      <c r="BT711" s="49"/>
      <c r="BU711" s="49"/>
      <c r="BV711" s="49"/>
      <c r="BW711" s="49"/>
      <c r="BX711" s="49"/>
      <c r="BY711" s="49"/>
      <c r="BZ711" s="49"/>
      <c r="CA711" s="49"/>
      <c r="CB711" s="49"/>
      <c r="CC711" s="49"/>
      <c r="CD711" s="49"/>
      <c r="CE711" s="49"/>
      <c r="CF711" s="49"/>
      <c r="CG711" s="49"/>
      <c r="CH711" s="49"/>
      <c r="CI711" s="49"/>
      <c r="CJ711" s="49"/>
      <c r="CK711" s="49"/>
      <c r="CL711" s="49"/>
      <c r="CM711" s="49"/>
      <c r="CN711" s="49"/>
      <c r="CO711" s="49"/>
      <c r="CP711" s="49"/>
      <c r="CQ711" s="49"/>
      <c r="CR711" s="49"/>
      <c r="CS711" s="49"/>
      <c r="CT711" s="49"/>
      <c r="CU711" s="49"/>
      <c r="CV711" s="49"/>
      <c r="CW711" s="49"/>
      <c r="CX711" s="49"/>
      <c r="CY711" s="49"/>
      <c r="CZ711" s="49"/>
      <c r="DA711" s="49"/>
      <c r="DB711" s="49"/>
      <c r="DC711" s="49"/>
      <c r="DD711" s="49"/>
      <c r="DE711" s="49"/>
      <c r="DF711" s="49"/>
      <c r="DG711" s="49"/>
      <c r="DH711" s="49"/>
      <c r="DI711" s="49"/>
      <c r="DJ711" s="49"/>
      <c r="DK711" s="49"/>
      <c r="DL711" s="49"/>
      <c r="DM711" s="49"/>
      <c r="DN711" s="49"/>
      <c r="DO711" s="49"/>
      <c r="DP711" s="49"/>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c r="IW711"/>
      <c r="IX711"/>
      <c r="IY711"/>
      <c r="IZ711"/>
      <c r="JA711"/>
      <c r="JB711"/>
      <c r="JC711"/>
      <c r="JD711"/>
      <c r="JE711"/>
      <c r="JF711"/>
      <c r="JG711"/>
      <c r="JH711"/>
      <c r="JI711"/>
      <c r="JJ711"/>
      <c r="JK711"/>
      <c r="JL711"/>
      <c r="JM711"/>
      <c r="JN711"/>
      <c r="JO711"/>
      <c r="JP711"/>
      <c r="JQ711"/>
      <c r="JR711"/>
      <c r="JS711"/>
      <c r="JT711"/>
      <c r="JU711"/>
      <c r="JV711"/>
      <c r="JW711"/>
      <c r="JX711"/>
      <c r="JY711"/>
      <c r="JZ711"/>
      <c r="KA711"/>
      <c r="KB711"/>
      <c r="KC711"/>
      <c r="KD711"/>
      <c r="KE711"/>
      <c r="KF711"/>
      <c r="KG711"/>
      <c r="KH711"/>
      <c r="KI711"/>
      <c r="KJ711"/>
      <c r="KK711"/>
      <c r="KL711"/>
      <c r="KM711"/>
      <c r="KN711"/>
      <c r="KO711"/>
      <c r="KP711"/>
      <c r="KQ711"/>
      <c r="KR711"/>
      <c r="KS711"/>
      <c r="KT711"/>
      <c r="KU711"/>
      <c r="KV711"/>
      <c r="KW711"/>
      <c r="KX711"/>
      <c r="KY711"/>
      <c r="KZ711"/>
      <c r="LA711"/>
      <c r="LB711"/>
      <c r="LC711"/>
      <c r="LD711"/>
      <c r="LE711"/>
      <c r="LF711"/>
      <c r="LG711"/>
      <c r="LH711"/>
      <c r="LI711"/>
      <c r="LJ711"/>
      <c r="LK711"/>
      <c r="LL711"/>
      <c r="LM711"/>
      <c r="LN711"/>
      <c r="LO711"/>
      <c r="LP711"/>
      <c r="LQ711"/>
      <c r="LR711"/>
      <c r="LS711"/>
      <c r="LT711"/>
      <c r="LU711"/>
      <c r="LV711"/>
      <c r="LW711"/>
      <c r="LX711"/>
      <c r="LY711"/>
      <c r="LZ711"/>
      <c r="MA711"/>
      <c r="MB711"/>
      <c r="MC711"/>
      <c r="MD711"/>
      <c r="ME711"/>
      <c r="MF711"/>
      <c r="MG711"/>
      <c r="MH711"/>
      <c r="MI711"/>
      <c r="MJ711"/>
      <c r="MK711"/>
      <c r="ML711"/>
      <c r="MM711"/>
      <c r="MN711"/>
      <c r="MO711"/>
      <c r="MP711"/>
      <c r="MQ711"/>
      <c r="MR711"/>
      <c r="MS711"/>
      <c r="MT711"/>
      <c r="MU711"/>
      <c r="MV711"/>
      <c r="MW711"/>
      <c r="MX711"/>
      <c r="MY711"/>
      <c r="MZ711"/>
      <c r="NA711"/>
      <c r="NB711"/>
      <c r="NC711"/>
      <c r="ND711"/>
      <c r="NE711"/>
      <c r="NF711"/>
      <c r="NG711"/>
      <c r="NH711"/>
      <c r="NI711"/>
      <c r="NJ711"/>
      <c r="NK711"/>
      <c r="NL711"/>
      <c r="NM711"/>
      <c r="NN711"/>
      <c r="NO711"/>
      <c r="NP711"/>
      <c r="NQ711"/>
      <c r="NR711"/>
      <c r="NS711"/>
      <c r="NT711"/>
      <c r="NU711"/>
      <c r="NV711"/>
      <c r="NW711"/>
      <c r="NX711"/>
      <c r="NY711"/>
      <c r="NZ711"/>
      <c r="OA711"/>
      <c r="OB711"/>
      <c r="OC711"/>
      <c r="OD711"/>
      <c r="OE711"/>
      <c r="OF711"/>
      <c r="OG711"/>
      <c r="OH711"/>
      <c r="OI711"/>
      <c r="OJ711"/>
      <c r="OK711"/>
      <c r="OL711"/>
      <c r="OM711"/>
      <c r="ON711"/>
      <c r="OO711"/>
      <c r="OP711"/>
      <c r="OQ711"/>
      <c r="OR711"/>
      <c r="OS711"/>
      <c r="OT711"/>
      <c r="OU711"/>
      <c r="OV711"/>
      <c r="OW711"/>
      <c r="OX711"/>
      <c r="OY711"/>
      <c r="OZ711"/>
      <c r="PA711"/>
      <c r="PB711"/>
      <c r="PC711"/>
      <c r="PD711"/>
      <c r="PE711"/>
      <c r="PF711"/>
      <c r="PG711"/>
      <c r="PH711"/>
      <c r="PI711"/>
      <c r="PJ711"/>
      <c r="PK711"/>
      <c r="PL711"/>
      <c r="PM711"/>
      <c r="PN711"/>
      <c r="PO711"/>
      <c r="PP711"/>
      <c r="PQ711"/>
      <c r="PR711"/>
      <c r="PS711"/>
      <c r="PT711"/>
      <c r="PU711"/>
      <c r="PV711"/>
      <c r="PW711"/>
      <c r="PX711"/>
      <c r="PY711"/>
      <c r="PZ711"/>
      <c r="QA711"/>
      <c r="QB711"/>
      <c r="QC711"/>
      <c r="QD711"/>
      <c r="QE711"/>
      <c r="QF711"/>
      <c r="QG711"/>
      <c r="QH711"/>
      <c r="QI711"/>
      <c r="QJ711"/>
      <c r="QK711"/>
      <c r="QL711"/>
      <c r="QM711"/>
      <c r="QN711"/>
      <c r="QO711"/>
      <c r="QP711"/>
      <c r="QQ711"/>
      <c r="QR711"/>
      <c r="QS711"/>
      <c r="QT711"/>
      <c r="QU711"/>
      <c r="QV711"/>
      <c r="QW711"/>
      <c r="QX711"/>
      <c r="QY711"/>
      <c r="QZ711"/>
      <c r="RA711"/>
      <c r="RB711"/>
      <c r="RC711"/>
      <c r="RD711"/>
      <c r="RE711"/>
      <c r="RF711"/>
      <c r="RG711"/>
      <c r="RH711"/>
      <c r="RI711"/>
      <c r="RJ711"/>
      <c r="RK711"/>
      <c r="RL711"/>
      <c r="RM711"/>
      <c r="RN711"/>
      <c r="RO711"/>
      <c r="RP711"/>
      <c r="RQ711"/>
      <c r="RR711"/>
      <c r="RS711"/>
      <c r="RT711"/>
      <c r="RU711"/>
      <c r="RV711"/>
      <c r="RW711"/>
      <c r="RX711"/>
      <c r="RY711"/>
      <c r="RZ711"/>
      <c r="SA711"/>
      <c r="SB711"/>
      <c r="SC711"/>
      <c r="SD711"/>
      <c r="SE711"/>
      <c r="SF711"/>
      <c r="SG711"/>
      <c r="SH711"/>
      <c r="SI711"/>
      <c r="SJ711"/>
      <c r="SK711"/>
      <c r="SL711"/>
      <c r="SM711"/>
      <c r="SN711"/>
      <c r="SO711"/>
      <c r="SP711"/>
      <c r="SQ711"/>
      <c r="SR711"/>
      <c r="SS711"/>
      <c r="ST711"/>
      <c r="SU711"/>
      <c r="SV711"/>
      <c r="SW711"/>
      <c r="SX711"/>
      <c r="SY711"/>
      <c r="SZ711"/>
      <c r="TA711"/>
      <c r="TB711"/>
      <c r="TC711"/>
      <c r="TD711"/>
      <c r="TE711"/>
      <c r="TF711"/>
      <c r="TG711"/>
      <c r="TH711"/>
      <c r="TI711"/>
      <c r="TJ711"/>
      <c r="TK711"/>
      <c r="TL711"/>
      <c r="TM711"/>
      <c r="TN711"/>
      <c r="TO711"/>
      <c r="TP711"/>
      <c r="TQ711"/>
      <c r="TR711"/>
      <c r="TS711"/>
      <c r="TT711"/>
      <c r="TU711"/>
      <c r="TV711"/>
      <c r="TW711"/>
      <c r="TX711"/>
      <c r="TY711"/>
      <c r="TZ711"/>
      <c r="UA711"/>
      <c r="UB711"/>
      <c r="UC711"/>
      <c r="UD711"/>
      <c r="UE711"/>
      <c r="UF711"/>
      <c r="UG711"/>
      <c r="UH711"/>
      <c r="UI711"/>
      <c r="UJ711"/>
      <c r="UK711"/>
      <c r="UL711"/>
      <c r="UM711"/>
      <c r="UN711"/>
      <c r="UO711"/>
      <c r="UP711"/>
      <c r="UQ711"/>
      <c r="UR711"/>
      <c r="US711"/>
      <c r="UT711"/>
      <c r="UU711"/>
      <c r="UV711"/>
      <c r="UW711"/>
      <c r="UX711"/>
      <c r="UY711"/>
      <c r="UZ711"/>
      <c r="VA711"/>
      <c r="VB711"/>
      <c r="VC711"/>
      <c r="VD711"/>
      <c r="VE711"/>
      <c r="VF711"/>
      <c r="VG711"/>
      <c r="VH711"/>
      <c r="VI711"/>
      <c r="VJ711"/>
      <c r="VK711"/>
      <c r="VL711"/>
      <c r="VM711"/>
      <c r="VN711"/>
      <c r="VO711"/>
      <c r="VP711"/>
      <c r="VQ711"/>
      <c r="VR711"/>
      <c r="VS711"/>
      <c r="VT711"/>
      <c r="VU711"/>
      <c r="VV711"/>
      <c r="VW711"/>
      <c r="VX711"/>
      <c r="VY711"/>
      <c r="VZ711"/>
      <c r="WA711"/>
      <c r="WB711"/>
      <c r="WC711"/>
      <c r="WD711"/>
      <c r="WE711"/>
      <c r="WF711"/>
      <c r="WG711"/>
      <c r="WH711"/>
      <c r="WI711"/>
      <c r="WJ711"/>
      <c r="WK711"/>
      <c r="WL711"/>
      <c r="WM711"/>
      <c r="WN711"/>
      <c r="WO711"/>
      <c r="WP711"/>
      <c r="WQ711"/>
      <c r="WR711"/>
      <c r="WS711"/>
      <c r="WT711"/>
      <c r="WU711"/>
      <c r="WV711"/>
      <c r="WW711"/>
      <c r="WX711"/>
      <c r="WY711"/>
      <c r="WZ711"/>
      <c r="XA711"/>
      <c r="XB711"/>
      <c r="XC711"/>
      <c r="XD711"/>
      <c r="XE711"/>
      <c r="XF711"/>
      <c r="XG711"/>
      <c r="XH711"/>
      <c r="XI711"/>
      <c r="XJ711"/>
      <c r="XK711"/>
      <c r="XL711"/>
      <c r="XM711"/>
      <c r="XN711"/>
      <c r="XO711"/>
      <c r="XP711"/>
      <c r="XQ711"/>
      <c r="XR711"/>
      <c r="XS711"/>
      <c r="XT711"/>
      <c r="XU711"/>
      <c r="XV711"/>
      <c r="XW711"/>
      <c r="XX711"/>
      <c r="XY711"/>
      <c r="XZ711"/>
      <c r="YA711"/>
      <c r="YB711"/>
      <c r="YC711"/>
      <c r="YD711"/>
      <c r="YE711"/>
      <c r="YF711"/>
      <c r="YG711"/>
      <c r="YH711"/>
      <c r="YI711"/>
      <c r="YJ711"/>
      <c r="YK711"/>
      <c r="YL711"/>
      <c r="YM711"/>
      <c r="YN711"/>
      <c r="YO711"/>
      <c r="YP711"/>
      <c r="YQ711"/>
      <c r="YR711"/>
      <c r="YS711"/>
      <c r="YT711"/>
      <c r="YU711"/>
      <c r="YV711"/>
      <c r="YW711"/>
      <c r="YX711"/>
      <c r="YY711"/>
      <c r="YZ711"/>
      <c r="ZA711"/>
      <c r="ZB711"/>
      <c r="ZC711"/>
      <c r="ZD711"/>
      <c r="ZE711"/>
      <c r="ZF711"/>
      <c r="ZG711"/>
      <c r="ZH711"/>
      <c r="ZI711"/>
      <c r="ZJ711"/>
      <c r="ZK711"/>
      <c r="ZL711"/>
      <c r="ZM711"/>
      <c r="ZN711"/>
      <c r="ZO711"/>
      <c r="ZP711"/>
      <c r="ZQ711"/>
      <c r="ZR711"/>
      <c r="ZS711"/>
      <c r="ZT711"/>
      <c r="ZU711"/>
      <c r="ZV711"/>
      <c r="ZW711"/>
      <c r="ZX711"/>
      <c r="ZY711"/>
      <c r="ZZ711" s="52"/>
      <c r="AAA711" s="192"/>
      <c r="AAB711"/>
      <c r="AAC711"/>
      <c r="AAD711" s="90"/>
      <c r="AAE711" s="520">
        <f>IF(S.SIP.Involved="Y",1,0)</f>
        <v>1</v>
      </c>
      <c r="AAF711" s="90"/>
      <c r="AAG711" s="94"/>
      <c r="AAH711" s="73">
        <f t="shared" si="598"/>
        <v>41717</v>
      </c>
      <c r="AAI711" s="72"/>
      <c r="AAJ711" s="72"/>
      <c r="AAK711" s="80" t="str">
        <f>"* coordinates EPA.SIP.SUBMITAL with "&amp;S.Staff.SIPCo</f>
        <v>* coordinates EPA.SIP.SUBMITAL with AndreaSIP</v>
      </c>
      <c r="AAL711" s="90"/>
    </row>
    <row r="712" spans="1:715" ht="15.75" customHeight="1" outlineLevel="1">
      <c r="A712" s="171"/>
      <c r="B712" s="304" t="str">
        <f>AAK712</f>
        <v>* coordinates AC.THANK.YOU email or letter with MargaretMGR</v>
      </c>
      <c r="C712" s="786" t="str">
        <f>HYPERLINK("\\deqhq1\Rule_Resources\i\AC.THANK.YOU.docx","i")</f>
        <v>i</v>
      </c>
      <c r="D712" s="610"/>
      <c r="E712"/>
      <c r="F712" s="457">
        <f t="shared" ca="1" si="601"/>
        <v>97</v>
      </c>
      <c r="G712"/>
      <c r="H712" s="343">
        <f t="shared" si="602"/>
        <v>41717</v>
      </c>
      <c r="I712" s="244"/>
      <c r="J712" s="194"/>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49"/>
      <c r="AW712" s="49"/>
      <c r="AX712" s="49"/>
      <c r="AY712" s="49"/>
      <c r="AZ712" s="49"/>
      <c r="BA712" s="49"/>
      <c r="BB712" s="49"/>
      <c r="BC712" s="49"/>
      <c r="BD712" s="49"/>
      <c r="BE712" s="49"/>
      <c r="BF712" s="49"/>
      <c r="BG712" s="49"/>
      <c r="BH712" s="49"/>
      <c r="BI712" s="49"/>
      <c r="BJ712" s="49"/>
      <c r="BK712" s="49"/>
      <c r="BL712" s="49"/>
      <c r="BM712" s="49"/>
      <c r="BN712" s="49"/>
      <c r="BO712" s="49"/>
      <c r="BP712" s="49"/>
      <c r="BQ712" s="49"/>
      <c r="BR712" s="49"/>
      <c r="BS712" s="49"/>
      <c r="BT712" s="49"/>
      <c r="BU712" s="49"/>
      <c r="BV712" s="49"/>
      <c r="BW712" s="49"/>
      <c r="BX712" s="49"/>
      <c r="BY712" s="49"/>
      <c r="BZ712" s="49"/>
      <c r="CA712" s="49"/>
      <c r="CB712" s="49"/>
      <c r="CC712" s="49"/>
      <c r="CD712" s="49"/>
      <c r="CE712" s="49"/>
      <c r="CF712" s="49"/>
      <c r="CG712" s="49"/>
      <c r="CH712" s="49"/>
      <c r="CI712" s="49"/>
      <c r="CJ712" s="49"/>
      <c r="CK712" s="49"/>
      <c r="CL712" s="49"/>
      <c r="CM712" s="49"/>
      <c r="CN712" s="49"/>
      <c r="CO712" s="49"/>
      <c r="CP712" s="49"/>
      <c r="CQ712" s="49"/>
      <c r="CR712" s="49"/>
      <c r="CS712" s="49"/>
      <c r="CT712" s="49"/>
      <c r="CU712" s="49"/>
      <c r="CV712" s="49"/>
      <c r="CW712" s="49"/>
      <c r="CX712" s="49"/>
      <c r="CY712" s="49"/>
      <c r="CZ712" s="49"/>
      <c r="DA712" s="49"/>
      <c r="DB712" s="49"/>
      <c r="DC712" s="49"/>
      <c r="DD712" s="49"/>
      <c r="DE712" s="49"/>
      <c r="DF712" s="49"/>
      <c r="DG712" s="49"/>
      <c r="DH712" s="49"/>
      <c r="DI712" s="49"/>
      <c r="DJ712" s="49"/>
      <c r="DK712" s="49"/>
      <c r="DL712" s="49"/>
      <c r="DM712" s="49"/>
      <c r="DN712" s="49"/>
      <c r="DO712" s="49"/>
      <c r="DP712" s="49"/>
      <c r="AAA712" s="192"/>
      <c r="AAD712" s="90"/>
      <c r="AAE712" s="519">
        <f>IF(S.AC.CommitteeInvolved="Y",1,0)</f>
        <v>0</v>
      </c>
      <c r="AAF712" s="90"/>
      <c r="AAG712" s="94"/>
      <c r="AAH712" s="73">
        <f t="shared" si="598"/>
        <v>41717</v>
      </c>
      <c r="AAI712" s="72"/>
      <c r="AAJ712" s="72"/>
      <c r="AAK712" s="80" t="str">
        <f>"* coordinates AC.THANK.YOU email or letter with "&amp;S.Staff.Mgr</f>
        <v>* coordinates AC.THANK.YOU email or letter with MargaretMGR</v>
      </c>
      <c r="AAL712" s="90"/>
      <c r="AAM712"/>
    </row>
    <row r="713" spans="1:715" ht="15.75" customHeight="1" outlineLevel="1">
      <c r="A713" s="171"/>
      <c r="B713" s="304" t="str">
        <f>AAK713</f>
        <v>* coordinates AC.SURVEY with MargaretMGR</v>
      </c>
      <c r="C713" s="785" t="str">
        <f>HYPERLINK("\\deqhq1\Rule_Resources\i\AC.SURVEY.docx","i")</f>
        <v>i</v>
      </c>
      <c r="D713" s="380"/>
      <c r="E713"/>
      <c r="F713" s="457">
        <f t="shared" ca="1" si="601"/>
        <v>97</v>
      </c>
      <c r="G713"/>
      <c r="H713" s="343">
        <f t="shared" si="602"/>
        <v>41717</v>
      </c>
      <c r="I713" s="244"/>
      <c r="J713" s="194"/>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49"/>
      <c r="AW713" s="49"/>
      <c r="AX713" s="49"/>
      <c r="AY713" s="49"/>
      <c r="AZ713" s="49"/>
      <c r="BA713" s="49"/>
      <c r="BB713" s="49"/>
      <c r="BC713" s="49"/>
      <c r="BD713" s="49"/>
      <c r="BE713" s="49"/>
      <c r="BF713" s="49"/>
      <c r="BG713" s="49"/>
      <c r="BH713" s="49"/>
      <c r="BI713" s="49"/>
      <c r="BJ713" s="49"/>
      <c r="BK713" s="49"/>
      <c r="BL713" s="49"/>
      <c r="BM713" s="49"/>
      <c r="BN713" s="49"/>
      <c r="BO713" s="49"/>
      <c r="BP713" s="49"/>
      <c r="BQ713" s="49"/>
      <c r="BR713" s="49"/>
      <c r="BS713" s="49"/>
      <c r="BT713" s="49"/>
      <c r="BU713" s="49"/>
      <c r="BV713" s="49"/>
      <c r="BW713" s="49"/>
      <c r="BX713" s="49"/>
      <c r="BY713" s="49"/>
      <c r="BZ713" s="49"/>
      <c r="CA713" s="49"/>
      <c r="CB713" s="49"/>
      <c r="CC713" s="49"/>
      <c r="CD713" s="49"/>
      <c r="CE713" s="49"/>
      <c r="CF713" s="49"/>
      <c r="CG713" s="49"/>
      <c r="CH713" s="49"/>
      <c r="CI713" s="49"/>
      <c r="CJ713" s="49"/>
      <c r="CK713" s="49"/>
      <c r="CL713" s="49"/>
      <c r="CM713" s="49"/>
      <c r="CN713" s="49"/>
      <c r="CO713" s="49"/>
      <c r="CP713" s="49"/>
      <c r="CQ713" s="49"/>
      <c r="CR713" s="49"/>
      <c r="CS713" s="49"/>
      <c r="CT713" s="49"/>
      <c r="CU713" s="49"/>
      <c r="CV713" s="49"/>
      <c r="CW713" s="49"/>
      <c r="CX713" s="49"/>
      <c r="CY713" s="49"/>
      <c r="CZ713" s="49"/>
      <c r="DA713" s="49"/>
      <c r="DB713" s="49"/>
      <c r="DC713" s="49"/>
      <c r="DD713" s="49"/>
      <c r="DE713" s="49"/>
      <c r="DF713" s="49"/>
      <c r="DG713" s="49"/>
      <c r="DH713" s="49"/>
      <c r="DI713" s="49"/>
      <c r="DJ713" s="49"/>
      <c r="DK713" s="49"/>
      <c r="DL713" s="49"/>
      <c r="DM713" s="49"/>
      <c r="DN713" s="49"/>
      <c r="DO713" s="49"/>
      <c r="DP713" s="49"/>
      <c r="AAA713" s="192"/>
      <c r="AAD713" s="90"/>
      <c r="AAE713" s="519">
        <f>IF(S.AC.CommitteeInvolved="Y",1,0)</f>
        <v>0</v>
      </c>
      <c r="AAF713" s="90"/>
      <c r="AAG713" s="94"/>
      <c r="AAH713" s="73">
        <f t="shared" si="598"/>
        <v>41717</v>
      </c>
      <c r="AAI713" s="72"/>
      <c r="AAJ713" s="72"/>
      <c r="AAK713" s="80" t="str">
        <f>"* coordinates AC.SURVEY with "&amp;S.Staff.Mgr</f>
        <v>* coordinates AC.SURVEY with MargaretMGR</v>
      </c>
      <c r="AAL713" s="90"/>
      <c r="AAM713"/>
    </row>
    <row r="714" spans="1:715" ht="15.75" customHeight="1" outlineLevel="1">
      <c r="A714" s="171"/>
      <c r="B714" s="304" t="s">
        <v>399</v>
      </c>
      <c r="C714" s="376" t="s">
        <v>0</v>
      </c>
      <c r="D714" s="380"/>
      <c r="E714"/>
      <c r="F714" s="457">
        <f t="shared" ca="1" si="601"/>
        <v>97</v>
      </c>
      <c r="G714"/>
      <c r="H714" s="343">
        <f t="shared" si="602"/>
        <v>41717</v>
      </c>
      <c r="I714" s="244"/>
      <c r="J714" s="194"/>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49"/>
      <c r="AW714" s="49"/>
      <c r="AX714" s="49"/>
      <c r="AY714" s="49"/>
      <c r="AZ714" s="49"/>
      <c r="BA714" s="49"/>
      <c r="BB714" s="49"/>
      <c r="BC714" s="49"/>
      <c r="BD714" s="49"/>
      <c r="BE714" s="49"/>
      <c r="BF714" s="49"/>
      <c r="BG714" s="49"/>
      <c r="BH714" s="49"/>
      <c r="BI714" s="49"/>
      <c r="BJ714" s="49"/>
      <c r="BK714" s="49"/>
      <c r="BL714" s="49"/>
      <c r="BM714" s="49"/>
      <c r="BN714" s="49"/>
      <c r="BO714" s="49"/>
      <c r="BP714" s="49"/>
      <c r="BQ714" s="49"/>
      <c r="BR714" s="49"/>
      <c r="BS714" s="49"/>
      <c r="BT714" s="49"/>
      <c r="BU714" s="49"/>
      <c r="BV714" s="49"/>
      <c r="BW714" s="49"/>
      <c r="BX714" s="49"/>
      <c r="BY714" s="49"/>
      <c r="BZ714" s="49"/>
      <c r="CA714" s="49"/>
      <c r="CB714" s="49"/>
      <c r="CC714" s="49"/>
      <c r="CD714" s="49"/>
      <c r="CE714" s="49"/>
      <c r="CF714" s="49"/>
      <c r="CG714" s="49"/>
      <c r="CH714" s="49"/>
      <c r="CI714" s="49"/>
      <c r="CJ714" s="49"/>
      <c r="CK714" s="49"/>
      <c r="CL714" s="49"/>
      <c r="CM714" s="49"/>
      <c r="CN714" s="49"/>
      <c r="CO714" s="49"/>
      <c r="CP714" s="49"/>
      <c r="CQ714" s="49"/>
      <c r="CR714" s="49"/>
      <c r="CS714" s="49"/>
      <c r="CT714" s="49"/>
      <c r="CU714" s="49"/>
      <c r="CV714" s="49"/>
      <c r="CW714" s="49"/>
      <c r="CX714" s="49"/>
      <c r="CY714" s="49"/>
      <c r="CZ714" s="49"/>
      <c r="DA714" s="49"/>
      <c r="DB714" s="49"/>
      <c r="DC714" s="49"/>
      <c r="DD714" s="49"/>
      <c r="DE714" s="49"/>
      <c r="DF714" s="49"/>
      <c r="DG714" s="49"/>
      <c r="DH714" s="49"/>
      <c r="DI714" s="49"/>
      <c r="DJ714" s="49"/>
      <c r="DK714" s="49"/>
      <c r="DL714" s="49"/>
      <c r="DM714" s="49"/>
      <c r="DN714" s="49"/>
      <c r="DO714" s="49"/>
      <c r="DP714" s="49"/>
      <c r="AAA714" s="192"/>
      <c r="AAD714" s="90"/>
      <c r="AAE714" s="519">
        <v>1</v>
      </c>
      <c r="AAF714" s="90"/>
      <c r="AAG714" s="94"/>
      <c r="AAH714" s="73">
        <f t="shared" si="598"/>
        <v>41717</v>
      </c>
      <c r="AAI714" s="72"/>
      <c r="AAJ714" s="72"/>
      <c r="AAK714" s="56" t="s">
        <v>0</v>
      </c>
      <c r="AAL714" s="90"/>
      <c r="AAM714"/>
    </row>
    <row r="715" spans="1:715" s="23" customFormat="1" ht="15" customHeight="1" outlineLevel="1">
      <c r="A715" s="171"/>
      <c r="B715" s="414" t="str">
        <f>AAK715</f>
        <v>AndreaDRC:</v>
      </c>
      <c r="C715" s="420"/>
      <c r="D715" s="421"/>
      <c r="E715" s="350"/>
      <c r="F715" s="350"/>
      <c r="G715" s="420"/>
      <c r="H715" s="420"/>
      <c r="I715" s="244"/>
      <c r="J715" s="194"/>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49"/>
      <c r="AW715" s="49"/>
      <c r="AX715" s="49"/>
      <c r="AY715" s="49"/>
      <c r="AZ715" s="49"/>
      <c r="BA715" s="49"/>
      <c r="BB715" s="49"/>
      <c r="BC715" s="49"/>
      <c r="BD715" s="49"/>
      <c r="BE715" s="49"/>
      <c r="BF715" s="49"/>
      <c r="BG715" s="49"/>
      <c r="BH715" s="49"/>
      <c r="BI715" s="49"/>
      <c r="BJ715" s="49"/>
      <c r="BK715" s="49"/>
      <c r="BL715" s="49"/>
      <c r="BM715" s="49"/>
      <c r="BN715" s="49"/>
      <c r="BO715" s="49"/>
      <c r="BP715" s="49"/>
      <c r="BQ715" s="49"/>
      <c r="BR715" s="49"/>
      <c r="BS715" s="49"/>
      <c r="BT715" s="49"/>
      <c r="BU715" s="49"/>
      <c r="BV715" s="49"/>
      <c r="BW715" s="49"/>
      <c r="BX715" s="49"/>
      <c r="BY715" s="49"/>
      <c r="BZ715" s="49"/>
      <c r="CA715" s="49"/>
      <c r="CB715" s="49"/>
      <c r="CC715" s="49"/>
      <c r="CD715" s="49"/>
      <c r="CE715" s="49"/>
      <c r="CF715" s="49"/>
      <c r="CG715" s="49"/>
      <c r="CH715" s="49"/>
      <c r="CI715" s="49"/>
      <c r="CJ715" s="49"/>
      <c r="CK715" s="49"/>
      <c r="CL715" s="49"/>
      <c r="CM715" s="49"/>
      <c r="CN715" s="49"/>
      <c r="CO715" s="49"/>
      <c r="CP715" s="49"/>
      <c r="CQ715" s="49"/>
      <c r="CR715" s="49"/>
      <c r="CS715" s="49"/>
      <c r="CT715" s="49"/>
      <c r="CU715" s="49"/>
      <c r="CV715" s="49"/>
      <c r="CW715" s="49"/>
      <c r="CX715" s="49"/>
      <c r="CY715" s="49"/>
      <c r="CZ715" s="49"/>
      <c r="DA715" s="49"/>
      <c r="DB715" s="49"/>
      <c r="DC715" s="49"/>
      <c r="DD715" s="49"/>
      <c r="DE715" s="49"/>
      <c r="DF715" s="49"/>
      <c r="DG715" s="49"/>
      <c r="DH715" s="49"/>
      <c r="DI715" s="49"/>
      <c r="DJ715" s="49"/>
      <c r="DK715" s="49"/>
      <c r="DL715" s="49"/>
      <c r="DM715" s="49"/>
      <c r="DN715" s="49"/>
      <c r="DO715" s="49"/>
      <c r="DP715" s="49"/>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c r="IW715"/>
      <c r="IX715"/>
      <c r="IY715"/>
      <c r="IZ715"/>
      <c r="JA715"/>
      <c r="JB715"/>
      <c r="JC715"/>
      <c r="JD715"/>
      <c r="JE715"/>
      <c r="JF715"/>
      <c r="JG715"/>
      <c r="JH715"/>
      <c r="JI715"/>
      <c r="JJ715"/>
      <c r="JK715"/>
      <c r="JL715"/>
      <c r="JM715"/>
      <c r="JN715"/>
      <c r="JO715"/>
      <c r="JP715"/>
      <c r="JQ715"/>
      <c r="JR715"/>
      <c r="JS715"/>
      <c r="JT715"/>
      <c r="JU715"/>
      <c r="JV715"/>
      <c r="JW715"/>
      <c r="JX715"/>
      <c r="JY715"/>
      <c r="JZ715"/>
      <c r="KA715"/>
      <c r="KB715"/>
      <c r="KC715"/>
      <c r="KD715"/>
      <c r="KE715"/>
      <c r="KF715"/>
      <c r="KG715"/>
      <c r="KH715"/>
      <c r="KI715"/>
      <c r="KJ715"/>
      <c r="KK715"/>
      <c r="KL715"/>
      <c r="KM715"/>
      <c r="KN715"/>
      <c r="KO715"/>
      <c r="KP715"/>
      <c r="KQ715"/>
      <c r="KR715"/>
      <c r="KS715"/>
      <c r="KT715"/>
      <c r="KU715"/>
      <c r="KV715"/>
      <c r="KW715"/>
      <c r="KX715"/>
      <c r="KY715"/>
      <c r="KZ715"/>
      <c r="LA715"/>
      <c r="LB715"/>
      <c r="LC715"/>
      <c r="LD715"/>
      <c r="LE715"/>
      <c r="LF715"/>
      <c r="LG715"/>
      <c r="LH715"/>
      <c r="LI715"/>
      <c r="LJ715"/>
      <c r="LK715"/>
      <c r="LL715"/>
      <c r="LM715"/>
      <c r="LN715"/>
      <c r="LO715"/>
      <c r="LP715"/>
      <c r="LQ715"/>
      <c r="LR715"/>
      <c r="LS715"/>
      <c r="LT715"/>
      <c r="LU715"/>
      <c r="LV715"/>
      <c r="LW715"/>
      <c r="LX715"/>
      <c r="LY715"/>
      <c r="LZ715"/>
      <c r="MA715"/>
      <c r="MB715"/>
      <c r="MC715"/>
      <c r="MD715"/>
      <c r="ME715"/>
      <c r="MF715"/>
      <c r="MG715"/>
      <c r="MH715"/>
      <c r="MI715"/>
      <c r="MJ715"/>
      <c r="MK715"/>
      <c r="ML715"/>
      <c r="MM715"/>
      <c r="MN715"/>
      <c r="MO715"/>
      <c r="MP715"/>
      <c r="MQ715"/>
      <c r="MR715"/>
      <c r="MS715"/>
      <c r="MT715"/>
      <c r="MU715"/>
      <c r="MV715"/>
      <c r="MW715"/>
      <c r="MX715"/>
      <c r="MY715"/>
      <c r="MZ715"/>
      <c r="NA715"/>
      <c r="NB715"/>
      <c r="NC715"/>
      <c r="ND715"/>
      <c r="NE715"/>
      <c r="NF715"/>
      <c r="NG715"/>
      <c r="NH715"/>
      <c r="NI715"/>
      <c r="NJ715"/>
      <c r="NK715"/>
      <c r="NL715"/>
      <c r="NM715"/>
      <c r="NN715"/>
      <c r="NO715"/>
      <c r="NP715"/>
      <c r="NQ715"/>
      <c r="NR715"/>
      <c r="NS715"/>
      <c r="NT715"/>
      <c r="NU715"/>
      <c r="NV715"/>
      <c r="NW715"/>
      <c r="NX715"/>
      <c r="NY715"/>
      <c r="NZ715"/>
      <c r="OA715"/>
      <c r="OB715"/>
      <c r="OC715"/>
      <c r="OD715"/>
      <c r="OE715"/>
      <c r="OF715"/>
      <c r="OG715"/>
      <c r="OH715"/>
      <c r="OI715"/>
      <c r="OJ715"/>
      <c r="OK715"/>
      <c r="OL715"/>
      <c r="OM715"/>
      <c r="ON715"/>
      <c r="OO715"/>
      <c r="OP715"/>
      <c r="OQ715"/>
      <c r="OR715"/>
      <c r="OS715"/>
      <c r="OT715"/>
      <c r="OU715"/>
      <c r="OV715"/>
      <c r="OW715"/>
      <c r="OX715"/>
      <c r="OY715"/>
      <c r="OZ715"/>
      <c r="PA715"/>
      <c r="PB715"/>
      <c r="PC715"/>
      <c r="PD715"/>
      <c r="PE715"/>
      <c r="PF715"/>
      <c r="PG715"/>
      <c r="PH715"/>
      <c r="PI715"/>
      <c r="PJ715"/>
      <c r="PK715"/>
      <c r="PL715"/>
      <c r="PM715"/>
      <c r="PN715"/>
      <c r="PO715"/>
      <c r="PP715"/>
      <c r="PQ715"/>
      <c r="PR715"/>
      <c r="PS715"/>
      <c r="PT715"/>
      <c r="PU715"/>
      <c r="PV715"/>
      <c r="PW715"/>
      <c r="PX715"/>
      <c r="PY715"/>
      <c r="PZ715"/>
      <c r="QA715"/>
      <c r="QB715"/>
      <c r="QC715"/>
      <c r="QD715"/>
      <c r="QE715"/>
      <c r="QF715"/>
      <c r="QG715"/>
      <c r="QH715"/>
      <c r="QI715"/>
      <c r="QJ715"/>
      <c r="QK715"/>
      <c r="QL715"/>
      <c r="QM715"/>
      <c r="QN715"/>
      <c r="QO715"/>
      <c r="QP715"/>
      <c r="QQ715"/>
      <c r="QR715"/>
      <c r="QS715"/>
      <c r="QT715"/>
      <c r="QU715"/>
      <c r="QV715"/>
      <c r="QW715"/>
      <c r="QX715"/>
      <c r="QY715"/>
      <c r="QZ715"/>
      <c r="RA715"/>
      <c r="RB715"/>
      <c r="RC715"/>
      <c r="RD715"/>
      <c r="RE715"/>
      <c r="RF715"/>
      <c r="RG715"/>
      <c r="RH715"/>
      <c r="RI715"/>
      <c r="RJ715"/>
      <c r="RK715"/>
      <c r="RL715"/>
      <c r="RM715"/>
      <c r="RN715"/>
      <c r="RO715"/>
      <c r="RP715"/>
      <c r="RQ715"/>
      <c r="RR715"/>
      <c r="RS715"/>
      <c r="RT715"/>
      <c r="RU715"/>
      <c r="RV715"/>
      <c r="RW715"/>
      <c r="RX715"/>
      <c r="RY715"/>
      <c r="RZ715"/>
      <c r="SA715"/>
      <c r="SB715"/>
      <c r="SC715"/>
      <c r="SD715"/>
      <c r="SE715"/>
      <c r="SF715"/>
      <c r="SG715"/>
      <c r="SH715"/>
      <c r="SI715"/>
      <c r="SJ715"/>
      <c r="SK715"/>
      <c r="SL715"/>
      <c r="SM715"/>
      <c r="SN715"/>
      <c r="SO715"/>
      <c r="SP715"/>
      <c r="SQ715"/>
      <c r="SR715"/>
      <c r="SS715"/>
      <c r="ST715"/>
      <c r="SU715"/>
      <c r="SV715"/>
      <c r="SW715"/>
      <c r="SX715"/>
      <c r="SY715"/>
      <c r="SZ715"/>
      <c r="TA715"/>
      <c r="TB715"/>
      <c r="TC715"/>
      <c r="TD715"/>
      <c r="TE715"/>
      <c r="TF715"/>
      <c r="TG715"/>
      <c r="TH715"/>
      <c r="TI715"/>
      <c r="TJ715"/>
      <c r="TK715"/>
      <c r="TL715"/>
      <c r="TM715"/>
      <c r="TN715"/>
      <c r="TO715"/>
      <c r="TP715"/>
      <c r="TQ715"/>
      <c r="TR715"/>
      <c r="TS715"/>
      <c r="TT715"/>
      <c r="TU715"/>
      <c r="TV715"/>
      <c r="TW715"/>
      <c r="TX715"/>
      <c r="TY715"/>
      <c r="TZ715"/>
      <c r="UA715"/>
      <c r="UB715"/>
      <c r="UC715"/>
      <c r="UD715"/>
      <c r="UE715"/>
      <c r="UF715"/>
      <c r="UG715"/>
      <c r="UH715"/>
      <c r="UI715"/>
      <c r="UJ715"/>
      <c r="UK715"/>
      <c r="UL715"/>
      <c r="UM715"/>
      <c r="UN715"/>
      <c r="UO715"/>
      <c r="UP715"/>
      <c r="UQ715"/>
      <c r="UR715"/>
      <c r="US715"/>
      <c r="UT715"/>
      <c r="UU715"/>
      <c r="UV715"/>
      <c r="UW715"/>
      <c r="UX715"/>
      <c r="UY715"/>
      <c r="UZ715"/>
      <c r="VA715"/>
      <c r="VB715"/>
      <c r="VC715"/>
      <c r="VD715"/>
      <c r="VE715"/>
      <c r="VF715"/>
      <c r="VG715"/>
      <c r="VH715"/>
      <c r="VI715"/>
      <c r="VJ715"/>
      <c r="VK715"/>
      <c r="VL715"/>
      <c r="VM715"/>
      <c r="VN715"/>
      <c r="VO715"/>
      <c r="VP715"/>
      <c r="VQ715"/>
      <c r="VR715"/>
      <c r="VS715"/>
      <c r="VT715"/>
      <c r="VU715"/>
      <c r="VV715"/>
      <c r="VW715"/>
      <c r="VX715"/>
      <c r="VY715"/>
      <c r="VZ715"/>
      <c r="WA715"/>
      <c r="WB715"/>
      <c r="WC715"/>
      <c r="WD715"/>
      <c r="WE715"/>
      <c r="WF715"/>
      <c r="WG715"/>
      <c r="WH715"/>
      <c r="WI715"/>
      <c r="WJ715"/>
      <c r="WK715"/>
      <c r="WL715"/>
      <c r="WM715"/>
      <c r="WN715"/>
      <c r="WO715"/>
      <c r="WP715"/>
      <c r="WQ715"/>
      <c r="WR715"/>
      <c r="WS715"/>
      <c r="WT715"/>
      <c r="WU715"/>
      <c r="WV715"/>
      <c r="WW715"/>
      <c r="WX715"/>
      <c r="WY715"/>
      <c r="WZ715"/>
      <c r="XA715"/>
      <c r="XB715"/>
      <c r="XC715"/>
      <c r="XD715"/>
      <c r="XE715"/>
      <c r="XF715"/>
      <c r="XG715"/>
      <c r="XH715"/>
      <c r="XI715"/>
      <c r="XJ715"/>
      <c r="XK715"/>
      <c r="XL715"/>
      <c r="XM715"/>
      <c r="XN715"/>
      <c r="XO715"/>
      <c r="XP715"/>
      <c r="XQ715"/>
      <c r="XR715"/>
      <c r="XS715"/>
      <c r="XT715"/>
      <c r="XU715"/>
      <c r="XV715"/>
      <c r="XW715"/>
      <c r="XX715"/>
      <c r="XY715"/>
      <c r="XZ715"/>
      <c r="YA715"/>
      <c r="YB715"/>
      <c r="YC715"/>
      <c r="YD715"/>
      <c r="YE715"/>
      <c r="YF715"/>
      <c r="YG715"/>
      <c r="YH715"/>
      <c r="YI715"/>
      <c r="YJ715"/>
      <c r="YK715"/>
      <c r="YL715"/>
      <c r="YM715"/>
      <c r="YN715"/>
      <c r="YO715"/>
      <c r="YP715"/>
      <c r="YQ715"/>
      <c r="YR715"/>
      <c r="YS715"/>
      <c r="YT715"/>
      <c r="YU715"/>
      <c r="YV715"/>
      <c r="YW715"/>
      <c r="YX715"/>
      <c r="YY715"/>
      <c r="YZ715"/>
      <c r="ZA715"/>
      <c r="ZB715"/>
      <c r="ZC715"/>
      <c r="ZD715"/>
      <c r="ZE715"/>
      <c r="ZF715"/>
      <c r="ZG715"/>
      <c r="ZH715"/>
      <c r="ZI715"/>
      <c r="ZJ715"/>
      <c r="ZK715"/>
      <c r="ZL715"/>
      <c r="ZM715"/>
      <c r="ZN715"/>
      <c r="ZO715"/>
      <c r="ZP715"/>
      <c r="ZQ715"/>
      <c r="ZR715"/>
      <c r="ZS715"/>
      <c r="ZT715"/>
      <c r="ZU715"/>
      <c r="ZV715"/>
      <c r="ZW715"/>
      <c r="ZX715"/>
      <c r="ZY715"/>
      <c r="ZZ715" s="52"/>
      <c r="AAA715" s="192" t="s">
        <v>0</v>
      </c>
      <c r="AAD715" s="90"/>
      <c r="AAE715" s="519">
        <v>1</v>
      </c>
      <c r="AAF715" s="190" t="s">
        <v>52</v>
      </c>
      <c r="AAG715" s="94"/>
      <c r="AAH715" s="94"/>
      <c r="AAI715" s="72"/>
      <c r="AAJ715" s="185"/>
      <c r="AAK715" s="80" t="str">
        <f>S.Staff.DivisionRulesCoordinator&amp;":"</f>
        <v>AndreaDRC:</v>
      </c>
      <c r="AAL715" s="90"/>
    </row>
    <row r="716" spans="1:715" s="23" customFormat="1" ht="15.75" customHeight="1" outlineLevel="1">
      <c r="A716" s="171"/>
      <c r="B716" s="363" t="str">
        <f>AAK716</f>
        <v>* no DAS involvement</v>
      </c>
      <c r="C716" s="358" t="s">
        <v>0</v>
      </c>
      <c r="D716" s="380"/>
      <c r="E716"/>
      <c r="F716" s="457">
        <f ca="1">IF(YEAR(H716)&gt;2000,NETWORKDAYS(TODAY(),H716,S.DDL_DEQClosed),0)</f>
        <v>0</v>
      </c>
      <c r="G716"/>
      <c r="H716" s="343">
        <f>AAH716</f>
        <v>0</v>
      </c>
      <c r="I716" s="245"/>
      <c r="J716" s="222"/>
      <c r="K716" s="223"/>
      <c r="L716" s="223"/>
      <c r="M716" s="223"/>
      <c r="N716" s="223"/>
      <c r="O716" s="223"/>
      <c r="P716" s="223"/>
      <c r="Q716" s="223"/>
      <c r="R716" s="223"/>
      <c r="S716" s="223"/>
      <c r="T716" s="223"/>
      <c r="U716" s="223"/>
      <c r="V716" s="223"/>
      <c r="W716" s="223"/>
      <c r="X716" s="223"/>
      <c r="Y716" s="223"/>
      <c r="Z716" s="223"/>
      <c r="AA716" s="223"/>
      <c r="AB716" s="223"/>
      <c r="AC716" s="223"/>
      <c r="AD716" s="223"/>
      <c r="AE716" s="223"/>
      <c r="AF716" s="223"/>
      <c r="AG716" s="223"/>
      <c r="AH716" s="223"/>
      <c r="AI716" s="223"/>
      <c r="AJ716" s="223"/>
      <c r="AK716" s="223"/>
      <c r="AL716" s="223"/>
      <c r="AM716" s="223"/>
      <c r="AN716" s="223"/>
      <c r="AO716" s="223"/>
      <c r="AP716" s="223"/>
      <c r="AQ716" s="223"/>
      <c r="AR716" s="223"/>
      <c r="AS716" s="223"/>
      <c r="AT716" s="223"/>
      <c r="AU716" s="223"/>
      <c r="AV716" s="223"/>
      <c r="AW716" s="223"/>
      <c r="AX716" s="223"/>
      <c r="AY716" s="223"/>
      <c r="AZ716" s="223"/>
      <c r="BA716" s="223"/>
      <c r="BB716" s="223"/>
      <c r="BC716" s="223"/>
      <c r="BD716" s="223"/>
      <c r="BE716" s="223"/>
      <c r="BF716" s="223"/>
      <c r="BG716" s="223"/>
      <c r="BH716" s="223"/>
      <c r="BI716" s="223"/>
      <c r="BJ716" s="223"/>
      <c r="BK716" s="223"/>
      <c r="BL716" s="223"/>
      <c r="BM716" s="223"/>
      <c r="BN716" s="223"/>
      <c r="BO716" s="223"/>
      <c r="BP716" s="223"/>
      <c r="BQ716" s="223"/>
      <c r="BR716" s="223"/>
      <c r="BS716" s="223"/>
      <c r="BT716" s="223"/>
      <c r="BU716" s="223"/>
      <c r="BV716" s="223"/>
      <c r="BW716" s="223"/>
      <c r="BX716" s="223"/>
      <c r="BY716" s="223"/>
      <c r="BZ716" s="223"/>
      <c r="CA716" s="223"/>
      <c r="CB716" s="223"/>
      <c r="CC716" s="223"/>
      <c r="CD716" s="223"/>
      <c r="CE716" s="223"/>
      <c r="CF716" s="223"/>
      <c r="CG716" s="223"/>
      <c r="CH716" s="223"/>
      <c r="CI716" s="223"/>
      <c r="CJ716" s="223"/>
      <c r="CK716" s="223"/>
      <c r="CL716" s="223"/>
      <c r="CM716" s="223"/>
      <c r="CN716" s="223"/>
      <c r="CO716" s="223"/>
      <c r="CP716" s="223"/>
      <c r="CQ716" s="223"/>
      <c r="CR716" s="223"/>
      <c r="CS716" s="223"/>
      <c r="CT716" s="223"/>
      <c r="CU716" s="223"/>
      <c r="CV716" s="223"/>
      <c r="CW716" s="223"/>
      <c r="CX716" s="223"/>
      <c r="CY716" s="223"/>
      <c r="CZ716" s="223"/>
      <c r="DA716" s="223"/>
      <c r="DB716" s="223"/>
      <c r="DC716" s="223"/>
      <c r="DD716" s="223"/>
      <c r="DE716" s="223"/>
      <c r="DF716" s="223"/>
      <c r="DG716" s="223"/>
      <c r="DH716" s="223"/>
      <c r="DI716" s="223"/>
      <c r="DJ716" s="223"/>
      <c r="DK716" s="223"/>
      <c r="DL716" s="223"/>
      <c r="DM716" s="223"/>
      <c r="DN716" s="223"/>
      <c r="DO716" s="223"/>
      <c r="DP716" s="223"/>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c r="IW716"/>
      <c r="IX716"/>
      <c r="IY716"/>
      <c r="IZ716"/>
      <c r="JA716"/>
      <c r="JB716"/>
      <c r="JC716"/>
      <c r="JD716"/>
      <c r="JE716"/>
      <c r="JF716"/>
      <c r="JG716"/>
      <c r="JH716"/>
      <c r="JI716"/>
      <c r="JJ716"/>
      <c r="JK716"/>
      <c r="JL716"/>
      <c r="JM716"/>
      <c r="JN716"/>
      <c r="JO716"/>
      <c r="JP716"/>
      <c r="JQ716"/>
      <c r="JR716"/>
      <c r="JS716"/>
      <c r="JT716"/>
      <c r="JU716"/>
      <c r="JV716"/>
      <c r="JW716"/>
      <c r="JX716"/>
      <c r="JY716"/>
      <c r="JZ716"/>
      <c r="KA716"/>
      <c r="KB716"/>
      <c r="KC716"/>
      <c r="KD716"/>
      <c r="KE716"/>
      <c r="KF716"/>
      <c r="KG716"/>
      <c r="KH716"/>
      <c r="KI716"/>
      <c r="KJ716"/>
      <c r="KK716"/>
      <c r="KL716"/>
      <c r="KM716"/>
      <c r="KN716"/>
      <c r="KO716"/>
      <c r="KP716"/>
      <c r="KQ716"/>
      <c r="KR716"/>
      <c r="KS716"/>
      <c r="KT716"/>
      <c r="KU716"/>
      <c r="KV716"/>
      <c r="KW716"/>
      <c r="KX716"/>
      <c r="KY716"/>
      <c r="KZ716"/>
      <c r="LA716"/>
      <c r="LB716"/>
      <c r="LC716"/>
      <c r="LD716"/>
      <c r="LE716"/>
      <c r="LF716"/>
      <c r="LG716"/>
      <c r="LH716"/>
      <c r="LI716"/>
      <c r="LJ716"/>
      <c r="LK716"/>
      <c r="LL716"/>
      <c r="LM716"/>
      <c r="LN716"/>
      <c r="LO716"/>
      <c r="LP716"/>
      <c r="LQ716"/>
      <c r="LR716"/>
      <c r="LS716"/>
      <c r="LT716"/>
      <c r="LU716"/>
      <c r="LV716"/>
      <c r="LW716"/>
      <c r="LX716"/>
      <c r="LY716"/>
      <c r="LZ716"/>
      <c r="MA716"/>
      <c r="MB716"/>
      <c r="MC716"/>
      <c r="MD716"/>
      <c r="ME716"/>
      <c r="MF716"/>
      <c r="MG716"/>
      <c r="MH716"/>
      <c r="MI716"/>
      <c r="MJ716"/>
      <c r="MK716"/>
      <c r="ML716"/>
      <c r="MM716"/>
      <c r="MN716"/>
      <c r="MO716"/>
      <c r="MP716"/>
      <c r="MQ716"/>
      <c r="MR716"/>
      <c r="MS716"/>
      <c r="MT716"/>
      <c r="MU716"/>
      <c r="MV716"/>
      <c r="MW716"/>
      <c r="MX716"/>
      <c r="MY716"/>
      <c r="MZ716"/>
      <c r="NA716"/>
      <c r="NB716"/>
      <c r="NC716"/>
      <c r="ND716"/>
      <c r="NE716"/>
      <c r="NF716"/>
      <c r="NG716"/>
      <c r="NH716"/>
      <c r="NI716"/>
      <c r="NJ716"/>
      <c r="NK716"/>
      <c r="NL716"/>
      <c r="NM716"/>
      <c r="NN716"/>
      <c r="NO716"/>
      <c r="NP716"/>
      <c r="NQ716"/>
      <c r="NR716"/>
      <c r="NS716"/>
      <c r="NT716"/>
      <c r="NU716"/>
      <c r="NV716"/>
      <c r="NW716"/>
      <c r="NX716"/>
      <c r="NY716"/>
      <c r="NZ716"/>
      <c r="OA716"/>
      <c r="OB716"/>
      <c r="OC716"/>
      <c r="OD716"/>
      <c r="OE716"/>
      <c r="OF716"/>
      <c r="OG716"/>
      <c r="OH716"/>
      <c r="OI716"/>
      <c r="OJ716"/>
      <c r="OK716"/>
      <c r="OL716"/>
      <c r="OM716"/>
      <c r="ON716"/>
      <c r="OO716"/>
      <c r="OP716"/>
      <c r="OQ716"/>
      <c r="OR716"/>
      <c r="OS716"/>
      <c r="OT716"/>
      <c r="OU716"/>
      <c r="OV716"/>
      <c r="OW716"/>
      <c r="OX716"/>
      <c r="OY716"/>
      <c r="OZ716"/>
      <c r="PA716"/>
      <c r="PB716"/>
      <c r="PC716"/>
      <c r="PD716"/>
      <c r="PE716"/>
      <c r="PF716"/>
      <c r="PG716"/>
      <c r="PH716"/>
      <c r="PI716"/>
      <c r="PJ716"/>
      <c r="PK716"/>
      <c r="PL716"/>
      <c r="PM716"/>
      <c r="PN716"/>
      <c r="PO716"/>
      <c r="PP716"/>
      <c r="PQ716"/>
      <c r="PR716"/>
      <c r="PS716"/>
      <c r="PT716"/>
      <c r="PU716"/>
      <c r="PV716"/>
      <c r="PW716"/>
      <c r="PX716"/>
      <c r="PY716"/>
      <c r="PZ716"/>
      <c r="QA716"/>
      <c r="QB716"/>
      <c r="QC716"/>
      <c r="QD716"/>
      <c r="QE716"/>
      <c r="QF716"/>
      <c r="QG716"/>
      <c r="QH716"/>
      <c r="QI716"/>
      <c r="QJ716"/>
      <c r="QK716"/>
      <c r="QL716"/>
      <c r="QM716"/>
      <c r="QN716"/>
      <c r="QO716"/>
      <c r="QP716"/>
      <c r="QQ716"/>
      <c r="QR716"/>
      <c r="QS716"/>
      <c r="QT716"/>
      <c r="QU716"/>
      <c r="QV716"/>
      <c r="QW716"/>
      <c r="QX716"/>
      <c r="QY716"/>
      <c r="QZ716"/>
      <c r="RA716"/>
      <c r="RB716"/>
      <c r="RC716"/>
      <c r="RD716"/>
      <c r="RE716"/>
      <c r="RF716"/>
      <c r="RG716"/>
      <c r="RH716"/>
      <c r="RI716"/>
      <c r="RJ716"/>
      <c r="RK716"/>
      <c r="RL716"/>
      <c r="RM716"/>
      <c r="RN716"/>
      <c r="RO716"/>
      <c r="RP716"/>
      <c r="RQ716"/>
      <c r="RR716"/>
      <c r="RS716"/>
      <c r="RT716"/>
      <c r="RU716"/>
      <c r="RV716"/>
      <c r="RW716"/>
      <c r="RX716"/>
      <c r="RY716"/>
      <c r="RZ716"/>
      <c r="SA716"/>
      <c r="SB716"/>
      <c r="SC716"/>
      <c r="SD716"/>
      <c r="SE716"/>
      <c r="SF716"/>
      <c r="SG716"/>
      <c r="SH716"/>
      <c r="SI716"/>
      <c r="SJ716"/>
      <c r="SK716"/>
      <c r="SL716"/>
      <c r="SM716"/>
      <c r="SN716"/>
      <c r="SO716"/>
      <c r="SP716"/>
      <c r="SQ716"/>
      <c r="SR716"/>
      <c r="SS716"/>
      <c r="ST716"/>
      <c r="SU716"/>
      <c r="SV716"/>
      <c r="SW716"/>
      <c r="SX716"/>
      <c r="SY716"/>
      <c r="SZ716"/>
      <c r="TA716"/>
      <c r="TB716"/>
      <c r="TC716"/>
      <c r="TD716"/>
      <c r="TE716"/>
      <c r="TF716"/>
      <c r="TG716"/>
      <c r="TH716"/>
      <c r="TI716"/>
      <c r="TJ716"/>
      <c r="TK716"/>
      <c r="TL716"/>
      <c r="TM716"/>
      <c r="TN716"/>
      <c r="TO716"/>
      <c r="TP716"/>
      <c r="TQ716"/>
      <c r="TR716"/>
      <c r="TS716"/>
      <c r="TT716"/>
      <c r="TU716"/>
      <c r="TV716"/>
      <c r="TW716"/>
      <c r="TX716"/>
      <c r="TY716"/>
      <c r="TZ716"/>
      <c r="UA716"/>
      <c r="UB716"/>
      <c r="UC716"/>
      <c r="UD716"/>
      <c r="UE716"/>
      <c r="UF716"/>
      <c r="UG716"/>
      <c r="UH716"/>
      <c r="UI716"/>
      <c r="UJ716"/>
      <c r="UK716"/>
      <c r="UL716"/>
      <c r="UM716"/>
      <c r="UN716"/>
      <c r="UO716"/>
      <c r="UP716"/>
      <c r="UQ716"/>
      <c r="UR716"/>
      <c r="US716"/>
      <c r="UT716"/>
      <c r="UU716"/>
      <c r="UV716"/>
      <c r="UW716"/>
      <c r="UX716"/>
      <c r="UY716"/>
      <c r="UZ716"/>
      <c r="VA716"/>
      <c r="VB716"/>
      <c r="VC716"/>
      <c r="VD716"/>
      <c r="VE716"/>
      <c r="VF716"/>
      <c r="VG716"/>
      <c r="VH716"/>
      <c r="VI716"/>
      <c r="VJ716"/>
      <c r="VK716"/>
      <c r="VL716"/>
      <c r="VM716"/>
      <c r="VN716"/>
      <c r="VO716"/>
      <c r="VP716"/>
      <c r="VQ716"/>
      <c r="VR716"/>
      <c r="VS716"/>
      <c r="VT716"/>
      <c r="VU716"/>
      <c r="VV716"/>
      <c r="VW716"/>
      <c r="VX716"/>
      <c r="VY716"/>
      <c r="VZ716"/>
      <c r="WA716"/>
      <c r="WB716"/>
      <c r="WC716"/>
      <c r="WD716"/>
      <c r="WE716"/>
      <c r="WF716"/>
      <c r="WG716"/>
      <c r="WH716"/>
      <c r="WI716"/>
      <c r="WJ716"/>
      <c r="WK716"/>
      <c r="WL716"/>
      <c r="WM716"/>
      <c r="WN716"/>
      <c r="WO716"/>
      <c r="WP716"/>
      <c r="WQ716"/>
      <c r="WR716"/>
      <c r="WS716"/>
      <c r="WT716"/>
      <c r="WU716"/>
      <c r="WV716"/>
      <c r="WW716"/>
      <c r="WX716"/>
      <c r="WY716"/>
      <c r="WZ716"/>
      <c r="XA716"/>
      <c r="XB716"/>
      <c r="XC716"/>
      <c r="XD716"/>
      <c r="XE716"/>
      <c r="XF716"/>
      <c r="XG716"/>
      <c r="XH716"/>
      <c r="XI716"/>
      <c r="XJ716"/>
      <c r="XK716"/>
      <c r="XL716"/>
      <c r="XM716"/>
      <c r="XN716"/>
      <c r="XO716"/>
      <c r="XP716"/>
      <c r="XQ716"/>
      <c r="XR716"/>
      <c r="XS716"/>
      <c r="XT716"/>
      <c r="XU716"/>
      <c r="XV716"/>
      <c r="XW716"/>
      <c r="XX716"/>
      <c r="XY716"/>
      <c r="XZ716"/>
      <c r="YA716"/>
      <c r="YB716"/>
      <c r="YC716"/>
      <c r="YD716"/>
      <c r="YE716"/>
      <c r="YF716"/>
      <c r="YG716"/>
      <c r="YH716"/>
      <c r="YI716"/>
      <c r="YJ716"/>
      <c r="YK716"/>
      <c r="YL716"/>
      <c r="YM716"/>
      <c r="YN716"/>
      <c r="YO716"/>
      <c r="YP716"/>
      <c r="YQ716"/>
      <c r="YR716"/>
      <c r="YS716"/>
      <c r="YT716"/>
      <c r="YU716"/>
      <c r="YV716"/>
      <c r="YW716"/>
      <c r="YX716"/>
      <c r="YY716"/>
      <c r="YZ716"/>
      <c r="ZA716"/>
      <c r="ZB716"/>
      <c r="ZC716"/>
      <c r="ZD716"/>
      <c r="ZE716"/>
      <c r="ZF716"/>
      <c r="ZG716"/>
      <c r="ZH716"/>
      <c r="ZI716"/>
      <c r="ZJ716"/>
      <c r="ZK716"/>
      <c r="ZL716"/>
      <c r="ZM716"/>
      <c r="ZN716"/>
      <c r="ZO716"/>
      <c r="ZP716"/>
      <c r="ZQ716"/>
      <c r="ZR716"/>
      <c r="ZS716"/>
      <c r="ZT716"/>
      <c r="ZU716"/>
      <c r="ZV716"/>
      <c r="ZW716"/>
      <c r="ZX716"/>
      <c r="ZY716"/>
      <c r="ZZ716" s="52"/>
      <c r="AAA716" s="192"/>
      <c r="AAD716" s="90"/>
      <c r="AAE716" s="519">
        <f>IF(S.Fee.Involved="Y",1,0)</f>
        <v>0</v>
      </c>
      <c r="AAF716" s="90" t="s">
        <v>0</v>
      </c>
      <c r="AAG716" s="94"/>
      <c r="AAH716" s="73">
        <f>IF(AAE716=0,,S.PostEQC.BANNER.Begin)</f>
        <v>0</v>
      </c>
      <c r="AAI716" s="72"/>
      <c r="AAJ716" s="72"/>
      <c r="AAK716" s="297" t="str">
        <f>IF(S.Fee.DASApprovalRequired="Y","* submits Part 2 of signed DAS approval within 10 days of effective date",IF(S.Fee.Involved="Y","* prepares and emails DAS notification for fees that don't require approval","* no DAS involvement"))</f>
        <v>* no DAS involvement</v>
      </c>
      <c r="AAL716" s="90"/>
    </row>
    <row r="717" spans="1:715" s="23" customFormat="1" ht="15" outlineLevel="1">
      <c r="A717" s="171"/>
      <c r="B717" s="363" t="str">
        <f t="shared" ref="B717" si="604">AAK717</f>
        <v>* no DAS involvement</v>
      </c>
      <c r="C717" s="358" t="s">
        <v>0</v>
      </c>
      <c r="D717" s="380"/>
      <c r="E717"/>
      <c r="F717" s="457">
        <f ca="1">IF(YEAR(H717)&gt;2000,NETWORKDAYS(TODAY(),H717,S.DDL_DEQClosed),0)</f>
        <v>0</v>
      </c>
      <c r="G717"/>
      <c r="H717" s="343">
        <f t="shared" ref="H717" si="605">AAH717</f>
        <v>0</v>
      </c>
      <c r="I717" s="245"/>
      <c r="J717" s="222"/>
      <c r="K717" s="223"/>
      <c r="L717" s="223"/>
      <c r="M717" s="223"/>
      <c r="N717" s="223"/>
      <c r="O717" s="223"/>
      <c r="P717" s="223"/>
      <c r="Q717" s="223"/>
      <c r="R717" s="223"/>
      <c r="S717" s="223"/>
      <c r="T717" s="223"/>
      <c r="U717" s="223"/>
      <c r="V717" s="223"/>
      <c r="W717" s="223"/>
      <c r="X717" s="223"/>
      <c r="Y717" s="223"/>
      <c r="Z717" s="223"/>
      <c r="AA717" s="223"/>
      <c r="AB717" s="223"/>
      <c r="AC717" s="223"/>
      <c r="AD717" s="223"/>
      <c r="AE717" s="223"/>
      <c r="AF717" s="223"/>
      <c r="AG717" s="223"/>
      <c r="AH717" s="223"/>
      <c r="AI717" s="223"/>
      <c r="AJ717" s="223"/>
      <c r="AK717" s="223"/>
      <c r="AL717" s="223"/>
      <c r="AM717" s="223"/>
      <c r="AN717" s="223"/>
      <c r="AO717" s="223"/>
      <c r="AP717" s="223"/>
      <c r="AQ717" s="223"/>
      <c r="AR717" s="223"/>
      <c r="AS717" s="223"/>
      <c r="AT717" s="223"/>
      <c r="AU717" s="223"/>
      <c r="AV717" s="223"/>
      <c r="AW717" s="223"/>
      <c r="AX717" s="223"/>
      <c r="AY717" s="223"/>
      <c r="AZ717" s="223"/>
      <c r="BA717" s="223"/>
      <c r="BB717" s="223"/>
      <c r="BC717" s="223"/>
      <c r="BD717" s="223"/>
      <c r="BE717" s="223"/>
      <c r="BF717" s="223"/>
      <c r="BG717" s="223"/>
      <c r="BH717" s="223"/>
      <c r="BI717" s="223"/>
      <c r="BJ717" s="223"/>
      <c r="BK717" s="223"/>
      <c r="BL717" s="223"/>
      <c r="BM717" s="223"/>
      <c r="BN717" s="223"/>
      <c r="BO717" s="223"/>
      <c r="BP717" s="223"/>
      <c r="BQ717" s="223"/>
      <c r="BR717" s="223"/>
      <c r="BS717" s="223"/>
      <c r="BT717" s="223"/>
      <c r="BU717" s="223"/>
      <c r="BV717" s="223"/>
      <c r="BW717" s="223"/>
      <c r="BX717" s="223"/>
      <c r="BY717" s="223"/>
      <c r="BZ717" s="223"/>
      <c r="CA717" s="223"/>
      <c r="CB717" s="223"/>
      <c r="CC717" s="223"/>
      <c r="CD717" s="223"/>
      <c r="CE717" s="223"/>
      <c r="CF717" s="223"/>
      <c r="CG717" s="223"/>
      <c r="CH717" s="223"/>
      <c r="CI717" s="223"/>
      <c r="CJ717" s="223"/>
      <c r="CK717" s="223"/>
      <c r="CL717" s="223"/>
      <c r="CM717" s="223"/>
      <c r="CN717" s="223"/>
      <c r="CO717" s="223"/>
      <c r="CP717" s="223"/>
      <c r="CQ717" s="223"/>
      <c r="CR717" s="223"/>
      <c r="CS717" s="223"/>
      <c r="CT717" s="223"/>
      <c r="CU717" s="223"/>
      <c r="CV717" s="223"/>
      <c r="CW717" s="223"/>
      <c r="CX717" s="223"/>
      <c r="CY717" s="223"/>
      <c r="CZ717" s="223"/>
      <c r="DA717" s="223"/>
      <c r="DB717" s="223"/>
      <c r="DC717" s="223"/>
      <c r="DD717" s="223"/>
      <c r="DE717" s="223"/>
      <c r="DF717" s="223"/>
      <c r="DG717" s="223"/>
      <c r="DH717" s="223"/>
      <c r="DI717" s="223"/>
      <c r="DJ717" s="223"/>
      <c r="DK717" s="223"/>
      <c r="DL717" s="223"/>
      <c r="DM717" s="223"/>
      <c r="DN717" s="223"/>
      <c r="DO717" s="223"/>
      <c r="DP717" s="223"/>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c r="IW717"/>
      <c r="IX717"/>
      <c r="IY717"/>
      <c r="IZ717"/>
      <c r="JA717"/>
      <c r="JB717"/>
      <c r="JC717"/>
      <c r="JD717"/>
      <c r="JE717"/>
      <c r="JF717"/>
      <c r="JG717"/>
      <c r="JH717"/>
      <c r="JI717"/>
      <c r="JJ717"/>
      <c r="JK717"/>
      <c r="JL717"/>
      <c r="JM717"/>
      <c r="JN717"/>
      <c r="JO717"/>
      <c r="JP717"/>
      <c r="JQ717"/>
      <c r="JR717"/>
      <c r="JS717"/>
      <c r="JT717"/>
      <c r="JU717"/>
      <c r="JV717"/>
      <c r="JW717"/>
      <c r="JX717"/>
      <c r="JY717"/>
      <c r="JZ717"/>
      <c r="KA717"/>
      <c r="KB717"/>
      <c r="KC717"/>
      <c r="KD717"/>
      <c r="KE717"/>
      <c r="KF717"/>
      <c r="KG717"/>
      <c r="KH717"/>
      <c r="KI717"/>
      <c r="KJ717"/>
      <c r="KK717"/>
      <c r="KL717"/>
      <c r="KM717"/>
      <c r="KN717"/>
      <c r="KO717"/>
      <c r="KP717"/>
      <c r="KQ717"/>
      <c r="KR717"/>
      <c r="KS717"/>
      <c r="KT717"/>
      <c r="KU717"/>
      <c r="KV717"/>
      <c r="KW717"/>
      <c r="KX717"/>
      <c r="KY717"/>
      <c r="KZ717"/>
      <c r="LA717"/>
      <c r="LB717"/>
      <c r="LC717"/>
      <c r="LD717"/>
      <c r="LE717"/>
      <c r="LF717"/>
      <c r="LG717"/>
      <c r="LH717"/>
      <c r="LI717"/>
      <c r="LJ717"/>
      <c r="LK717"/>
      <c r="LL717"/>
      <c r="LM717"/>
      <c r="LN717"/>
      <c r="LO717"/>
      <c r="LP717"/>
      <c r="LQ717"/>
      <c r="LR717"/>
      <c r="LS717"/>
      <c r="LT717"/>
      <c r="LU717"/>
      <c r="LV717"/>
      <c r="LW717"/>
      <c r="LX717"/>
      <c r="LY717"/>
      <c r="LZ717"/>
      <c r="MA717"/>
      <c r="MB717"/>
      <c r="MC717"/>
      <c r="MD717"/>
      <c r="ME717"/>
      <c r="MF717"/>
      <c r="MG717"/>
      <c r="MH717"/>
      <c r="MI717"/>
      <c r="MJ717"/>
      <c r="MK717"/>
      <c r="ML717"/>
      <c r="MM717"/>
      <c r="MN717"/>
      <c r="MO717"/>
      <c r="MP717"/>
      <c r="MQ717"/>
      <c r="MR717"/>
      <c r="MS717"/>
      <c r="MT717"/>
      <c r="MU717"/>
      <c r="MV717"/>
      <c r="MW717"/>
      <c r="MX717"/>
      <c r="MY717"/>
      <c r="MZ717"/>
      <c r="NA717"/>
      <c r="NB717"/>
      <c r="NC717"/>
      <c r="ND717"/>
      <c r="NE717"/>
      <c r="NF717"/>
      <c r="NG717"/>
      <c r="NH717"/>
      <c r="NI717"/>
      <c r="NJ717"/>
      <c r="NK717"/>
      <c r="NL717"/>
      <c r="NM717"/>
      <c r="NN717"/>
      <c r="NO717"/>
      <c r="NP717"/>
      <c r="NQ717"/>
      <c r="NR717"/>
      <c r="NS717"/>
      <c r="NT717"/>
      <c r="NU717"/>
      <c r="NV717"/>
      <c r="NW717"/>
      <c r="NX717"/>
      <c r="NY717"/>
      <c r="NZ717"/>
      <c r="OA717"/>
      <c r="OB717"/>
      <c r="OC717"/>
      <c r="OD717"/>
      <c r="OE717"/>
      <c r="OF717"/>
      <c r="OG717"/>
      <c r="OH717"/>
      <c r="OI717"/>
      <c r="OJ717"/>
      <c r="OK717"/>
      <c r="OL717"/>
      <c r="OM717"/>
      <c r="ON717"/>
      <c r="OO717"/>
      <c r="OP717"/>
      <c r="OQ717"/>
      <c r="OR717"/>
      <c r="OS717"/>
      <c r="OT717"/>
      <c r="OU717"/>
      <c r="OV717"/>
      <c r="OW717"/>
      <c r="OX717"/>
      <c r="OY717"/>
      <c r="OZ717"/>
      <c r="PA717"/>
      <c r="PB717"/>
      <c r="PC717"/>
      <c r="PD717"/>
      <c r="PE717"/>
      <c r="PF717"/>
      <c r="PG717"/>
      <c r="PH717"/>
      <c r="PI717"/>
      <c r="PJ717"/>
      <c r="PK717"/>
      <c r="PL717"/>
      <c r="PM717"/>
      <c r="PN717"/>
      <c r="PO717"/>
      <c r="PP717"/>
      <c r="PQ717"/>
      <c r="PR717"/>
      <c r="PS717"/>
      <c r="PT717"/>
      <c r="PU717"/>
      <c r="PV717"/>
      <c r="PW717"/>
      <c r="PX717"/>
      <c r="PY717"/>
      <c r="PZ717"/>
      <c r="QA717"/>
      <c r="QB717"/>
      <c r="QC717"/>
      <c r="QD717"/>
      <c r="QE717"/>
      <c r="QF717"/>
      <c r="QG717"/>
      <c r="QH717"/>
      <c r="QI717"/>
      <c r="QJ717"/>
      <c r="QK717"/>
      <c r="QL717"/>
      <c r="QM717"/>
      <c r="QN717"/>
      <c r="QO717"/>
      <c r="QP717"/>
      <c r="QQ717"/>
      <c r="QR717"/>
      <c r="QS717"/>
      <c r="QT717"/>
      <c r="QU717"/>
      <c r="QV717"/>
      <c r="QW717"/>
      <c r="QX717"/>
      <c r="QY717"/>
      <c r="QZ717"/>
      <c r="RA717"/>
      <c r="RB717"/>
      <c r="RC717"/>
      <c r="RD717"/>
      <c r="RE717"/>
      <c r="RF717"/>
      <c r="RG717"/>
      <c r="RH717"/>
      <c r="RI717"/>
      <c r="RJ717"/>
      <c r="RK717"/>
      <c r="RL717"/>
      <c r="RM717"/>
      <c r="RN717"/>
      <c r="RO717"/>
      <c r="RP717"/>
      <c r="RQ717"/>
      <c r="RR717"/>
      <c r="RS717"/>
      <c r="RT717"/>
      <c r="RU717"/>
      <c r="RV717"/>
      <c r="RW717"/>
      <c r="RX717"/>
      <c r="RY717"/>
      <c r="RZ717"/>
      <c r="SA717"/>
      <c r="SB717"/>
      <c r="SC717"/>
      <c r="SD717"/>
      <c r="SE717"/>
      <c r="SF717"/>
      <c r="SG717"/>
      <c r="SH717"/>
      <c r="SI717"/>
      <c r="SJ717"/>
      <c r="SK717"/>
      <c r="SL717"/>
      <c r="SM717"/>
      <c r="SN717"/>
      <c r="SO717"/>
      <c r="SP717"/>
      <c r="SQ717"/>
      <c r="SR717"/>
      <c r="SS717"/>
      <c r="ST717"/>
      <c r="SU717"/>
      <c r="SV717"/>
      <c r="SW717"/>
      <c r="SX717"/>
      <c r="SY717"/>
      <c r="SZ717"/>
      <c r="TA717"/>
      <c r="TB717"/>
      <c r="TC717"/>
      <c r="TD717"/>
      <c r="TE717"/>
      <c r="TF717"/>
      <c r="TG717"/>
      <c r="TH717"/>
      <c r="TI717"/>
      <c r="TJ717"/>
      <c r="TK717"/>
      <c r="TL717"/>
      <c r="TM717"/>
      <c r="TN717"/>
      <c r="TO717"/>
      <c r="TP717"/>
      <c r="TQ717"/>
      <c r="TR717"/>
      <c r="TS717"/>
      <c r="TT717"/>
      <c r="TU717"/>
      <c r="TV717"/>
      <c r="TW717"/>
      <c r="TX717"/>
      <c r="TY717"/>
      <c r="TZ717"/>
      <c r="UA717"/>
      <c r="UB717"/>
      <c r="UC717"/>
      <c r="UD717"/>
      <c r="UE717"/>
      <c r="UF717"/>
      <c r="UG717"/>
      <c r="UH717"/>
      <c r="UI717"/>
      <c r="UJ717"/>
      <c r="UK717"/>
      <c r="UL717"/>
      <c r="UM717"/>
      <c r="UN717"/>
      <c r="UO717"/>
      <c r="UP717"/>
      <c r="UQ717"/>
      <c r="UR717"/>
      <c r="US717"/>
      <c r="UT717"/>
      <c r="UU717"/>
      <c r="UV717"/>
      <c r="UW717"/>
      <c r="UX717"/>
      <c r="UY717"/>
      <c r="UZ717"/>
      <c r="VA717"/>
      <c r="VB717"/>
      <c r="VC717"/>
      <c r="VD717"/>
      <c r="VE717"/>
      <c r="VF717"/>
      <c r="VG717"/>
      <c r="VH717"/>
      <c r="VI717"/>
      <c r="VJ717"/>
      <c r="VK717"/>
      <c r="VL717"/>
      <c r="VM717"/>
      <c r="VN717"/>
      <c r="VO717"/>
      <c r="VP717"/>
      <c r="VQ717"/>
      <c r="VR717"/>
      <c r="VS717"/>
      <c r="VT717"/>
      <c r="VU717"/>
      <c r="VV717"/>
      <c r="VW717"/>
      <c r="VX717"/>
      <c r="VY717"/>
      <c r="VZ717"/>
      <c r="WA717"/>
      <c r="WB717"/>
      <c r="WC717"/>
      <c r="WD717"/>
      <c r="WE717"/>
      <c r="WF717"/>
      <c r="WG717"/>
      <c r="WH717"/>
      <c r="WI717"/>
      <c r="WJ717"/>
      <c r="WK717"/>
      <c r="WL717"/>
      <c r="WM717"/>
      <c r="WN717"/>
      <c r="WO717"/>
      <c r="WP717"/>
      <c r="WQ717"/>
      <c r="WR717"/>
      <c r="WS717"/>
      <c r="WT717"/>
      <c r="WU717"/>
      <c r="WV717"/>
      <c r="WW717"/>
      <c r="WX717"/>
      <c r="WY717"/>
      <c r="WZ717"/>
      <c r="XA717"/>
      <c r="XB717"/>
      <c r="XC717"/>
      <c r="XD717"/>
      <c r="XE717"/>
      <c r="XF717"/>
      <c r="XG717"/>
      <c r="XH717"/>
      <c r="XI717"/>
      <c r="XJ717"/>
      <c r="XK717"/>
      <c r="XL717"/>
      <c r="XM717"/>
      <c r="XN717"/>
      <c r="XO717"/>
      <c r="XP717"/>
      <c r="XQ717"/>
      <c r="XR717"/>
      <c r="XS717"/>
      <c r="XT717"/>
      <c r="XU717"/>
      <c r="XV717"/>
      <c r="XW717"/>
      <c r="XX717"/>
      <c r="XY717"/>
      <c r="XZ717"/>
      <c r="YA717"/>
      <c r="YB717"/>
      <c r="YC717"/>
      <c r="YD717"/>
      <c r="YE717"/>
      <c r="YF717"/>
      <c r="YG717"/>
      <c r="YH717"/>
      <c r="YI717"/>
      <c r="YJ717"/>
      <c r="YK717"/>
      <c r="YL717"/>
      <c r="YM717"/>
      <c r="YN717"/>
      <c r="YO717"/>
      <c r="YP717"/>
      <c r="YQ717"/>
      <c r="YR717"/>
      <c r="YS717"/>
      <c r="YT717"/>
      <c r="YU717"/>
      <c r="YV717"/>
      <c r="YW717"/>
      <c r="YX717"/>
      <c r="YY717"/>
      <c r="YZ717"/>
      <c r="ZA717"/>
      <c r="ZB717"/>
      <c r="ZC717"/>
      <c r="ZD717"/>
      <c r="ZE717"/>
      <c r="ZF717"/>
      <c r="ZG717"/>
      <c r="ZH717"/>
      <c r="ZI717"/>
      <c r="ZJ717"/>
      <c r="ZK717"/>
      <c r="ZL717"/>
      <c r="ZM717"/>
      <c r="ZN717"/>
      <c r="ZO717"/>
      <c r="ZP717"/>
      <c r="ZQ717"/>
      <c r="ZR717"/>
      <c r="ZS717"/>
      <c r="ZT717"/>
      <c r="ZU717"/>
      <c r="ZV717"/>
      <c r="ZW717"/>
      <c r="ZX717"/>
      <c r="ZY717"/>
      <c r="ZZ717" s="52"/>
      <c r="AAA717" s="192"/>
      <c r="AAD717" s="90"/>
      <c r="AAE717" s="519">
        <f>IF(S.Fee.Involved="Y",1,0)</f>
        <v>0</v>
      </c>
      <c r="AAF717" s="90" t="s">
        <v>0</v>
      </c>
      <c r="AAG717" s="94"/>
      <c r="AAH717" s="73">
        <f>IF(AAE717=0,,S.PostEQC.BANNER.Begin)</f>
        <v>0</v>
      </c>
      <c r="AAI717" s="72"/>
      <c r="AAJ717" s="72"/>
      <c r="AAK717" s="297" t="str">
        <f>IF(S.Fee.DASApprovalRequired="Y","* scans/saves as Rule_Development|7-PostEQC|DAS.PART2.pdf",IF(S.Fee.Involved="Y","* drafts email DAS notification for fees that don't require approval","* no DAS involvement"))</f>
        <v>* no DAS involvement</v>
      </c>
      <c r="AAL717" s="90"/>
    </row>
    <row r="718" spans="1:715" s="23" customFormat="1" ht="15" outlineLevel="1">
      <c r="A718" s="171"/>
      <c r="B718" s="363" t="str">
        <f t="shared" ref="B718" si="606">AAK718</f>
        <v>* no DAS involvement</v>
      </c>
      <c r="C718" s="358" t="s">
        <v>0</v>
      </c>
      <c r="D718" s="380"/>
      <c r="E718"/>
      <c r="F718" s="457">
        <f ca="1">IF(YEAR(H718)&gt;2000,NETWORKDAYS(TODAY(),H718,S.DDL_DEQClosed),0)</f>
        <v>0</v>
      </c>
      <c r="G718"/>
      <c r="H718" s="343">
        <f t="shared" ref="H718" si="607">AAH718</f>
        <v>0</v>
      </c>
      <c r="I718" s="245"/>
      <c r="J718" s="222"/>
      <c r="K718" s="223"/>
      <c r="L718" s="223"/>
      <c r="M718" s="223"/>
      <c r="N718" s="223"/>
      <c r="O718" s="223"/>
      <c r="P718" s="223"/>
      <c r="Q718" s="223"/>
      <c r="R718" s="223"/>
      <c r="S718" s="223"/>
      <c r="T718" s="223"/>
      <c r="U718" s="223"/>
      <c r="V718" s="223"/>
      <c r="W718" s="223"/>
      <c r="X718" s="223"/>
      <c r="Y718" s="223"/>
      <c r="Z718" s="223"/>
      <c r="AA718" s="223"/>
      <c r="AB718" s="223"/>
      <c r="AC718" s="223"/>
      <c r="AD718" s="223"/>
      <c r="AE718" s="223"/>
      <c r="AF718" s="223"/>
      <c r="AG718" s="223"/>
      <c r="AH718" s="223"/>
      <c r="AI718" s="223"/>
      <c r="AJ718" s="223"/>
      <c r="AK718" s="223"/>
      <c r="AL718" s="223"/>
      <c r="AM718" s="223"/>
      <c r="AN718" s="223"/>
      <c r="AO718" s="223"/>
      <c r="AP718" s="223"/>
      <c r="AQ718" s="223"/>
      <c r="AR718" s="223"/>
      <c r="AS718" s="223"/>
      <c r="AT718" s="223"/>
      <c r="AU718" s="223"/>
      <c r="AV718" s="223"/>
      <c r="AW718" s="223"/>
      <c r="AX718" s="223"/>
      <c r="AY718" s="223"/>
      <c r="AZ718" s="223"/>
      <c r="BA718" s="223"/>
      <c r="BB718" s="223"/>
      <c r="BC718" s="223"/>
      <c r="BD718" s="223"/>
      <c r="BE718" s="223"/>
      <c r="BF718" s="223"/>
      <c r="BG718" s="223"/>
      <c r="BH718" s="223"/>
      <c r="BI718" s="223"/>
      <c r="BJ718" s="223"/>
      <c r="BK718" s="223"/>
      <c r="BL718" s="223"/>
      <c r="BM718" s="223"/>
      <c r="BN718" s="223"/>
      <c r="BO718" s="223"/>
      <c r="BP718" s="223"/>
      <c r="BQ718" s="223"/>
      <c r="BR718" s="223"/>
      <c r="BS718" s="223"/>
      <c r="BT718" s="223"/>
      <c r="BU718" s="223"/>
      <c r="BV718" s="223"/>
      <c r="BW718" s="223"/>
      <c r="BX718" s="223"/>
      <c r="BY718" s="223"/>
      <c r="BZ718" s="223"/>
      <c r="CA718" s="223"/>
      <c r="CB718" s="223"/>
      <c r="CC718" s="223"/>
      <c r="CD718" s="223"/>
      <c r="CE718" s="223"/>
      <c r="CF718" s="223"/>
      <c r="CG718" s="223"/>
      <c r="CH718" s="223"/>
      <c r="CI718" s="223"/>
      <c r="CJ718" s="223"/>
      <c r="CK718" s="223"/>
      <c r="CL718" s="223"/>
      <c r="CM718" s="223"/>
      <c r="CN718" s="223"/>
      <c r="CO718" s="223"/>
      <c r="CP718" s="223"/>
      <c r="CQ718" s="223"/>
      <c r="CR718" s="223"/>
      <c r="CS718" s="223"/>
      <c r="CT718" s="223"/>
      <c r="CU718" s="223"/>
      <c r="CV718" s="223"/>
      <c r="CW718" s="223"/>
      <c r="CX718" s="223"/>
      <c r="CY718" s="223"/>
      <c r="CZ718" s="223"/>
      <c r="DA718" s="223"/>
      <c r="DB718" s="223"/>
      <c r="DC718" s="223"/>
      <c r="DD718" s="223"/>
      <c r="DE718" s="223"/>
      <c r="DF718" s="223"/>
      <c r="DG718" s="223"/>
      <c r="DH718" s="223"/>
      <c r="DI718" s="223"/>
      <c r="DJ718" s="223"/>
      <c r="DK718" s="223"/>
      <c r="DL718" s="223"/>
      <c r="DM718" s="223"/>
      <c r="DN718" s="223"/>
      <c r="DO718" s="223"/>
      <c r="DP718" s="223"/>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c r="IW718"/>
      <c r="IX718"/>
      <c r="IY718"/>
      <c r="IZ718"/>
      <c r="JA718"/>
      <c r="JB718"/>
      <c r="JC718"/>
      <c r="JD718"/>
      <c r="JE718"/>
      <c r="JF718"/>
      <c r="JG718"/>
      <c r="JH718"/>
      <c r="JI718"/>
      <c r="JJ718"/>
      <c r="JK718"/>
      <c r="JL718"/>
      <c r="JM718"/>
      <c r="JN718"/>
      <c r="JO718"/>
      <c r="JP718"/>
      <c r="JQ718"/>
      <c r="JR718"/>
      <c r="JS718"/>
      <c r="JT718"/>
      <c r="JU718"/>
      <c r="JV718"/>
      <c r="JW718"/>
      <c r="JX718"/>
      <c r="JY718"/>
      <c r="JZ718"/>
      <c r="KA718"/>
      <c r="KB718"/>
      <c r="KC718"/>
      <c r="KD718"/>
      <c r="KE718"/>
      <c r="KF718"/>
      <c r="KG718"/>
      <c r="KH718"/>
      <c r="KI718"/>
      <c r="KJ718"/>
      <c r="KK718"/>
      <c r="KL718"/>
      <c r="KM718"/>
      <c r="KN718"/>
      <c r="KO718"/>
      <c r="KP718"/>
      <c r="KQ718"/>
      <c r="KR718"/>
      <c r="KS718"/>
      <c r="KT718"/>
      <c r="KU718"/>
      <c r="KV718"/>
      <c r="KW718"/>
      <c r="KX718"/>
      <c r="KY718"/>
      <c r="KZ718"/>
      <c r="LA718"/>
      <c r="LB718"/>
      <c r="LC718"/>
      <c r="LD718"/>
      <c r="LE718"/>
      <c r="LF718"/>
      <c r="LG718"/>
      <c r="LH718"/>
      <c r="LI718"/>
      <c r="LJ718"/>
      <c r="LK718"/>
      <c r="LL718"/>
      <c r="LM718"/>
      <c r="LN718"/>
      <c r="LO718"/>
      <c r="LP718"/>
      <c r="LQ718"/>
      <c r="LR718"/>
      <c r="LS718"/>
      <c r="LT718"/>
      <c r="LU718"/>
      <c r="LV718"/>
      <c r="LW718"/>
      <c r="LX718"/>
      <c r="LY718"/>
      <c r="LZ718"/>
      <c r="MA718"/>
      <c r="MB718"/>
      <c r="MC718"/>
      <c r="MD718"/>
      <c r="ME718"/>
      <c r="MF718"/>
      <c r="MG718"/>
      <c r="MH718"/>
      <c r="MI718"/>
      <c r="MJ718"/>
      <c r="MK718"/>
      <c r="ML718"/>
      <c r="MM718"/>
      <c r="MN718"/>
      <c r="MO718"/>
      <c r="MP718"/>
      <c r="MQ718"/>
      <c r="MR718"/>
      <c r="MS718"/>
      <c r="MT718"/>
      <c r="MU718"/>
      <c r="MV718"/>
      <c r="MW718"/>
      <c r="MX718"/>
      <c r="MY718"/>
      <c r="MZ718"/>
      <c r="NA718"/>
      <c r="NB718"/>
      <c r="NC718"/>
      <c r="ND718"/>
      <c r="NE718"/>
      <c r="NF718"/>
      <c r="NG718"/>
      <c r="NH718"/>
      <c r="NI718"/>
      <c r="NJ718"/>
      <c r="NK718"/>
      <c r="NL718"/>
      <c r="NM718"/>
      <c r="NN718"/>
      <c r="NO718"/>
      <c r="NP718"/>
      <c r="NQ718"/>
      <c r="NR718"/>
      <c r="NS718"/>
      <c r="NT718"/>
      <c r="NU718"/>
      <c r="NV718"/>
      <c r="NW718"/>
      <c r="NX718"/>
      <c r="NY718"/>
      <c r="NZ718"/>
      <c r="OA718"/>
      <c r="OB718"/>
      <c r="OC718"/>
      <c r="OD718"/>
      <c r="OE718"/>
      <c r="OF718"/>
      <c r="OG718"/>
      <c r="OH718"/>
      <c r="OI718"/>
      <c r="OJ718"/>
      <c r="OK718"/>
      <c r="OL718"/>
      <c r="OM718"/>
      <c r="ON718"/>
      <c r="OO718"/>
      <c r="OP718"/>
      <c r="OQ718"/>
      <c r="OR718"/>
      <c r="OS718"/>
      <c r="OT718"/>
      <c r="OU718"/>
      <c r="OV718"/>
      <c r="OW718"/>
      <c r="OX718"/>
      <c r="OY718"/>
      <c r="OZ718"/>
      <c r="PA718"/>
      <c r="PB718"/>
      <c r="PC718"/>
      <c r="PD718"/>
      <c r="PE718"/>
      <c r="PF718"/>
      <c r="PG718"/>
      <c r="PH718"/>
      <c r="PI718"/>
      <c r="PJ718"/>
      <c r="PK718"/>
      <c r="PL718"/>
      <c r="PM718"/>
      <c r="PN718"/>
      <c r="PO718"/>
      <c r="PP718"/>
      <c r="PQ718"/>
      <c r="PR718"/>
      <c r="PS718"/>
      <c r="PT718"/>
      <c r="PU718"/>
      <c r="PV718"/>
      <c r="PW718"/>
      <c r="PX718"/>
      <c r="PY718"/>
      <c r="PZ718"/>
      <c r="QA718"/>
      <c r="QB718"/>
      <c r="QC718"/>
      <c r="QD718"/>
      <c r="QE718"/>
      <c r="QF718"/>
      <c r="QG718"/>
      <c r="QH718"/>
      <c r="QI718"/>
      <c r="QJ718"/>
      <c r="QK718"/>
      <c r="QL718"/>
      <c r="QM718"/>
      <c r="QN718"/>
      <c r="QO718"/>
      <c r="QP718"/>
      <c r="QQ718"/>
      <c r="QR718"/>
      <c r="QS718"/>
      <c r="QT718"/>
      <c r="QU718"/>
      <c r="QV718"/>
      <c r="QW718"/>
      <c r="QX718"/>
      <c r="QY718"/>
      <c r="QZ718"/>
      <c r="RA718"/>
      <c r="RB718"/>
      <c r="RC718"/>
      <c r="RD718"/>
      <c r="RE718"/>
      <c r="RF718"/>
      <c r="RG718"/>
      <c r="RH718"/>
      <c r="RI718"/>
      <c r="RJ718"/>
      <c r="RK718"/>
      <c r="RL718"/>
      <c r="RM718"/>
      <c r="RN718"/>
      <c r="RO718"/>
      <c r="RP718"/>
      <c r="RQ718"/>
      <c r="RR718"/>
      <c r="RS718"/>
      <c r="RT718"/>
      <c r="RU718"/>
      <c r="RV718"/>
      <c r="RW718"/>
      <c r="RX718"/>
      <c r="RY718"/>
      <c r="RZ718"/>
      <c r="SA718"/>
      <c r="SB718"/>
      <c r="SC718"/>
      <c r="SD718"/>
      <c r="SE718"/>
      <c r="SF718"/>
      <c r="SG718"/>
      <c r="SH718"/>
      <c r="SI718"/>
      <c r="SJ718"/>
      <c r="SK718"/>
      <c r="SL718"/>
      <c r="SM718"/>
      <c r="SN718"/>
      <c r="SO718"/>
      <c r="SP718"/>
      <c r="SQ718"/>
      <c r="SR718"/>
      <c r="SS718"/>
      <c r="ST718"/>
      <c r="SU718"/>
      <c r="SV718"/>
      <c r="SW718"/>
      <c r="SX718"/>
      <c r="SY718"/>
      <c r="SZ718"/>
      <c r="TA718"/>
      <c r="TB718"/>
      <c r="TC718"/>
      <c r="TD718"/>
      <c r="TE718"/>
      <c r="TF718"/>
      <c r="TG718"/>
      <c r="TH718"/>
      <c r="TI718"/>
      <c r="TJ718"/>
      <c r="TK718"/>
      <c r="TL718"/>
      <c r="TM718"/>
      <c r="TN718"/>
      <c r="TO718"/>
      <c r="TP718"/>
      <c r="TQ718"/>
      <c r="TR718"/>
      <c r="TS718"/>
      <c r="TT718"/>
      <c r="TU718"/>
      <c r="TV718"/>
      <c r="TW718"/>
      <c r="TX718"/>
      <c r="TY718"/>
      <c r="TZ718"/>
      <c r="UA718"/>
      <c r="UB718"/>
      <c r="UC718"/>
      <c r="UD718"/>
      <c r="UE718"/>
      <c r="UF718"/>
      <c r="UG718"/>
      <c r="UH718"/>
      <c r="UI718"/>
      <c r="UJ718"/>
      <c r="UK718"/>
      <c r="UL718"/>
      <c r="UM718"/>
      <c r="UN718"/>
      <c r="UO718"/>
      <c r="UP718"/>
      <c r="UQ718"/>
      <c r="UR718"/>
      <c r="US718"/>
      <c r="UT718"/>
      <c r="UU718"/>
      <c r="UV718"/>
      <c r="UW718"/>
      <c r="UX718"/>
      <c r="UY718"/>
      <c r="UZ718"/>
      <c r="VA718"/>
      <c r="VB718"/>
      <c r="VC718"/>
      <c r="VD718"/>
      <c r="VE718"/>
      <c r="VF718"/>
      <c r="VG718"/>
      <c r="VH718"/>
      <c r="VI718"/>
      <c r="VJ718"/>
      <c r="VK718"/>
      <c r="VL718"/>
      <c r="VM718"/>
      <c r="VN718"/>
      <c r="VO718"/>
      <c r="VP718"/>
      <c r="VQ718"/>
      <c r="VR718"/>
      <c r="VS718"/>
      <c r="VT718"/>
      <c r="VU718"/>
      <c r="VV718"/>
      <c r="VW718"/>
      <c r="VX718"/>
      <c r="VY718"/>
      <c r="VZ718"/>
      <c r="WA718"/>
      <c r="WB718"/>
      <c r="WC718"/>
      <c r="WD718"/>
      <c r="WE718"/>
      <c r="WF718"/>
      <c r="WG718"/>
      <c r="WH718"/>
      <c r="WI718"/>
      <c r="WJ718"/>
      <c r="WK718"/>
      <c r="WL718"/>
      <c r="WM718"/>
      <c r="WN718"/>
      <c r="WO718"/>
      <c r="WP718"/>
      <c r="WQ718"/>
      <c r="WR718"/>
      <c r="WS718"/>
      <c r="WT718"/>
      <c r="WU718"/>
      <c r="WV718"/>
      <c r="WW718"/>
      <c r="WX718"/>
      <c r="WY718"/>
      <c r="WZ718"/>
      <c r="XA718"/>
      <c r="XB718"/>
      <c r="XC718"/>
      <c r="XD718"/>
      <c r="XE718"/>
      <c r="XF718"/>
      <c r="XG718"/>
      <c r="XH718"/>
      <c r="XI718"/>
      <c r="XJ718"/>
      <c r="XK718"/>
      <c r="XL718"/>
      <c r="XM718"/>
      <c r="XN718"/>
      <c r="XO718"/>
      <c r="XP718"/>
      <c r="XQ718"/>
      <c r="XR718"/>
      <c r="XS718"/>
      <c r="XT718"/>
      <c r="XU718"/>
      <c r="XV718"/>
      <c r="XW718"/>
      <c r="XX718"/>
      <c r="XY718"/>
      <c r="XZ718"/>
      <c r="YA718"/>
      <c r="YB718"/>
      <c r="YC718"/>
      <c r="YD718"/>
      <c r="YE718"/>
      <c r="YF718"/>
      <c r="YG718"/>
      <c r="YH718"/>
      <c r="YI718"/>
      <c r="YJ718"/>
      <c r="YK718"/>
      <c r="YL718"/>
      <c r="YM718"/>
      <c r="YN718"/>
      <c r="YO718"/>
      <c r="YP718"/>
      <c r="YQ718"/>
      <c r="YR718"/>
      <c r="YS718"/>
      <c r="YT718"/>
      <c r="YU718"/>
      <c r="YV718"/>
      <c r="YW718"/>
      <c r="YX718"/>
      <c r="YY718"/>
      <c r="YZ718"/>
      <c r="ZA718"/>
      <c r="ZB718"/>
      <c r="ZC718"/>
      <c r="ZD718"/>
      <c r="ZE718"/>
      <c r="ZF718"/>
      <c r="ZG718"/>
      <c r="ZH718"/>
      <c r="ZI718"/>
      <c r="ZJ718"/>
      <c r="ZK718"/>
      <c r="ZL718"/>
      <c r="ZM718"/>
      <c r="ZN718"/>
      <c r="ZO718"/>
      <c r="ZP718"/>
      <c r="ZQ718"/>
      <c r="ZR718"/>
      <c r="ZS718"/>
      <c r="ZT718"/>
      <c r="ZU718"/>
      <c r="ZV718"/>
      <c r="ZW718"/>
      <c r="ZX718"/>
      <c r="ZY718"/>
      <c r="ZZ718" s="52"/>
      <c r="AAA718" s="192"/>
      <c r="AAD718" s="90"/>
      <c r="AAE718" s="519">
        <f>IF(S.Fee.Involved="Y",1,0)</f>
        <v>0</v>
      </c>
      <c r="AAF718" s="90" t="s">
        <v>0</v>
      </c>
      <c r="AAG718" s="94"/>
      <c r="AAH718" s="73">
        <f>IF(AAE718=0,,S.PostEQC.BANNER.Begin)</f>
        <v>0</v>
      </c>
      <c r="AAI718" s="72"/>
      <c r="AAJ718" s="72"/>
      <c r="AAK718" s="297" t="str">
        <f>IF(S.Fee.DASApprovalRequired="Y","* emails DAS.PART2.pdf to DAS (requests delivery receipt)",IF(S.Fee.Involved="Y","* emails DAS.NOTIFICATION to DAS (requests delivery receipt) ","* no DAS involvement"))</f>
        <v>* no DAS involvement</v>
      </c>
      <c r="AAL718" s="90"/>
    </row>
    <row r="719" spans="1:715" s="23" customFormat="1" ht="15.75" customHeight="1" outlineLevel="1">
      <c r="A719" s="171"/>
      <c r="B719" s="363" t="str">
        <f t="shared" ref="B719" si="608">AAK719</f>
        <v>* no DAS involvement</v>
      </c>
      <c r="C719" s="358" t="s">
        <v>0</v>
      </c>
      <c r="D719" s="380"/>
      <c r="E719"/>
      <c r="F719" s="457">
        <f ca="1">IF(YEAR(H719)&gt;2000,NETWORKDAYS(TODAY(),H719,S.DDL_DEQClosed),0)</f>
        <v>0</v>
      </c>
      <c r="G719"/>
      <c r="H719" s="343">
        <f t="shared" ref="H719" si="609">AAH719</f>
        <v>0</v>
      </c>
      <c r="I719" s="245"/>
      <c r="J719" s="222"/>
      <c r="K719" s="223"/>
      <c r="L719" s="223"/>
      <c r="M719" s="223"/>
      <c r="N719" s="223"/>
      <c r="O719" s="223"/>
      <c r="P719" s="223"/>
      <c r="Q719" s="223"/>
      <c r="R719" s="223"/>
      <c r="S719" s="223"/>
      <c r="T719" s="223"/>
      <c r="U719" s="223"/>
      <c r="V719" s="223"/>
      <c r="W719" s="223"/>
      <c r="X719" s="223"/>
      <c r="Y719" s="223"/>
      <c r="Z719" s="223"/>
      <c r="AA719" s="223"/>
      <c r="AB719" s="223"/>
      <c r="AC719" s="223"/>
      <c r="AD719" s="223"/>
      <c r="AE719" s="223"/>
      <c r="AF719" s="223"/>
      <c r="AG719" s="223"/>
      <c r="AH719" s="223"/>
      <c r="AI719" s="223"/>
      <c r="AJ719" s="223"/>
      <c r="AK719" s="223"/>
      <c r="AL719" s="223"/>
      <c r="AM719" s="223"/>
      <c r="AN719" s="223"/>
      <c r="AO719" s="223"/>
      <c r="AP719" s="223"/>
      <c r="AQ719" s="223"/>
      <c r="AR719" s="223"/>
      <c r="AS719" s="223"/>
      <c r="AT719" s="223"/>
      <c r="AU719" s="223"/>
      <c r="AV719" s="223"/>
      <c r="AW719" s="223"/>
      <c r="AX719" s="223"/>
      <c r="AY719" s="223"/>
      <c r="AZ719" s="223"/>
      <c r="BA719" s="223"/>
      <c r="BB719" s="223"/>
      <c r="BC719" s="223"/>
      <c r="BD719" s="223"/>
      <c r="BE719" s="223"/>
      <c r="BF719" s="223"/>
      <c r="BG719" s="223"/>
      <c r="BH719" s="223"/>
      <c r="BI719" s="223"/>
      <c r="BJ719" s="223"/>
      <c r="BK719" s="223"/>
      <c r="BL719" s="223"/>
      <c r="BM719" s="223"/>
      <c r="BN719" s="223"/>
      <c r="BO719" s="223"/>
      <c r="BP719" s="223"/>
      <c r="BQ719" s="223"/>
      <c r="BR719" s="223"/>
      <c r="BS719" s="223"/>
      <c r="BT719" s="223"/>
      <c r="BU719" s="223"/>
      <c r="BV719" s="223"/>
      <c r="BW719" s="223"/>
      <c r="BX719" s="223"/>
      <c r="BY719" s="223"/>
      <c r="BZ719" s="223"/>
      <c r="CA719" s="223"/>
      <c r="CB719" s="223"/>
      <c r="CC719" s="223"/>
      <c r="CD719" s="223"/>
      <c r="CE719" s="223"/>
      <c r="CF719" s="223"/>
      <c r="CG719" s="223"/>
      <c r="CH719" s="223"/>
      <c r="CI719" s="223"/>
      <c r="CJ719" s="223"/>
      <c r="CK719" s="223"/>
      <c r="CL719" s="223"/>
      <c r="CM719" s="223"/>
      <c r="CN719" s="223"/>
      <c r="CO719" s="223"/>
      <c r="CP719" s="223"/>
      <c r="CQ719" s="223"/>
      <c r="CR719" s="223"/>
      <c r="CS719" s="223"/>
      <c r="CT719" s="223"/>
      <c r="CU719" s="223"/>
      <c r="CV719" s="223"/>
      <c r="CW719" s="223"/>
      <c r="CX719" s="223"/>
      <c r="CY719" s="223"/>
      <c r="CZ719" s="223"/>
      <c r="DA719" s="223"/>
      <c r="DB719" s="223"/>
      <c r="DC719" s="223"/>
      <c r="DD719" s="223"/>
      <c r="DE719" s="223"/>
      <c r="DF719" s="223"/>
      <c r="DG719" s="223"/>
      <c r="DH719" s="223"/>
      <c r="DI719" s="223"/>
      <c r="DJ719" s="223"/>
      <c r="DK719" s="223"/>
      <c r="DL719" s="223"/>
      <c r="DM719" s="223"/>
      <c r="DN719" s="223"/>
      <c r="DO719" s="223"/>
      <c r="DP719" s="223"/>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c r="IW719"/>
      <c r="IX719"/>
      <c r="IY719"/>
      <c r="IZ719"/>
      <c r="JA719"/>
      <c r="JB719"/>
      <c r="JC719"/>
      <c r="JD719"/>
      <c r="JE719"/>
      <c r="JF719"/>
      <c r="JG719"/>
      <c r="JH719"/>
      <c r="JI719"/>
      <c r="JJ719"/>
      <c r="JK719"/>
      <c r="JL719"/>
      <c r="JM719"/>
      <c r="JN719"/>
      <c r="JO719"/>
      <c r="JP719"/>
      <c r="JQ719"/>
      <c r="JR719"/>
      <c r="JS719"/>
      <c r="JT719"/>
      <c r="JU719"/>
      <c r="JV719"/>
      <c r="JW719"/>
      <c r="JX719"/>
      <c r="JY719"/>
      <c r="JZ719"/>
      <c r="KA719"/>
      <c r="KB719"/>
      <c r="KC719"/>
      <c r="KD719"/>
      <c r="KE719"/>
      <c r="KF719"/>
      <c r="KG719"/>
      <c r="KH719"/>
      <c r="KI719"/>
      <c r="KJ719"/>
      <c r="KK719"/>
      <c r="KL719"/>
      <c r="KM719"/>
      <c r="KN719"/>
      <c r="KO719"/>
      <c r="KP719"/>
      <c r="KQ719"/>
      <c r="KR719"/>
      <c r="KS719"/>
      <c r="KT719"/>
      <c r="KU719"/>
      <c r="KV719"/>
      <c r="KW719"/>
      <c r="KX719"/>
      <c r="KY719"/>
      <c r="KZ719"/>
      <c r="LA719"/>
      <c r="LB719"/>
      <c r="LC719"/>
      <c r="LD719"/>
      <c r="LE719"/>
      <c r="LF719"/>
      <c r="LG719"/>
      <c r="LH719"/>
      <c r="LI719"/>
      <c r="LJ719"/>
      <c r="LK719"/>
      <c r="LL719"/>
      <c r="LM719"/>
      <c r="LN719"/>
      <c r="LO719"/>
      <c r="LP719"/>
      <c r="LQ719"/>
      <c r="LR719"/>
      <c r="LS719"/>
      <c r="LT719"/>
      <c r="LU719"/>
      <c r="LV719"/>
      <c r="LW719"/>
      <c r="LX719"/>
      <c r="LY719"/>
      <c r="LZ719"/>
      <c r="MA719"/>
      <c r="MB719"/>
      <c r="MC719"/>
      <c r="MD719"/>
      <c r="ME719"/>
      <c r="MF719"/>
      <c r="MG719"/>
      <c r="MH719"/>
      <c r="MI719"/>
      <c r="MJ719"/>
      <c r="MK719"/>
      <c r="ML719"/>
      <c r="MM719"/>
      <c r="MN719"/>
      <c r="MO719"/>
      <c r="MP719"/>
      <c r="MQ719"/>
      <c r="MR719"/>
      <c r="MS719"/>
      <c r="MT719"/>
      <c r="MU719"/>
      <c r="MV719"/>
      <c r="MW719"/>
      <c r="MX719"/>
      <c r="MY719"/>
      <c r="MZ719"/>
      <c r="NA719"/>
      <c r="NB719"/>
      <c r="NC719"/>
      <c r="ND719"/>
      <c r="NE719"/>
      <c r="NF719"/>
      <c r="NG719"/>
      <c r="NH719"/>
      <c r="NI719"/>
      <c r="NJ719"/>
      <c r="NK719"/>
      <c r="NL719"/>
      <c r="NM719"/>
      <c r="NN719"/>
      <c r="NO719"/>
      <c r="NP719"/>
      <c r="NQ719"/>
      <c r="NR719"/>
      <c r="NS719"/>
      <c r="NT719"/>
      <c r="NU719"/>
      <c r="NV719"/>
      <c r="NW719"/>
      <c r="NX719"/>
      <c r="NY719"/>
      <c r="NZ719"/>
      <c r="OA719"/>
      <c r="OB719"/>
      <c r="OC719"/>
      <c r="OD719"/>
      <c r="OE719"/>
      <c r="OF719"/>
      <c r="OG719"/>
      <c r="OH719"/>
      <c r="OI719"/>
      <c r="OJ719"/>
      <c r="OK719"/>
      <c r="OL719"/>
      <c r="OM719"/>
      <c r="ON719"/>
      <c r="OO719"/>
      <c r="OP719"/>
      <c r="OQ719"/>
      <c r="OR719"/>
      <c r="OS719"/>
      <c r="OT719"/>
      <c r="OU719"/>
      <c r="OV719"/>
      <c r="OW719"/>
      <c r="OX719"/>
      <c r="OY719"/>
      <c r="OZ719"/>
      <c r="PA719"/>
      <c r="PB719"/>
      <c r="PC719"/>
      <c r="PD719"/>
      <c r="PE719"/>
      <c r="PF719"/>
      <c r="PG719"/>
      <c r="PH719"/>
      <c r="PI719"/>
      <c r="PJ719"/>
      <c r="PK719"/>
      <c r="PL719"/>
      <c r="PM719"/>
      <c r="PN719"/>
      <c r="PO719"/>
      <c r="PP719"/>
      <c r="PQ719"/>
      <c r="PR719"/>
      <c r="PS719"/>
      <c r="PT719"/>
      <c r="PU719"/>
      <c r="PV719"/>
      <c r="PW719"/>
      <c r="PX719"/>
      <c r="PY719"/>
      <c r="PZ719"/>
      <c r="QA719"/>
      <c r="QB719"/>
      <c r="QC719"/>
      <c r="QD719"/>
      <c r="QE719"/>
      <c r="QF719"/>
      <c r="QG719"/>
      <c r="QH719"/>
      <c r="QI719"/>
      <c r="QJ719"/>
      <c r="QK719"/>
      <c r="QL719"/>
      <c r="QM719"/>
      <c r="QN719"/>
      <c r="QO719"/>
      <c r="QP719"/>
      <c r="QQ719"/>
      <c r="QR719"/>
      <c r="QS719"/>
      <c r="QT719"/>
      <c r="QU719"/>
      <c r="QV719"/>
      <c r="QW719"/>
      <c r="QX719"/>
      <c r="QY719"/>
      <c r="QZ719"/>
      <c r="RA719"/>
      <c r="RB719"/>
      <c r="RC719"/>
      <c r="RD719"/>
      <c r="RE719"/>
      <c r="RF719"/>
      <c r="RG719"/>
      <c r="RH719"/>
      <c r="RI719"/>
      <c r="RJ719"/>
      <c r="RK719"/>
      <c r="RL719"/>
      <c r="RM719"/>
      <c r="RN719"/>
      <c r="RO719"/>
      <c r="RP719"/>
      <c r="RQ719"/>
      <c r="RR719"/>
      <c r="RS719"/>
      <c r="RT719"/>
      <c r="RU719"/>
      <c r="RV719"/>
      <c r="RW719"/>
      <c r="RX719"/>
      <c r="RY719"/>
      <c r="RZ719"/>
      <c r="SA719"/>
      <c r="SB719"/>
      <c r="SC719"/>
      <c r="SD719"/>
      <c r="SE719"/>
      <c r="SF719"/>
      <c r="SG719"/>
      <c r="SH719"/>
      <c r="SI719"/>
      <c r="SJ719"/>
      <c r="SK719"/>
      <c r="SL719"/>
      <c r="SM719"/>
      <c r="SN719"/>
      <c r="SO719"/>
      <c r="SP719"/>
      <c r="SQ719"/>
      <c r="SR719"/>
      <c r="SS719"/>
      <c r="ST719"/>
      <c r="SU719"/>
      <c r="SV719"/>
      <c r="SW719"/>
      <c r="SX719"/>
      <c r="SY719"/>
      <c r="SZ719"/>
      <c r="TA719"/>
      <c r="TB719"/>
      <c r="TC719"/>
      <c r="TD719"/>
      <c r="TE719"/>
      <c r="TF719"/>
      <c r="TG719"/>
      <c r="TH719"/>
      <c r="TI719"/>
      <c r="TJ719"/>
      <c r="TK719"/>
      <c r="TL719"/>
      <c r="TM719"/>
      <c r="TN719"/>
      <c r="TO719"/>
      <c r="TP719"/>
      <c r="TQ719"/>
      <c r="TR719"/>
      <c r="TS719"/>
      <c r="TT719"/>
      <c r="TU719"/>
      <c r="TV719"/>
      <c r="TW719"/>
      <c r="TX719"/>
      <c r="TY719"/>
      <c r="TZ719"/>
      <c r="UA719"/>
      <c r="UB719"/>
      <c r="UC719"/>
      <c r="UD719"/>
      <c r="UE719"/>
      <c r="UF719"/>
      <c r="UG719"/>
      <c r="UH719"/>
      <c r="UI719"/>
      <c r="UJ719"/>
      <c r="UK719"/>
      <c r="UL719"/>
      <c r="UM719"/>
      <c r="UN719"/>
      <c r="UO719"/>
      <c r="UP719"/>
      <c r="UQ719"/>
      <c r="UR719"/>
      <c r="US719"/>
      <c r="UT719"/>
      <c r="UU719"/>
      <c r="UV719"/>
      <c r="UW719"/>
      <c r="UX719"/>
      <c r="UY719"/>
      <c r="UZ719"/>
      <c r="VA719"/>
      <c r="VB719"/>
      <c r="VC719"/>
      <c r="VD719"/>
      <c r="VE719"/>
      <c r="VF719"/>
      <c r="VG719"/>
      <c r="VH719"/>
      <c r="VI719"/>
      <c r="VJ719"/>
      <c r="VK719"/>
      <c r="VL719"/>
      <c r="VM719"/>
      <c r="VN719"/>
      <c r="VO719"/>
      <c r="VP719"/>
      <c r="VQ719"/>
      <c r="VR719"/>
      <c r="VS719"/>
      <c r="VT719"/>
      <c r="VU719"/>
      <c r="VV719"/>
      <c r="VW719"/>
      <c r="VX719"/>
      <c r="VY719"/>
      <c r="VZ719"/>
      <c r="WA719"/>
      <c r="WB719"/>
      <c r="WC719"/>
      <c r="WD719"/>
      <c r="WE719"/>
      <c r="WF719"/>
      <c r="WG719"/>
      <c r="WH719"/>
      <c r="WI719"/>
      <c r="WJ719"/>
      <c r="WK719"/>
      <c r="WL719"/>
      <c r="WM719"/>
      <c r="WN719"/>
      <c r="WO719"/>
      <c r="WP719"/>
      <c r="WQ719"/>
      <c r="WR719"/>
      <c r="WS719"/>
      <c r="WT719"/>
      <c r="WU719"/>
      <c r="WV719"/>
      <c r="WW719"/>
      <c r="WX719"/>
      <c r="WY719"/>
      <c r="WZ719"/>
      <c r="XA719"/>
      <c r="XB719"/>
      <c r="XC719"/>
      <c r="XD719"/>
      <c r="XE719"/>
      <c r="XF719"/>
      <c r="XG719"/>
      <c r="XH719"/>
      <c r="XI719"/>
      <c r="XJ719"/>
      <c r="XK719"/>
      <c r="XL719"/>
      <c r="XM719"/>
      <c r="XN719"/>
      <c r="XO719"/>
      <c r="XP719"/>
      <c r="XQ719"/>
      <c r="XR719"/>
      <c r="XS719"/>
      <c r="XT719"/>
      <c r="XU719"/>
      <c r="XV719"/>
      <c r="XW719"/>
      <c r="XX719"/>
      <c r="XY719"/>
      <c r="XZ719"/>
      <c r="YA719"/>
      <c r="YB719"/>
      <c r="YC719"/>
      <c r="YD719"/>
      <c r="YE719"/>
      <c r="YF719"/>
      <c r="YG719"/>
      <c r="YH719"/>
      <c r="YI719"/>
      <c r="YJ719"/>
      <c r="YK719"/>
      <c r="YL719"/>
      <c r="YM719"/>
      <c r="YN719"/>
      <c r="YO719"/>
      <c r="YP719"/>
      <c r="YQ719"/>
      <c r="YR719"/>
      <c r="YS719"/>
      <c r="YT719"/>
      <c r="YU719"/>
      <c r="YV719"/>
      <c r="YW719"/>
      <c r="YX719"/>
      <c r="YY719"/>
      <c r="YZ719"/>
      <c r="ZA719"/>
      <c r="ZB719"/>
      <c r="ZC719"/>
      <c r="ZD719"/>
      <c r="ZE719"/>
      <c r="ZF719"/>
      <c r="ZG719"/>
      <c r="ZH719"/>
      <c r="ZI719"/>
      <c r="ZJ719"/>
      <c r="ZK719"/>
      <c r="ZL719"/>
      <c r="ZM719"/>
      <c r="ZN719"/>
      <c r="ZO719"/>
      <c r="ZP719"/>
      <c r="ZQ719"/>
      <c r="ZR719"/>
      <c r="ZS719"/>
      <c r="ZT719"/>
      <c r="ZU719"/>
      <c r="ZV719"/>
      <c r="ZW719"/>
      <c r="ZX719"/>
      <c r="ZY719"/>
      <c r="ZZ719" s="52"/>
      <c r="AAA719" s="192"/>
      <c r="AAD719" s="90"/>
      <c r="AAE719" s="519">
        <f>IF(S.Fee.Involved="Y",1,0)</f>
        <v>0</v>
      </c>
      <c r="AAF719" s="90" t="s">
        <v>0</v>
      </c>
      <c r="AAG719" s="94"/>
      <c r="AAH719" s="73">
        <f>IF(AAE719=0,,S.PostEQC.BANNER.Begin)</f>
        <v>0</v>
      </c>
      <c r="AAI719" s="72"/>
      <c r="AAJ719" s="72"/>
      <c r="AAK719" s="297" t="str">
        <f>IF(S.Fee.DASApprovalRequired="Y","* saves receipts as Rule_Dev.|7-PostEQC|PROOF.DAS.DELIVERY.pdf",IF(S.Fee.Involved="Y","* saves reciepts as Rule_Dev.|7-PostEQC|PROOF.DAS.DELIVERY.pdf","* no DAS involvement"))</f>
        <v>* no DAS involvement</v>
      </c>
      <c r="AAL719" s="90"/>
    </row>
    <row r="720" spans="1:715" s="23" customFormat="1" ht="15" customHeight="1" outlineLevel="1">
      <c r="A720" s="171"/>
      <c r="B720" s="300" t="str">
        <f>AAK720</f>
        <v>Maggie:</v>
      </c>
      <c r="C720" s="409"/>
      <c r="D720" s="430"/>
      <c r="E720" s="350"/>
      <c r="F720" s="350"/>
      <c r="G720" s="346"/>
      <c r="H720" s="346"/>
      <c r="I720" s="244"/>
      <c r="J720" s="199"/>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44"/>
      <c r="CD720" s="44"/>
      <c r="CE720" s="44"/>
      <c r="CF720" s="44"/>
      <c r="CG720" s="44"/>
      <c r="CH720" s="44"/>
      <c r="CI720" s="44"/>
      <c r="CJ720" s="44"/>
      <c r="CK720" s="44"/>
      <c r="CL720" s="44"/>
      <c r="CM720" s="44"/>
      <c r="CN720" s="44"/>
      <c r="CO720" s="44"/>
      <c r="CP720" s="44"/>
      <c r="CQ720" s="44"/>
      <c r="CR720" s="44"/>
      <c r="CS720" s="44"/>
      <c r="CT720" s="44"/>
      <c r="CU720" s="44"/>
      <c r="CV720" s="44"/>
      <c r="CW720" s="44"/>
      <c r="CX720" s="44"/>
      <c r="CY720" s="44"/>
      <c r="CZ720" s="44"/>
      <c r="DA720" s="44"/>
      <c r="DB720" s="44"/>
      <c r="DC720" s="44"/>
      <c r="DD720" s="44"/>
      <c r="DE720" s="44"/>
      <c r="DF720" s="44"/>
      <c r="DG720" s="44"/>
      <c r="DH720" s="44"/>
      <c r="DI720" s="44"/>
      <c r="DJ720" s="44"/>
      <c r="DK720" s="44"/>
      <c r="DL720" s="44"/>
      <c r="DM720" s="44"/>
      <c r="DN720" s="44"/>
      <c r="DO720" s="44"/>
      <c r="DP720" s="44"/>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c r="IW720"/>
      <c r="IX720"/>
      <c r="IY720"/>
      <c r="IZ720"/>
      <c r="JA720"/>
      <c r="JB720"/>
      <c r="JC720"/>
      <c r="JD720"/>
      <c r="JE720"/>
      <c r="JF720"/>
      <c r="JG720"/>
      <c r="JH720"/>
      <c r="JI720"/>
      <c r="JJ720"/>
      <c r="JK720"/>
      <c r="JL720"/>
      <c r="JM720"/>
      <c r="JN720"/>
      <c r="JO720"/>
      <c r="JP720"/>
      <c r="JQ720"/>
      <c r="JR720"/>
      <c r="JS720"/>
      <c r="JT720"/>
      <c r="JU720"/>
      <c r="JV720"/>
      <c r="JW720"/>
      <c r="JX720"/>
      <c r="JY720"/>
      <c r="JZ720"/>
      <c r="KA720"/>
      <c r="KB720"/>
      <c r="KC720"/>
      <c r="KD720"/>
      <c r="KE720"/>
      <c r="KF720"/>
      <c r="KG720"/>
      <c r="KH720"/>
      <c r="KI720"/>
      <c r="KJ720"/>
      <c r="KK720"/>
      <c r="KL720"/>
      <c r="KM720"/>
      <c r="KN720"/>
      <c r="KO720"/>
      <c r="KP720"/>
      <c r="KQ720"/>
      <c r="KR720"/>
      <c r="KS720"/>
      <c r="KT720"/>
      <c r="KU720"/>
      <c r="KV720"/>
      <c r="KW720"/>
      <c r="KX720"/>
      <c r="KY720"/>
      <c r="KZ720"/>
      <c r="LA720"/>
      <c r="LB720"/>
      <c r="LC720"/>
      <c r="LD720"/>
      <c r="LE720"/>
      <c r="LF720"/>
      <c r="LG720"/>
      <c r="LH720"/>
      <c r="LI720"/>
      <c r="LJ720"/>
      <c r="LK720"/>
      <c r="LL720"/>
      <c r="LM720"/>
      <c r="LN720"/>
      <c r="LO720"/>
      <c r="LP720"/>
      <c r="LQ720"/>
      <c r="LR720"/>
      <c r="LS720"/>
      <c r="LT720"/>
      <c r="LU720"/>
      <c r="LV720"/>
      <c r="LW720"/>
      <c r="LX720"/>
      <c r="LY720"/>
      <c r="LZ720"/>
      <c r="MA720"/>
      <c r="MB720"/>
      <c r="MC720"/>
      <c r="MD720"/>
      <c r="ME720"/>
      <c r="MF720"/>
      <c r="MG720"/>
      <c r="MH720"/>
      <c r="MI720"/>
      <c r="MJ720"/>
      <c r="MK720"/>
      <c r="ML720"/>
      <c r="MM720"/>
      <c r="MN720"/>
      <c r="MO720"/>
      <c r="MP720"/>
      <c r="MQ720"/>
      <c r="MR720"/>
      <c r="MS720"/>
      <c r="MT720"/>
      <c r="MU720"/>
      <c r="MV720"/>
      <c r="MW720"/>
      <c r="MX720"/>
      <c r="MY720"/>
      <c r="MZ720"/>
      <c r="NA720"/>
      <c r="NB720"/>
      <c r="NC720"/>
      <c r="ND720"/>
      <c r="NE720"/>
      <c r="NF720"/>
      <c r="NG720"/>
      <c r="NH720"/>
      <c r="NI720"/>
      <c r="NJ720"/>
      <c r="NK720"/>
      <c r="NL720"/>
      <c r="NM720"/>
      <c r="NN720"/>
      <c r="NO720"/>
      <c r="NP720"/>
      <c r="NQ720"/>
      <c r="NR720"/>
      <c r="NS720"/>
      <c r="NT720"/>
      <c r="NU720"/>
      <c r="NV720"/>
      <c r="NW720"/>
      <c r="NX720"/>
      <c r="NY720"/>
      <c r="NZ720"/>
      <c r="OA720"/>
      <c r="OB720"/>
      <c r="OC720"/>
      <c r="OD720"/>
      <c r="OE720"/>
      <c r="OF720"/>
      <c r="OG720"/>
      <c r="OH720"/>
      <c r="OI720"/>
      <c r="OJ720"/>
      <c r="OK720"/>
      <c r="OL720"/>
      <c r="OM720"/>
      <c r="ON720"/>
      <c r="OO720"/>
      <c r="OP720"/>
      <c r="OQ720"/>
      <c r="OR720"/>
      <c r="OS720"/>
      <c r="OT720"/>
      <c r="OU720"/>
      <c r="OV720"/>
      <c r="OW720"/>
      <c r="OX720"/>
      <c r="OY720"/>
      <c r="OZ720"/>
      <c r="PA720"/>
      <c r="PB720"/>
      <c r="PC720"/>
      <c r="PD720"/>
      <c r="PE720"/>
      <c r="PF720"/>
      <c r="PG720"/>
      <c r="PH720"/>
      <c r="PI720"/>
      <c r="PJ720"/>
      <c r="PK720"/>
      <c r="PL720"/>
      <c r="PM720"/>
      <c r="PN720"/>
      <c r="PO720"/>
      <c r="PP720"/>
      <c r="PQ720"/>
      <c r="PR720"/>
      <c r="PS720"/>
      <c r="PT720"/>
      <c r="PU720"/>
      <c r="PV720"/>
      <c r="PW720"/>
      <c r="PX720"/>
      <c r="PY720"/>
      <c r="PZ720"/>
      <c r="QA720"/>
      <c r="QB720"/>
      <c r="QC720"/>
      <c r="QD720"/>
      <c r="QE720"/>
      <c r="QF720"/>
      <c r="QG720"/>
      <c r="QH720"/>
      <c r="QI720"/>
      <c r="QJ720"/>
      <c r="QK720"/>
      <c r="QL720"/>
      <c r="QM720"/>
      <c r="QN720"/>
      <c r="QO720"/>
      <c r="QP720"/>
      <c r="QQ720"/>
      <c r="QR720"/>
      <c r="QS720"/>
      <c r="QT720"/>
      <c r="QU720"/>
      <c r="QV720"/>
      <c r="QW720"/>
      <c r="QX720"/>
      <c r="QY720"/>
      <c r="QZ720"/>
      <c r="RA720"/>
      <c r="RB720"/>
      <c r="RC720"/>
      <c r="RD720"/>
      <c r="RE720"/>
      <c r="RF720"/>
      <c r="RG720"/>
      <c r="RH720"/>
      <c r="RI720"/>
      <c r="RJ720"/>
      <c r="RK720"/>
      <c r="RL720"/>
      <c r="RM720"/>
      <c r="RN720"/>
      <c r="RO720"/>
      <c r="RP720"/>
      <c r="RQ720"/>
      <c r="RR720"/>
      <c r="RS720"/>
      <c r="RT720"/>
      <c r="RU720"/>
      <c r="RV720"/>
      <c r="RW720"/>
      <c r="RX720"/>
      <c r="RY720"/>
      <c r="RZ720"/>
      <c r="SA720"/>
      <c r="SB720"/>
      <c r="SC720"/>
      <c r="SD720"/>
      <c r="SE720"/>
      <c r="SF720"/>
      <c r="SG720"/>
      <c r="SH720"/>
      <c r="SI720"/>
      <c r="SJ720"/>
      <c r="SK720"/>
      <c r="SL720"/>
      <c r="SM720"/>
      <c r="SN720"/>
      <c r="SO720"/>
      <c r="SP720"/>
      <c r="SQ720"/>
      <c r="SR720"/>
      <c r="SS720"/>
      <c r="ST720"/>
      <c r="SU720"/>
      <c r="SV720"/>
      <c r="SW720"/>
      <c r="SX720"/>
      <c r="SY720"/>
      <c r="SZ720"/>
      <c r="TA720"/>
      <c r="TB720"/>
      <c r="TC720"/>
      <c r="TD720"/>
      <c r="TE720"/>
      <c r="TF720"/>
      <c r="TG720"/>
      <c r="TH720"/>
      <c r="TI720"/>
      <c r="TJ720"/>
      <c r="TK720"/>
      <c r="TL720"/>
      <c r="TM720"/>
      <c r="TN720"/>
      <c r="TO720"/>
      <c r="TP720"/>
      <c r="TQ720"/>
      <c r="TR720"/>
      <c r="TS720"/>
      <c r="TT720"/>
      <c r="TU720"/>
      <c r="TV720"/>
      <c r="TW720"/>
      <c r="TX720"/>
      <c r="TY720"/>
      <c r="TZ720"/>
      <c r="UA720"/>
      <c r="UB720"/>
      <c r="UC720"/>
      <c r="UD720"/>
      <c r="UE720"/>
      <c r="UF720"/>
      <c r="UG720"/>
      <c r="UH720"/>
      <c r="UI720"/>
      <c r="UJ720"/>
      <c r="UK720"/>
      <c r="UL720"/>
      <c r="UM720"/>
      <c r="UN720"/>
      <c r="UO720"/>
      <c r="UP720"/>
      <c r="UQ720"/>
      <c r="UR720"/>
      <c r="US720"/>
      <c r="UT720"/>
      <c r="UU720"/>
      <c r="UV720"/>
      <c r="UW720"/>
      <c r="UX720"/>
      <c r="UY720"/>
      <c r="UZ720"/>
      <c r="VA720"/>
      <c r="VB720"/>
      <c r="VC720"/>
      <c r="VD720"/>
      <c r="VE720"/>
      <c r="VF720"/>
      <c r="VG720"/>
      <c r="VH720"/>
      <c r="VI720"/>
      <c r="VJ720"/>
      <c r="VK720"/>
      <c r="VL720"/>
      <c r="VM720"/>
      <c r="VN720"/>
      <c r="VO720"/>
      <c r="VP720"/>
      <c r="VQ720"/>
      <c r="VR720"/>
      <c r="VS720"/>
      <c r="VT720"/>
      <c r="VU720"/>
      <c r="VV720"/>
      <c r="VW720"/>
      <c r="VX720"/>
      <c r="VY720"/>
      <c r="VZ720"/>
      <c r="WA720"/>
      <c r="WB720"/>
      <c r="WC720"/>
      <c r="WD720"/>
      <c r="WE720"/>
      <c r="WF720"/>
      <c r="WG720"/>
      <c r="WH720"/>
      <c r="WI720"/>
      <c r="WJ720"/>
      <c r="WK720"/>
      <c r="WL720"/>
      <c r="WM720"/>
      <c r="WN720"/>
      <c r="WO720"/>
      <c r="WP720"/>
      <c r="WQ720"/>
      <c r="WR720"/>
      <c r="WS720"/>
      <c r="WT720"/>
      <c r="WU720"/>
      <c r="WV720"/>
      <c r="WW720"/>
      <c r="WX720"/>
      <c r="WY720"/>
      <c r="WZ720"/>
      <c r="XA720"/>
      <c r="XB720"/>
      <c r="XC720"/>
      <c r="XD720"/>
      <c r="XE720"/>
      <c r="XF720"/>
      <c r="XG720"/>
      <c r="XH720"/>
      <c r="XI720"/>
      <c r="XJ720"/>
      <c r="XK720"/>
      <c r="XL720"/>
      <c r="XM720"/>
      <c r="XN720"/>
      <c r="XO720"/>
      <c r="XP720"/>
      <c r="XQ720"/>
      <c r="XR720"/>
      <c r="XS720"/>
      <c r="XT720"/>
      <c r="XU720"/>
      <c r="XV720"/>
      <c r="XW720"/>
      <c r="XX720"/>
      <c r="XY720"/>
      <c r="XZ720"/>
      <c r="YA720"/>
      <c r="YB720"/>
      <c r="YC720"/>
      <c r="YD720"/>
      <c r="YE720"/>
      <c r="YF720"/>
      <c r="YG720"/>
      <c r="YH720"/>
      <c r="YI720"/>
      <c r="YJ720"/>
      <c r="YK720"/>
      <c r="YL720"/>
      <c r="YM720"/>
      <c r="YN720"/>
      <c r="YO720"/>
      <c r="YP720"/>
      <c r="YQ720"/>
      <c r="YR720"/>
      <c r="YS720"/>
      <c r="YT720"/>
      <c r="YU720"/>
      <c r="YV720"/>
      <c r="YW720"/>
      <c r="YX720"/>
      <c r="YY720"/>
      <c r="YZ720"/>
      <c r="ZA720"/>
      <c r="ZB720"/>
      <c r="ZC720"/>
      <c r="ZD720"/>
      <c r="ZE720"/>
      <c r="ZF720"/>
      <c r="ZG720"/>
      <c r="ZH720"/>
      <c r="ZI720"/>
      <c r="ZJ720"/>
      <c r="ZK720"/>
      <c r="ZL720"/>
      <c r="ZM720"/>
      <c r="ZN720"/>
      <c r="ZO720"/>
      <c r="ZP720"/>
      <c r="ZQ720"/>
      <c r="ZR720"/>
      <c r="ZS720"/>
      <c r="ZT720"/>
      <c r="ZU720"/>
      <c r="ZV720"/>
      <c r="ZW720"/>
      <c r="ZX720"/>
      <c r="ZY720"/>
      <c r="ZZ720" s="52"/>
      <c r="AAA720" s="192"/>
      <c r="AAD720" s="90"/>
      <c r="AAE720" s="519">
        <v>1</v>
      </c>
      <c r="AAF720" s="190" t="s">
        <v>52</v>
      </c>
      <c r="AAG720" s="60"/>
      <c r="AAH720" s="60"/>
      <c r="AAI720" s="60"/>
      <c r="AAJ720" s="74"/>
      <c r="AAK720" s="299" t="str">
        <f>S.Staff.AgencyRulesCoordinator&amp;":"</f>
        <v>Maggie:</v>
      </c>
      <c r="AAL720" s="90"/>
    </row>
    <row r="721" spans="1:715" ht="15" customHeight="1" outlineLevel="1">
      <c r="A721" s="171"/>
      <c r="B721" s="303" t="s">
        <v>174</v>
      </c>
      <c r="C721" s="787" t="str">
        <f>HYPERLINK("http://arcweb.sos.state.or.us/pages/rules/resources/fileonline.html","i")</f>
        <v>i</v>
      </c>
      <c r="D721" s="511"/>
      <c r="E721"/>
      <c r="F721" s="457">
        <f ca="1">IF(YEAR(H721)&gt;2000,NETWORKDAYS(TODAY(),H721,S.DDL_DEQClosed),0)</f>
        <v>99</v>
      </c>
      <c r="G721"/>
      <c r="H721" s="351">
        <f t="shared" ref="H721:H733" si="610">AAH721</f>
        <v>41719</v>
      </c>
      <c r="I721" s="244"/>
      <c r="J721" s="194"/>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c r="BG721" s="49"/>
      <c r="BH721" s="49"/>
      <c r="BI721" s="49"/>
      <c r="BJ721" s="49"/>
      <c r="BK721" s="49"/>
      <c r="BL721" s="49"/>
      <c r="BM721" s="49"/>
      <c r="BN721" s="49"/>
      <c r="BO721" s="49"/>
      <c r="BP721" s="49"/>
      <c r="BQ721" s="49"/>
      <c r="BR721" s="49"/>
      <c r="BS721" s="49"/>
      <c r="BT721" s="49"/>
      <c r="BU721" s="49"/>
      <c r="BV721" s="49"/>
      <c r="BW721" s="49"/>
      <c r="BX721" s="49"/>
      <c r="BY721" s="49"/>
      <c r="BZ721" s="49"/>
      <c r="CA721" s="49"/>
      <c r="CB721" s="49"/>
      <c r="CC721" s="49"/>
      <c r="CD721" s="49"/>
      <c r="CE721" s="49"/>
      <c r="CF721" s="49"/>
      <c r="CG721" s="49"/>
      <c r="CH721" s="49"/>
      <c r="CI721" s="49"/>
      <c r="CJ721" s="49"/>
      <c r="CK721" s="49"/>
      <c r="CL721" s="49"/>
      <c r="CM721" s="49"/>
      <c r="CN721" s="49"/>
      <c r="CO721" s="49"/>
      <c r="CP721" s="49"/>
      <c r="CQ721" s="49"/>
      <c r="CR721" s="49"/>
      <c r="CS721" s="49"/>
      <c r="CT721" s="49"/>
      <c r="CU721" s="49"/>
      <c r="CV721" s="49"/>
      <c r="CW721" s="49"/>
      <c r="CX721" s="49"/>
      <c r="CY721" s="49"/>
      <c r="CZ721" s="49"/>
      <c r="DA721" s="49"/>
      <c r="DB721" s="49"/>
      <c r="DC721" s="49"/>
      <c r="DD721" s="49"/>
      <c r="DE721" s="49"/>
      <c r="DF721" s="49"/>
      <c r="DG721" s="49"/>
      <c r="DH721" s="49"/>
      <c r="DI721" s="49"/>
      <c r="DJ721" s="49"/>
      <c r="DK721" s="49"/>
      <c r="DL721" s="49"/>
      <c r="DM721" s="49"/>
      <c r="DN721" s="49"/>
      <c r="DO721" s="49"/>
      <c r="DP721" s="49"/>
      <c r="AAA721" s="192"/>
      <c r="AAD721" s="90"/>
      <c r="AAE721" s="519">
        <v>1</v>
      </c>
      <c r="AAF721" s="90"/>
      <c r="AAG721" s="60"/>
      <c r="AAH721" s="73">
        <f>S.PostEQC.FileRuleWithSOS</f>
        <v>41719</v>
      </c>
      <c r="AAI721" s="72"/>
      <c r="AAJ721" s="74"/>
      <c r="AAK721" s="56"/>
      <c r="AAL721" s="90"/>
      <c r="AAM721"/>
    </row>
    <row r="722" spans="1:715" s="23" customFormat="1" ht="15" customHeight="1" outlineLevel="1">
      <c r="A722" s="171"/>
      <c r="B722" s="630" t="s">
        <v>218</v>
      </c>
      <c r="C722" s="420"/>
      <c r="D722" s="434"/>
      <c r="E722" s="350"/>
      <c r="F722" s="350"/>
      <c r="G722" s="420"/>
      <c r="H722" s="420"/>
      <c r="I722" s="244"/>
      <c r="J722" s="194"/>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c r="BM722" s="49"/>
      <c r="BN722" s="49"/>
      <c r="BO722" s="49"/>
      <c r="BP722" s="49"/>
      <c r="BQ722" s="49"/>
      <c r="BR722" s="49"/>
      <c r="BS722" s="49"/>
      <c r="BT722" s="49"/>
      <c r="BU722" s="49"/>
      <c r="BV722" s="49"/>
      <c r="BW722" s="49"/>
      <c r="BX722" s="49"/>
      <c r="BY722" s="49"/>
      <c r="BZ722" s="49"/>
      <c r="CA722" s="49"/>
      <c r="CB722" s="49"/>
      <c r="CC722" s="49"/>
      <c r="CD722" s="49"/>
      <c r="CE722" s="49"/>
      <c r="CF722" s="49"/>
      <c r="CG722" s="49"/>
      <c r="CH722" s="49"/>
      <c r="CI722" s="49"/>
      <c r="CJ722" s="49"/>
      <c r="CK722" s="49"/>
      <c r="CL722" s="49"/>
      <c r="CM722" s="49"/>
      <c r="CN722" s="49"/>
      <c r="CO722" s="49"/>
      <c r="CP722" s="49"/>
      <c r="CQ722" s="49"/>
      <c r="CR722" s="49"/>
      <c r="CS722" s="49"/>
      <c r="CT722" s="49"/>
      <c r="CU722" s="49"/>
      <c r="CV722" s="49"/>
      <c r="CW722" s="49"/>
      <c r="CX722" s="49"/>
      <c r="CY722" s="49"/>
      <c r="CZ722" s="49"/>
      <c r="DA722" s="49"/>
      <c r="DB722" s="49"/>
      <c r="DC722" s="49"/>
      <c r="DD722" s="49"/>
      <c r="DE722" s="49"/>
      <c r="DF722" s="49"/>
      <c r="DG722" s="49"/>
      <c r="DH722" s="49"/>
      <c r="DI722" s="49"/>
      <c r="DJ722" s="49"/>
      <c r="DK722" s="49"/>
      <c r="DL722" s="49"/>
      <c r="DM722" s="49"/>
      <c r="DN722" s="49"/>
      <c r="DO722" s="49"/>
      <c r="DP722" s="49"/>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c r="IW722"/>
      <c r="IX722"/>
      <c r="IY722"/>
      <c r="IZ722"/>
      <c r="JA722"/>
      <c r="JB722"/>
      <c r="JC722"/>
      <c r="JD722"/>
      <c r="JE722"/>
      <c r="JF722"/>
      <c r="JG722"/>
      <c r="JH722"/>
      <c r="JI722"/>
      <c r="JJ722"/>
      <c r="JK722"/>
      <c r="JL722"/>
      <c r="JM722"/>
      <c r="JN722"/>
      <c r="JO722"/>
      <c r="JP722"/>
      <c r="JQ722"/>
      <c r="JR722"/>
      <c r="JS722"/>
      <c r="JT722"/>
      <c r="JU722"/>
      <c r="JV722"/>
      <c r="JW722"/>
      <c r="JX722"/>
      <c r="JY722"/>
      <c r="JZ722"/>
      <c r="KA722"/>
      <c r="KB722"/>
      <c r="KC722"/>
      <c r="KD722"/>
      <c r="KE722"/>
      <c r="KF722"/>
      <c r="KG722"/>
      <c r="KH722"/>
      <c r="KI722"/>
      <c r="KJ722"/>
      <c r="KK722"/>
      <c r="KL722"/>
      <c r="KM722"/>
      <c r="KN722"/>
      <c r="KO722"/>
      <c r="KP722"/>
      <c r="KQ722"/>
      <c r="KR722"/>
      <c r="KS722"/>
      <c r="KT722"/>
      <c r="KU722"/>
      <c r="KV722"/>
      <c r="KW722"/>
      <c r="KX722"/>
      <c r="KY722"/>
      <c r="KZ722"/>
      <c r="LA722"/>
      <c r="LB722"/>
      <c r="LC722"/>
      <c r="LD722"/>
      <c r="LE722"/>
      <c r="LF722"/>
      <c r="LG722"/>
      <c r="LH722"/>
      <c r="LI722"/>
      <c r="LJ722"/>
      <c r="LK722"/>
      <c r="LL722"/>
      <c r="LM722"/>
      <c r="LN722"/>
      <c r="LO722"/>
      <c r="LP722"/>
      <c r="LQ722"/>
      <c r="LR722"/>
      <c r="LS722"/>
      <c r="LT722"/>
      <c r="LU722"/>
      <c r="LV722"/>
      <c r="LW722"/>
      <c r="LX722"/>
      <c r="LY722"/>
      <c r="LZ722"/>
      <c r="MA722"/>
      <c r="MB722"/>
      <c r="MC722"/>
      <c r="MD722"/>
      <c r="ME722"/>
      <c r="MF722"/>
      <c r="MG722"/>
      <c r="MH722"/>
      <c r="MI722"/>
      <c r="MJ722"/>
      <c r="MK722"/>
      <c r="ML722"/>
      <c r="MM722"/>
      <c r="MN722"/>
      <c r="MO722"/>
      <c r="MP722"/>
      <c r="MQ722"/>
      <c r="MR722"/>
      <c r="MS722"/>
      <c r="MT722"/>
      <c r="MU722"/>
      <c r="MV722"/>
      <c r="MW722"/>
      <c r="MX722"/>
      <c r="MY722"/>
      <c r="MZ722"/>
      <c r="NA722"/>
      <c r="NB722"/>
      <c r="NC722"/>
      <c r="ND722"/>
      <c r="NE722"/>
      <c r="NF722"/>
      <c r="NG722"/>
      <c r="NH722"/>
      <c r="NI722"/>
      <c r="NJ722"/>
      <c r="NK722"/>
      <c r="NL722"/>
      <c r="NM722"/>
      <c r="NN722"/>
      <c r="NO722"/>
      <c r="NP722"/>
      <c r="NQ722"/>
      <c r="NR722"/>
      <c r="NS722"/>
      <c r="NT722"/>
      <c r="NU722"/>
      <c r="NV722"/>
      <c r="NW722"/>
      <c r="NX722"/>
      <c r="NY722"/>
      <c r="NZ722"/>
      <c r="OA722"/>
      <c r="OB722"/>
      <c r="OC722"/>
      <c r="OD722"/>
      <c r="OE722"/>
      <c r="OF722"/>
      <c r="OG722"/>
      <c r="OH722"/>
      <c r="OI722"/>
      <c r="OJ722"/>
      <c r="OK722"/>
      <c r="OL722"/>
      <c r="OM722"/>
      <c r="ON722"/>
      <c r="OO722"/>
      <c r="OP722"/>
      <c r="OQ722"/>
      <c r="OR722"/>
      <c r="OS722"/>
      <c r="OT722"/>
      <c r="OU722"/>
      <c r="OV722"/>
      <c r="OW722"/>
      <c r="OX722"/>
      <c r="OY722"/>
      <c r="OZ722"/>
      <c r="PA722"/>
      <c r="PB722"/>
      <c r="PC722"/>
      <c r="PD722"/>
      <c r="PE722"/>
      <c r="PF722"/>
      <c r="PG722"/>
      <c r="PH722"/>
      <c r="PI722"/>
      <c r="PJ722"/>
      <c r="PK722"/>
      <c r="PL722"/>
      <c r="PM722"/>
      <c r="PN722"/>
      <c r="PO722"/>
      <c r="PP722"/>
      <c r="PQ722"/>
      <c r="PR722"/>
      <c r="PS722"/>
      <c r="PT722"/>
      <c r="PU722"/>
      <c r="PV722"/>
      <c r="PW722"/>
      <c r="PX722"/>
      <c r="PY722"/>
      <c r="PZ722"/>
      <c r="QA722"/>
      <c r="QB722"/>
      <c r="QC722"/>
      <c r="QD722"/>
      <c r="QE722"/>
      <c r="QF722"/>
      <c r="QG722"/>
      <c r="QH722"/>
      <c r="QI722"/>
      <c r="QJ722"/>
      <c r="QK722"/>
      <c r="QL722"/>
      <c r="QM722"/>
      <c r="QN722"/>
      <c r="QO722"/>
      <c r="QP722"/>
      <c r="QQ722"/>
      <c r="QR722"/>
      <c r="QS722"/>
      <c r="QT722"/>
      <c r="QU722"/>
      <c r="QV722"/>
      <c r="QW722"/>
      <c r="QX722"/>
      <c r="QY722"/>
      <c r="QZ722"/>
      <c r="RA722"/>
      <c r="RB722"/>
      <c r="RC722"/>
      <c r="RD722"/>
      <c r="RE722"/>
      <c r="RF722"/>
      <c r="RG722"/>
      <c r="RH722"/>
      <c r="RI722"/>
      <c r="RJ722"/>
      <c r="RK722"/>
      <c r="RL722"/>
      <c r="RM722"/>
      <c r="RN722"/>
      <c r="RO722"/>
      <c r="RP722"/>
      <c r="RQ722"/>
      <c r="RR722"/>
      <c r="RS722"/>
      <c r="RT722"/>
      <c r="RU722"/>
      <c r="RV722"/>
      <c r="RW722"/>
      <c r="RX722"/>
      <c r="RY722"/>
      <c r="RZ722"/>
      <c r="SA722"/>
      <c r="SB722"/>
      <c r="SC722"/>
      <c r="SD722"/>
      <c r="SE722"/>
      <c r="SF722"/>
      <c r="SG722"/>
      <c r="SH722"/>
      <c r="SI722"/>
      <c r="SJ722"/>
      <c r="SK722"/>
      <c r="SL722"/>
      <c r="SM722"/>
      <c r="SN722"/>
      <c r="SO722"/>
      <c r="SP722"/>
      <c r="SQ722"/>
      <c r="SR722"/>
      <c r="SS722"/>
      <c r="ST722"/>
      <c r="SU722"/>
      <c r="SV722"/>
      <c r="SW722"/>
      <c r="SX722"/>
      <c r="SY722"/>
      <c r="SZ722"/>
      <c r="TA722"/>
      <c r="TB722"/>
      <c r="TC722"/>
      <c r="TD722"/>
      <c r="TE722"/>
      <c r="TF722"/>
      <c r="TG722"/>
      <c r="TH722"/>
      <c r="TI722"/>
      <c r="TJ722"/>
      <c r="TK722"/>
      <c r="TL722"/>
      <c r="TM722"/>
      <c r="TN722"/>
      <c r="TO722"/>
      <c r="TP722"/>
      <c r="TQ722"/>
      <c r="TR722"/>
      <c r="TS722"/>
      <c r="TT722"/>
      <c r="TU722"/>
      <c r="TV722"/>
      <c r="TW722"/>
      <c r="TX722"/>
      <c r="TY722"/>
      <c r="TZ722"/>
      <c r="UA722"/>
      <c r="UB722"/>
      <c r="UC722"/>
      <c r="UD722"/>
      <c r="UE722"/>
      <c r="UF722"/>
      <c r="UG722"/>
      <c r="UH722"/>
      <c r="UI722"/>
      <c r="UJ722"/>
      <c r="UK722"/>
      <c r="UL722"/>
      <c r="UM722"/>
      <c r="UN722"/>
      <c r="UO722"/>
      <c r="UP722"/>
      <c r="UQ722"/>
      <c r="UR722"/>
      <c r="US722"/>
      <c r="UT722"/>
      <c r="UU722"/>
      <c r="UV722"/>
      <c r="UW722"/>
      <c r="UX722"/>
      <c r="UY722"/>
      <c r="UZ722"/>
      <c r="VA722"/>
      <c r="VB722"/>
      <c r="VC722"/>
      <c r="VD722"/>
      <c r="VE722"/>
      <c r="VF722"/>
      <c r="VG722"/>
      <c r="VH722"/>
      <c r="VI722"/>
      <c r="VJ722"/>
      <c r="VK722"/>
      <c r="VL722"/>
      <c r="VM722"/>
      <c r="VN722"/>
      <c r="VO722"/>
      <c r="VP722"/>
      <c r="VQ722"/>
      <c r="VR722"/>
      <c r="VS722"/>
      <c r="VT722"/>
      <c r="VU722"/>
      <c r="VV722"/>
      <c r="VW722"/>
      <c r="VX722"/>
      <c r="VY722"/>
      <c r="VZ722"/>
      <c r="WA722"/>
      <c r="WB722"/>
      <c r="WC722"/>
      <c r="WD722"/>
      <c r="WE722"/>
      <c r="WF722"/>
      <c r="WG722"/>
      <c r="WH722"/>
      <c r="WI722"/>
      <c r="WJ722"/>
      <c r="WK722"/>
      <c r="WL722"/>
      <c r="WM722"/>
      <c r="WN722"/>
      <c r="WO722"/>
      <c r="WP722"/>
      <c r="WQ722"/>
      <c r="WR722"/>
      <c r="WS722"/>
      <c r="WT722"/>
      <c r="WU722"/>
      <c r="WV722"/>
      <c r="WW722"/>
      <c r="WX722"/>
      <c r="WY722"/>
      <c r="WZ722"/>
      <c r="XA722"/>
      <c r="XB722"/>
      <c r="XC722"/>
      <c r="XD722"/>
      <c r="XE722"/>
      <c r="XF722"/>
      <c r="XG722"/>
      <c r="XH722"/>
      <c r="XI722"/>
      <c r="XJ722"/>
      <c r="XK722"/>
      <c r="XL722"/>
      <c r="XM722"/>
      <c r="XN722"/>
      <c r="XO722"/>
      <c r="XP722"/>
      <c r="XQ722"/>
      <c r="XR722"/>
      <c r="XS722"/>
      <c r="XT722"/>
      <c r="XU722"/>
      <c r="XV722"/>
      <c r="XW722"/>
      <c r="XX722"/>
      <c r="XY722"/>
      <c r="XZ722"/>
      <c r="YA722"/>
      <c r="YB722"/>
      <c r="YC722"/>
      <c r="YD722"/>
      <c r="YE722"/>
      <c r="YF722"/>
      <c r="YG722"/>
      <c r="YH722"/>
      <c r="YI722"/>
      <c r="YJ722"/>
      <c r="YK722"/>
      <c r="YL722"/>
      <c r="YM722"/>
      <c r="YN722"/>
      <c r="YO722"/>
      <c r="YP722"/>
      <c r="YQ722"/>
      <c r="YR722"/>
      <c r="YS722"/>
      <c r="YT722"/>
      <c r="YU722"/>
      <c r="YV722"/>
      <c r="YW722"/>
      <c r="YX722"/>
      <c r="YY722"/>
      <c r="YZ722"/>
      <c r="ZA722"/>
      <c r="ZB722"/>
      <c r="ZC722"/>
      <c r="ZD722"/>
      <c r="ZE722"/>
      <c r="ZF722"/>
      <c r="ZG722"/>
      <c r="ZH722"/>
      <c r="ZI722"/>
      <c r="ZJ722"/>
      <c r="ZK722"/>
      <c r="ZL722"/>
      <c r="ZM722"/>
      <c r="ZN722"/>
      <c r="ZO722"/>
      <c r="ZP722"/>
      <c r="ZQ722"/>
      <c r="ZR722"/>
      <c r="ZS722"/>
      <c r="ZT722"/>
      <c r="ZU722"/>
      <c r="ZV722"/>
      <c r="ZW722"/>
      <c r="ZX722"/>
      <c r="ZY722"/>
      <c r="ZZ722" s="52"/>
      <c r="AAA722" s="192"/>
      <c r="AAD722" s="90"/>
      <c r="AAE722" s="519">
        <v>1</v>
      </c>
      <c r="AAF722" s="190" t="s">
        <v>52</v>
      </c>
      <c r="AAG722" s="84"/>
      <c r="AAH722" s="84"/>
      <c r="AAI722" s="72"/>
      <c r="AAJ722" s="74"/>
      <c r="AAK722" s="53"/>
      <c r="AAL722" s="90"/>
    </row>
    <row r="723" spans="1:715" s="23" customFormat="1" ht="15" customHeight="1" outlineLevel="1">
      <c r="A723" s="171"/>
      <c r="B723" s="630" t="s">
        <v>219</v>
      </c>
      <c r="C723" s="420"/>
      <c r="D723" s="434"/>
      <c r="E723" s="350"/>
      <c r="F723" s="350"/>
      <c r="G723" s="420"/>
      <c r="H723" s="420"/>
      <c r="I723" s="244"/>
      <c r="J723" s="194"/>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c r="BG723" s="49"/>
      <c r="BH723" s="49"/>
      <c r="BI723" s="49"/>
      <c r="BJ723" s="49"/>
      <c r="BK723" s="49"/>
      <c r="BL723" s="49"/>
      <c r="BM723" s="49"/>
      <c r="BN723" s="49"/>
      <c r="BO723" s="49"/>
      <c r="BP723" s="49"/>
      <c r="BQ723" s="49"/>
      <c r="BR723" s="49"/>
      <c r="BS723" s="49"/>
      <c r="BT723" s="49"/>
      <c r="BU723" s="49"/>
      <c r="BV723" s="49"/>
      <c r="BW723" s="49"/>
      <c r="BX723" s="49"/>
      <c r="BY723" s="49"/>
      <c r="BZ723" s="49"/>
      <c r="CA723" s="49"/>
      <c r="CB723" s="49"/>
      <c r="CC723" s="49"/>
      <c r="CD723" s="49"/>
      <c r="CE723" s="49"/>
      <c r="CF723" s="49"/>
      <c r="CG723" s="49"/>
      <c r="CH723" s="49"/>
      <c r="CI723" s="49"/>
      <c r="CJ723" s="49"/>
      <c r="CK723" s="49"/>
      <c r="CL723" s="49"/>
      <c r="CM723" s="49"/>
      <c r="CN723" s="49"/>
      <c r="CO723" s="49"/>
      <c r="CP723" s="49"/>
      <c r="CQ723" s="49"/>
      <c r="CR723" s="49"/>
      <c r="CS723" s="49"/>
      <c r="CT723" s="49"/>
      <c r="CU723" s="49"/>
      <c r="CV723" s="49"/>
      <c r="CW723" s="49"/>
      <c r="CX723" s="49"/>
      <c r="CY723" s="49"/>
      <c r="CZ723" s="49"/>
      <c r="DA723" s="49"/>
      <c r="DB723" s="49"/>
      <c r="DC723" s="49"/>
      <c r="DD723" s="49"/>
      <c r="DE723" s="49"/>
      <c r="DF723" s="49"/>
      <c r="DG723" s="49"/>
      <c r="DH723" s="49"/>
      <c r="DI723" s="49"/>
      <c r="DJ723" s="49"/>
      <c r="DK723" s="49"/>
      <c r="DL723" s="49"/>
      <c r="DM723" s="49"/>
      <c r="DN723" s="49"/>
      <c r="DO723" s="49"/>
      <c r="DP723" s="49"/>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c r="IW723"/>
      <c r="IX723"/>
      <c r="IY723"/>
      <c r="IZ723"/>
      <c r="JA723"/>
      <c r="JB723"/>
      <c r="JC723"/>
      <c r="JD723"/>
      <c r="JE723"/>
      <c r="JF723"/>
      <c r="JG723"/>
      <c r="JH723"/>
      <c r="JI723"/>
      <c r="JJ723"/>
      <c r="JK723"/>
      <c r="JL723"/>
      <c r="JM723"/>
      <c r="JN723"/>
      <c r="JO723"/>
      <c r="JP723"/>
      <c r="JQ723"/>
      <c r="JR723"/>
      <c r="JS723"/>
      <c r="JT723"/>
      <c r="JU723"/>
      <c r="JV723"/>
      <c r="JW723"/>
      <c r="JX723"/>
      <c r="JY723"/>
      <c r="JZ723"/>
      <c r="KA723"/>
      <c r="KB723"/>
      <c r="KC723"/>
      <c r="KD723"/>
      <c r="KE723"/>
      <c r="KF723"/>
      <c r="KG723"/>
      <c r="KH723"/>
      <c r="KI723"/>
      <c r="KJ723"/>
      <c r="KK723"/>
      <c r="KL723"/>
      <c r="KM723"/>
      <c r="KN723"/>
      <c r="KO723"/>
      <c r="KP723"/>
      <c r="KQ723"/>
      <c r="KR723"/>
      <c r="KS723"/>
      <c r="KT723"/>
      <c r="KU723"/>
      <c r="KV723"/>
      <c r="KW723"/>
      <c r="KX723"/>
      <c r="KY723"/>
      <c r="KZ723"/>
      <c r="LA723"/>
      <c r="LB723"/>
      <c r="LC723"/>
      <c r="LD723"/>
      <c r="LE723"/>
      <c r="LF723"/>
      <c r="LG723"/>
      <c r="LH723"/>
      <c r="LI723"/>
      <c r="LJ723"/>
      <c r="LK723"/>
      <c r="LL723"/>
      <c r="LM723"/>
      <c r="LN723"/>
      <c r="LO723"/>
      <c r="LP723"/>
      <c r="LQ723"/>
      <c r="LR723"/>
      <c r="LS723"/>
      <c r="LT723"/>
      <c r="LU723"/>
      <c r="LV723"/>
      <c r="LW723"/>
      <c r="LX723"/>
      <c r="LY723"/>
      <c r="LZ723"/>
      <c r="MA723"/>
      <c r="MB723"/>
      <c r="MC723"/>
      <c r="MD723"/>
      <c r="ME723"/>
      <c r="MF723"/>
      <c r="MG723"/>
      <c r="MH723"/>
      <c r="MI723"/>
      <c r="MJ723"/>
      <c r="MK723"/>
      <c r="ML723"/>
      <c r="MM723"/>
      <c r="MN723"/>
      <c r="MO723"/>
      <c r="MP723"/>
      <c r="MQ723"/>
      <c r="MR723"/>
      <c r="MS723"/>
      <c r="MT723"/>
      <c r="MU723"/>
      <c r="MV723"/>
      <c r="MW723"/>
      <c r="MX723"/>
      <c r="MY723"/>
      <c r="MZ723"/>
      <c r="NA723"/>
      <c r="NB723"/>
      <c r="NC723"/>
      <c r="ND723"/>
      <c r="NE723"/>
      <c r="NF723"/>
      <c r="NG723"/>
      <c r="NH723"/>
      <c r="NI723"/>
      <c r="NJ723"/>
      <c r="NK723"/>
      <c r="NL723"/>
      <c r="NM723"/>
      <c r="NN723"/>
      <c r="NO723"/>
      <c r="NP723"/>
      <c r="NQ723"/>
      <c r="NR723"/>
      <c r="NS723"/>
      <c r="NT723"/>
      <c r="NU723"/>
      <c r="NV723"/>
      <c r="NW723"/>
      <c r="NX723"/>
      <c r="NY723"/>
      <c r="NZ723"/>
      <c r="OA723"/>
      <c r="OB723"/>
      <c r="OC723"/>
      <c r="OD723"/>
      <c r="OE723"/>
      <c r="OF723"/>
      <c r="OG723"/>
      <c r="OH723"/>
      <c r="OI723"/>
      <c r="OJ723"/>
      <c r="OK723"/>
      <c r="OL723"/>
      <c r="OM723"/>
      <c r="ON723"/>
      <c r="OO723"/>
      <c r="OP723"/>
      <c r="OQ723"/>
      <c r="OR723"/>
      <c r="OS723"/>
      <c r="OT723"/>
      <c r="OU723"/>
      <c r="OV723"/>
      <c r="OW723"/>
      <c r="OX723"/>
      <c r="OY723"/>
      <c r="OZ723"/>
      <c r="PA723"/>
      <c r="PB723"/>
      <c r="PC723"/>
      <c r="PD723"/>
      <c r="PE723"/>
      <c r="PF723"/>
      <c r="PG723"/>
      <c r="PH723"/>
      <c r="PI723"/>
      <c r="PJ723"/>
      <c r="PK723"/>
      <c r="PL723"/>
      <c r="PM723"/>
      <c r="PN723"/>
      <c r="PO723"/>
      <c r="PP723"/>
      <c r="PQ723"/>
      <c r="PR723"/>
      <c r="PS723"/>
      <c r="PT723"/>
      <c r="PU723"/>
      <c r="PV723"/>
      <c r="PW723"/>
      <c r="PX723"/>
      <c r="PY723"/>
      <c r="PZ723"/>
      <c r="QA723"/>
      <c r="QB723"/>
      <c r="QC723"/>
      <c r="QD723"/>
      <c r="QE723"/>
      <c r="QF723"/>
      <c r="QG723"/>
      <c r="QH723"/>
      <c r="QI723"/>
      <c r="QJ723"/>
      <c r="QK723"/>
      <c r="QL723"/>
      <c r="QM723"/>
      <c r="QN723"/>
      <c r="QO723"/>
      <c r="QP723"/>
      <c r="QQ723"/>
      <c r="QR723"/>
      <c r="QS723"/>
      <c r="QT723"/>
      <c r="QU723"/>
      <c r="QV723"/>
      <c r="QW723"/>
      <c r="QX723"/>
      <c r="QY723"/>
      <c r="QZ723"/>
      <c r="RA723"/>
      <c r="RB723"/>
      <c r="RC723"/>
      <c r="RD723"/>
      <c r="RE723"/>
      <c r="RF723"/>
      <c r="RG723"/>
      <c r="RH723"/>
      <c r="RI723"/>
      <c r="RJ723"/>
      <c r="RK723"/>
      <c r="RL723"/>
      <c r="RM723"/>
      <c r="RN723"/>
      <c r="RO723"/>
      <c r="RP723"/>
      <c r="RQ723"/>
      <c r="RR723"/>
      <c r="RS723"/>
      <c r="RT723"/>
      <c r="RU723"/>
      <c r="RV723"/>
      <c r="RW723"/>
      <c r="RX723"/>
      <c r="RY723"/>
      <c r="RZ723"/>
      <c r="SA723"/>
      <c r="SB723"/>
      <c r="SC723"/>
      <c r="SD723"/>
      <c r="SE723"/>
      <c r="SF723"/>
      <c r="SG723"/>
      <c r="SH723"/>
      <c r="SI723"/>
      <c r="SJ723"/>
      <c r="SK723"/>
      <c r="SL723"/>
      <c r="SM723"/>
      <c r="SN723"/>
      <c r="SO723"/>
      <c r="SP723"/>
      <c r="SQ723"/>
      <c r="SR723"/>
      <c r="SS723"/>
      <c r="ST723"/>
      <c r="SU723"/>
      <c r="SV723"/>
      <c r="SW723"/>
      <c r="SX723"/>
      <c r="SY723"/>
      <c r="SZ723"/>
      <c r="TA723"/>
      <c r="TB723"/>
      <c r="TC723"/>
      <c r="TD723"/>
      <c r="TE723"/>
      <c r="TF723"/>
      <c r="TG723"/>
      <c r="TH723"/>
      <c r="TI723"/>
      <c r="TJ723"/>
      <c r="TK723"/>
      <c r="TL723"/>
      <c r="TM723"/>
      <c r="TN723"/>
      <c r="TO723"/>
      <c r="TP723"/>
      <c r="TQ723"/>
      <c r="TR723"/>
      <c r="TS723"/>
      <c r="TT723"/>
      <c r="TU723"/>
      <c r="TV723"/>
      <c r="TW723"/>
      <c r="TX723"/>
      <c r="TY723"/>
      <c r="TZ723"/>
      <c r="UA723"/>
      <c r="UB723"/>
      <c r="UC723"/>
      <c r="UD723"/>
      <c r="UE723"/>
      <c r="UF723"/>
      <c r="UG723"/>
      <c r="UH723"/>
      <c r="UI723"/>
      <c r="UJ723"/>
      <c r="UK723"/>
      <c r="UL723"/>
      <c r="UM723"/>
      <c r="UN723"/>
      <c r="UO723"/>
      <c r="UP723"/>
      <c r="UQ723"/>
      <c r="UR723"/>
      <c r="US723"/>
      <c r="UT723"/>
      <c r="UU723"/>
      <c r="UV723"/>
      <c r="UW723"/>
      <c r="UX723"/>
      <c r="UY723"/>
      <c r="UZ723"/>
      <c r="VA723"/>
      <c r="VB723"/>
      <c r="VC723"/>
      <c r="VD723"/>
      <c r="VE723"/>
      <c r="VF723"/>
      <c r="VG723"/>
      <c r="VH723"/>
      <c r="VI723"/>
      <c r="VJ723"/>
      <c r="VK723"/>
      <c r="VL723"/>
      <c r="VM723"/>
      <c r="VN723"/>
      <c r="VO723"/>
      <c r="VP723"/>
      <c r="VQ723"/>
      <c r="VR723"/>
      <c r="VS723"/>
      <c r="VT723"/>
      <c r="VU723"/>
      <c r="VV723"/>
      <c r="VW723"/>
      <c r="VX723"/>
      <c r="VY723"/>
      <c r="VZ723"/>
      <c r="WA723"/>
      <c r="WB723"/>
      <c r="WC723"/>
      <c r="WD723"/>
      <c r="WE723"/>
      <c r="WF723"/>
      <c r="WG723"/>
      <c r="WH723"/>
      <c r="WI723"/>
      <c r="WJ723"/>
      <c r="WK723"/>
      <c r="WL723"/>
      <c r="WM723"/>
      <c r="WN723"/>
      <c r="WO723"/>
      <c r="WP723"/>
      <c r="WQ723"/>
      <c r="WR723"/>
      <c r="WS723"/>
      <c r="WT723"/>
      <c r="WU723"/>
      <c r="WV723"/>
      <c r="WW723"/>
      <c r="WX723"/>
      <c r="WY723"/>
      <c r="WZ723"/>
      <c r="XA723"/>
      <c r="XB723"/>
      <c r="XC723"/>
      <c r="XD723"/>
      <c r="XE723"/>
      <c r="XF723"/>
      <c r="XG723"/>
      <c r="XH723"/>
      <c r="XI723"/>
      <c r="XJ723"/>
      <c r="XK723"/>
      <c r="XL723"/>
      <c r="XM723"/>
      <c r="XN723"/>
      <c r="XO723"/>
      <c r="XP723"/>
      <c r="XQ723"/>
      <c r="XR723"/>
      <c r="XS723"/>
      <c r="XT723"/>
      <c r="XU723"/>
      <c r="XV723"/>
      <c r="XW723"/>
      <c r="XX723"/>
      <c r="XY723"/>
      <c r="XZ723"/>
      <c r="YA723"/>
      <c r="YB723"/>
      <c r="YC723"/>
      <c r="YD723"/>
      <c r="YE723"/>
      <c r="YF723"/>
      <c r="YG723"/>
      <c r="YH723"/>
      <c r="YI723"/>
      <c r="YJ723"/>
      <c r="YK723"/>
      <c r="YL723"/>
      <c r="YM723"/>
      <c r="YN723"/>
      <c r="YO723"/>
      <c r="YP723"/>
      <c r="YQ723"/>
      <c r="YR723"/>
      <c r="YS723"/>
      <c r="YT723"/>
      <c r="YU723"/>
      <c r="YV723"/>
      <c r="YW723"/>
      <c r="YX723"/>
      <c r="YY723"/>
      <c r="YZ723"/>
      <c r="ZA723"/>
      <c r="ZB723"/>
      <c r="ZC723"/>
      <c r="ZD723"/>
      <c r="ZE723"/>
      <c r="ZF723"/>
      <c r="ZG723"/>
      <c r="ZH723"/>
      <c r="ZI723"/>
      <c r="ZJ723"/>
      <c r="ZK723"/>
      <c r="ZL723"/>
      <c r="ZM723"/>
      <c r="ZN723"/>
      <c r="ZO723"/>
      <c r="ZP723"/>
      <c r="ZQ723"/>
      <c r="ZR723"/>
      <c r="ZS723"/>
      <c r="ZT723"/>
      <c r="ZU723"/>
      <c r="ZV723"/>
      <c r="ZW723"/>
      <c r="ZX723"/>
      <c r="ZY723"/>
      <c r="ZZ723" s="52"/>
      <c r="AAA723" s="192"/>
      <c r="AAD723" s="90"/>
      <c r="AAE723" s="519">
        <v>1</v>
      </c>
      <c r="AAF723" s="190" t="s">
        <v>52</v>
      </c>
      <c r="AAG723" s="84"/>
      <c r="AAH723" s="84"/>
      <c r="AAI723" s="72"/>
      <c r="AAJ723" s="74"/>
      <c r="AAK723" s="53"/>
      <c r="AAL723" s="90"/>
    </row>
    <row r="724" spans="1:715" s="23" customFormat="1" ht="15" customHeight="1" outlineLevel="1">
      <c r="A724" s="171"/>
      <c r="B724" s="630" t="s">
        <v>221</v>
      </c>
      <c r="C724" s="420"/>
      <c r="D724" s="434"/>
      <c r="E724" s="350"/>
      <c r="F724" s="350"/>
      <c r="G724" s="420"/>
      <c r="H724" s="420"/>
      <c r="I724" s="244"/>
      <c r="J724" s="194"/>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c r="BG724" s="49"/>
      <c r="BH724" s="49"/>
      <c r="BI724" s="49"/>
      <c r="BJ724" s="49"/>
      <c r="BK724" s="49"/>
      <c r="BL724" s="49"/>
      <c r="BM724" s="49"/>
      <c r="BN724" s="49"/>
      <c r="BO724" s="49"/>
      <c r="BP724" s="49"/>
      <c r="BQ724" s="49"/>
      <c r="BR724" s="49"/>
      <c r="BS724" s="49"/>
      <c r="BT724" s="49"/>
      <c r="BU724" s="49"/>
      <c r="BV724" s="49"/>
      <c r="BW724" s="49"/>
      <c r="BX724" s="49"/>
      <c r="BY724" s="49"/>
      <c r="BZ724" s="49"/>
      <c r="CA724" s="49"/>
      <c r="CB724" s="49"/>
      <c r="CC724" s="49"/>
      <c r="CD724" s="49"/>
      <c r="CE724" s="49"/>
      <c r="CF724" s="49"/>
      <c r="CG724" s="49"/>
      <c r="CH724" s="49"/>
      <c r="CI724" s="49"/>
      <c r="CJ724" s="49"/>
      <c r="CK724" s="49"/>
      <c r="CL724" s="49"/>
      <c r="CM724" s="49"/>
      <c r="CN724" s="49"/>
      <c r="CO724" s="49"/>
      <c r="CP724" s="49"/>
      <c r="CQ724" s="49"/>
      <c r="CR724" s="49"/>
      <c r="CS724" s="49"/>
      <c r="CT724" s="49"/>
      <c r="CU724" s="49"/>
      <c r="CV724" s="49"/>
      <c r="CW724" s="49"/>
      <c r="CX724" s="49"/>
      <c r="CY724" s="49"/>
      <c r="CZ724" s="49"/>
      <c r="DA724" s="49"/>
      <c r="DB724" s="49"/>
      <c r="DC724" s="49"/>
      <c r="DD724" s="49"/>
      <c r="DE724" s="49"/>
      <c r="DF724" s="49"/>
      <c r="DG724" s="49"/>
      <c r="DH724" s="49"/>
      <c r="DI724" s="49"/>
      <c r="DJ724" s="49"/>
      <c r="DK724" s="49"/>
      <c r="DL724" s="49"/>
      <c r="DM724" s="49"/>
      <c r="DN724" s="49"/>
      <c r="DO724" s="49"/>
      <c r="DP724" s="49"/>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c r="IW724"/>
      <c r="IX724"/>
      <c r="IY724"/>
      <c r="IZ724"/>
      <c r="JA724"/>
      <c r="JB724"/>
      <c r="JC724"/>
      <c r="JD724"/>
      <c r="JE724"/>
      <c r="JF724"/>
      <c r="JG724"/>
      <c r="JH724"/>
      <c r="JI724"/>
      <c r="JJ724"/>
      <c r="JK724"/>
      <c r="JL724"/>
      <c r="JM724"/>
      <c r="JN724"/>
      <c r="JO724"/>
      <c r="JP724"/>
      <c r="JQ724"/>
      <c r="JR724"/>
      <c r="JS724"/>
      <c r="JT724"/>
      <c r="JU724"/>
      <c r="JV724"/>
      <c r="JW724"/>
      <c r="JX724"/>
      <c r="JY724"/>
      <c r="JZ724"/>
      <c r="KA724"/>
      <c r="KB724"/>
      <c r="KC724"/>
      <c r="KD724"/>
      <c r="KE724"/>
      <c r="KF724"/>
      <c r="KG724"/>
      <c r="KH724"/>
      <c r="KI724"/>
      <c r="KJ724"/>
      <c r="KK724"/>
      <c r="KL724"/>
      <c r="KM724"/>
      <c r="KN724"/>
      <c r="KO724"/>
      <c r="KP724"/>
      <c r="KQ724"/>
      <c r="KR724"/>
      <c r="KS724"/>
      <c r="KT724"/>
      <c r="KU724"/>
      <c r="KV724"/>
      <c r="KW724"/>
      <c r="KX724"/>
      <c r="KY724"/>
      <c r="KZ724"/>
      <c r="LA724"/>
      <c r="LB724"/>
      <c r="LC724"/>
      <c r="LD724"/>
      <c r="LE724"/>
      <c r="LF724"/>
      <c r="LG724"/>
      <c r="LH724"/>
      <c r="LI724"/>
      <c r="LJ724"/>
      <c r="LK724"/>
      <c r="LL724"/>
      <c r="LM724"/>
      <c r="LN724"/>
      <c r="LO724"/>
      <c r="LP724"/>
      <c r="LQ724"/>
      <c r="LR724"/>
      <c r="LS724"/>
      <c r="LT724"/>
      <c r="LU724"/>
      <c r="LV724"/>
      <c r="LW724"/>
      <c r="LX724"/>
      <c r="LY724"/>
      <c r="LZ724"/>
      <c r="MA724"/>
      <c r="MB724"/>
      <c r="MC724"/>
      <c r="MD724"/>
      <c r="ME724"/>
      <c r="MF724"/>
      <c r="MG724"/>
      <c r="MH724"/>
      <c r="MI724"/>
      <c r="MJ724"/>
      <c r="MK724"/>
      <c r="ML724"/>
      <c r="MM724"/>
      <c r="MN724"/>
      <c r="MO724"/>
      <c r="MP724"/>
      <c r="MQ724"/>
      <c r="MR724"/>
      <c r="MS724"/>
      <c r="MT724"/>
      <c r="MU724"/>
      <c r="MV724"/>
      <c r="MW724"/>
      <c r="MX724"/>
      <c r="MY724"/>
      <c r="MZ724"/>
      <c r="NA724"/>
      <c r="NB724"/>
      <c r="NC724"/>
      <c r="ND724"/>
      <c r="NE724"/>
      <c r="NF724"/>
      <c r="NG724"/>
      <c r="NH724"/>
      <c r="NI724"/>
      <c r="NJ724"/>
      <c r="NK724"/>
      <c r="NL724"/>
      <c r="NM724"/>
      <c r="NN724"/>
      <c r="NO724"/>
      <c r="NP724"/>
      <c r="NQ724"/>
      <c r="NR724"/>
      <c r="NS724"/>
      <c r="NT724"/>
      <c r="NU724"/>
      <c r="NV724"/>
      <c r="NW724"/>
      <c r="NX724"/>
      <c r="NY724"/>
      <c r="NZ724"/>
      <c r="OA724"/>
      <c r="OB724"/>
      <c r="OC724"/>
      <c r="OD724"/>
      <c r="OE724"/>
      <c r="OF724"/>
      <c r="OG724"/>
      <c r="OH724"/>
      <c r="OI724"/>
      <c r="OJ724"/>
      <c r="OK724"/>
      <c r="OL724"/>
      <c r="OM724"/>
      <c r="ON724"/>
      <c r="OO724"/>
      <c r="OP724"/>
      <c r="OQ724"/>
      <c r="OR724"/>
      <c r="OS724"/>
      <c r="OT724"/>
      <c r="OU724"/>
      <c r="OV724"/>
      <c r="OW724"/>
      <c r="OX724"/>
      <c r="OY724"/>
      <c r="OZ724"/>
      <c r="PA724"/>
      <c r="PB724"/>
      <c r="PC724"/>
      <c r="PD724"/>
      <c r="PE724"/>
      <c r="PF724"/>
      <c r="PG724"/>
      <c r="PH724"/>
      <c r="PI724"/>
      <c r="PJ724"/>
      <c r="PK724"/>
      <c r="PL724"/>
      <c r="PM724"/>
      <c r="PN724"/>
      <c r="PO724"/>
      <c r="PP724"/>
      <c r="PQ724"/>
      <c r="PR724"/>
      <c r="PS724"/>
      <c r="PT724"/>
      <c r="PU724"/>
      <c r="PV724"/>
      <c r="PW724"/>
      <c r="PX724"/>
      <c r="PY724"/>
      <c r="PZ724"/>
      <c r="QA724"/>
      <c r="QB724"/>
      <c r="QC724"/>
      <c r="QD724"/>
      <c r="QE724"/>
      <c r="QF724"/>
      <c r="QG724"/>
      <c r="QH724"/>
      <c r="QI724"/>
      <c r="QJ724"/>
      <c r="QK724"/>
      <c r="QL724"/>
      <c r="QM724"/>
      <c r="QN724"/>
      <c r="QO724"/>
      <c r="QP724"/>
      <c r="QQ724"/>
      <c r="QR724"/>
      <c r="QS724"/>
      <c r="QT724"/>
      <c r="QU724"/>
      <c r="QV724"/>
      <c r="QW724"/>
      <c r="QX724"/>
      <c r="QY724"/>
      <c r="QZ724"/>
      <c r="RA724"/>
      <c r="RB724"/>
      <c r="RC724"/>
      <c r="RD724"/>
      <c r="RE724"/>
      <c r="RF724"/>
      <c r="RG724"/>
      <c r="RH724"/>
      <c r="RI724"/>
      <c r="RJ724"/>
      <c r="RK724"/>
      <c r="RL724"/>
      <c r="RM724"/>
      <c r="RN724"/>
      <c r="RO724"/>
      <c r="RP724"/>
      <c r="RQ724"/>
      <c r="RR724"/>
      <c r="RS724"/>
      <c r="RT724"/>
      <c r="RU724"/>
      <c r="RV724"/>
      <c r="RW724"/>
      <c r="RX724"/>
      <c r="RY724"/>
      <c r="RZ724"/>
      <c r="SA724"/>
      <c r="SB724"/>
      <c r="SC724"/>
      <c r="SD724"/>
      <c r="SE724"/>
      <c r="SF724"/>
      <c r="SG724"/>
      <c r="SH724"/>
      <c r="SI724"/>
      <c r="SJ724"/>
      <c r="SK724"/>
      <c r="SL724"/>
      <c r="SM724"/>
      <c r="SN724"/>
      <c r="SO724"/>
      <c r="SP724"/>
      <c r="SQ724"/>
      <c r="SR724"/>
      <c r="SS724"/>
      <c r="ST724"/>
      <c r="SU724"/>
      <c r="SV724"/>
      <c r="SW724"/>
      <c r="SX724"/>
      <c r="SY724"/>
      <c r="SZ724"/>
      <c r="TA724"/>
      <c r="TB724"/>
      <c r="TC724"/>
      <c r="TD724"/>
      <c r="TE724"/>
      <c r="TF724"/>
      <c r="TG724"/>
      <c r="TH724"/>
      <c r="TI724"/>
      <c r="TJ724"/>
      <c r="TK724"/>
      <c r="TL724"/>
      <c r="TM724"/>
      <c r="TN724"/>
      <c r="TO724"/>
      <c r="TP724"/>
      <c r="TQ724"/>
      <c r="TR724"/>
      <c r="TS724"/>
      <c r="TT724"/>
      <c r="TU724"/>
      <c r="TV724"/>
      <c r="TW724"/>
      <c r="TX724"/>
      <c r="TY724"/>
      <c r="TZ724"/>
      <c r="UA724"/>
      <c r="UB724"/>
      <c r="UC724"/>
      <c r="UD724"/>
      <c r="UE724"/>
      <c r="UF724"/>
      <c r="UG724"/>
      <c r="UH724"/>
      <c r="UI724"/>
      <c r="UJ724"/>
      <c r="UK724"/>
      <c r="UL724"/>
      <c r="UM724"/>
      <c r="UN724"/>
      <c r="UO724"/>
      <c r="UP724"/>
      <c r="UQ724"/>
      <c r="UR724"/>
      <c r="US724"/>
      <c r="UT724"/>
      <c r="UU724"/>
      <c r="UV724"/>
      <c r="UW724"/>
      <c r="UX724"/>
      <c r="UY724"/>
      <c r="UZ724"/>
      <c r="VA724"/>
      <c r="VB724"/>
      <c r="VC724"/>
      <c r="VD724"/>
      <c r="VE724"/>
      <c r="VF724"/>
      <c r="VG724"/>
      <c r="VH724"/>
      <c r="VI724"/>
      <c r="VJ724"/>
      <c r="VK724"/>
      <c r="VL724"/>
      <c r="VM724"/>
      <c r="VN724"/>
      <c r="VO724"/>
      <c r="VP724"/>
      <c r="VQ724"/>
      <c r="VR724"/>
      <c r="VS724"/>
      <c r="VT724"/>
      <c r="VU724"/>
      <c r="VV724"/>
      <c r="VW724"/>
      <c r="VX724"/>
      <c r="VY724"/>
      <c r="VZ724"/>
      <c r="WA724"/>
      <c r="WB724"/>
      <c r="WC724"/>
      <c r="WD724"/>
      <c r="WE724"/>
      <c r="WF724"/>
      <c r="WG724"/>
      <c r="WH724"/>
      <c r="WI724"/>
      <c r="WJ724"/>
      <c r="WK724"/>
      <c r="WL724"/>
      <c r="WM724"/>
      <c r="WN724"/>
      <c r="WO724"/>
      <c r="WP724"/>
      <c r="WQ724"/>
      <c r="WR724"/>
      <c r="WS724"/>
      <c r="WT724"/>
      <c r="WU724"/>
      <c r="WV724"/>
      <c r="WW724"/>
      <c r="WX724"/>
      <c r="WY724"/>
      <c r="WZ724"/>
      <c r="XA724"/>
      <c r="XB724"/>
      <c r="XC724"/>
      <c r="XD724"/>
      <c r="XE724"/>
      <c r="XF724"/>
      <c r="XG724"/>
      <c r="XH724"/>
      <c r="XI724"/>
      <c r="XJ724"/>
      <c r="XK724"/>
      <c r="XL724"/>
      <c r="XM724"/>
      <c r="XN724"/>
      <c r="XO724"/>
      <c r="XP724"/>
      <c r="XQ724"/>
      <c r="XR724"/>
      <c r="XS724"/>
      <c r="XT724"/>
      <c r="XU724"/>
      <c r="XV724"/>
      <c r="XW724"/>
      <c r="XX724"/>
      <c r="XY724"/>
      <c r="XZ724"/>
      <c r="YA724"/>
      <c r="YB724"/>
      <c r="YC724"/>
      <c r="YD724"/>
      <c r="YE724"/>
      <c r="YF724"/>
      <c r="YG724"/>
      <c r="YH724"/>
      <c r="YI724"/>
      <c r="YJ724"/>
      <c r="YK724"/>
      <c r="YL724"/>
      <c r="YM724"/>
      <c r="YN724"/>
      <c r="YO724"/>
      <c r="YP724"/>
      <c r="YQ724"/>
      <c r="YR724"/>
      <c r="YS724"/>
      <c r="YT724"/>
      <c r="YU724"/>
      <c r="YV724"/>
      <c r="YW724"/>
      <c r="YX724"/>
      <c r="YY724"/>
      <c r="YZ724"/>
      <c r="ZA724"/>
      <c r="ZB724"/>
      <c r="ZC724"/>
      <c r="ZD724"/>
      <c r="ZE724"/>
      <c r="ZF724"/>
      <c r="ZG724"/>
      <c r="ZH724"/>
      <c r="ZI724"/>
      <c r="ZJ724"/>
      <c r="ZK724"/>
      <c r="ZL724"/>
      <c r="ZM724"/>
      <c r="ZN724"/>
      <c r="ZO724"/>
      <c r="ZP724"/>
      <c r="ZQ724"/>
      <c r="ZR724"/>
      <c r="ZS724"/>
      <c r="ZT724"/>
      <c r="ZU724"/>
      <c r="ZV724"/>
      <c r="ZW724"/>
      <c r="ZX724"/>
      <c r="ZY724"/>
      <c r="ZZ724" s="52"/>
      <c r="AAA724" s="192"/>
      <c r="AAD724" s="90"/>
      <c r="AAE724" s="519">
        <v>1</v>
      </c>
      <c r="AAF724" s="190" t="s">
        <v>52</v>
      </c>
      <c r="AAG724" s="84"/>
      <c r="AAH724" s="84"/>
      <c r="AAI724" s="72"/>
      <c r="AAJ724" s="74"/>
      <c r="AAK724" s="53"/>
      <c r="AAL724" s="90"/>
    </row>
    <row r="725" spans="1:715" s="23" customFormat="1" ht="15" customHeight="1" outlineLevel="1">
      <c r="A725" s="171"/>
      <c r="B725" s="630" t="s">
        <v>221</v>
      </c>
      <c r="C725" s="420"/>
      <c r="D725" s="434"/>
      <c r="E725" s="350"/>
      <c r="F725" s="350"/>
      <c r="G725" s="420"/>
      <c r="H725" s="420"/>
      <c r="I725" s="244"/>
      <c r="J725" s="194"/>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49"/>
      <c r="AY725" s="49"/>
      <c r="AZ725" s="49"/>
      <c r="BA725" s="49"/>
      <c r="BB725" s="49"/>
      <c r="BC725" s="49"/>
      <c r="BD725" s="49"/>
      <c r="BE725" s="49"/>
      <c r="BF725" s="49"/>
      <c r="BG725" s="49"/>
      <c r="BH725" s="49"/>
      <c r="BI725" s="49"/>
      <c r="BJ725" s="49"/>
      <c r="BK725" s="49"/>
      <c r="BL725" s="49"/>
      <c r="BM725" s="49"/>
      <c r="BN725" s="49"/>
      <c r="BO725" s="49"/>
      <c r="BP725" s="49"/>
      <c r="BQ725" s="49"/>
      <c r="BR725" s="49"/>
      <c r="BS725" s="49"/>
      <c r="BT725" s="49"/>
      <c r="BU725" s="49"/>
      <c r="BV725" s="49"/>
      <c r="BW725" s="49"/>
      <c r="BX725" s="49"/>
      <c r="BY725" s="49"/>
      <c r="BZ725" s="49"/>
      <c r="CA725" s="49"/>
      <c r="CB725" s="49"/>
      <c r="CC725" s="49"/>
      <c r="CD725" s="49"/>
      <c r="CE725" s="49"/>
      <c r="CF725" s="49"/>
      <c r="CG725" s="49"/>
      <c r="CH725" s="49"/>
      <c r="CI725" s="49"/>
      <c r="CJ725" s="49"/>
      <c r="CK725" s="49"/>
      <c r="CL725" s="49"/>
      <c r="CM725" s="49"/>
      <c r="CN725" s="49"/>
      <c r="CO725" s="49"/>
      <c r="CP725" s="49"/>
      <c r="CQ725" s="49"/>
      <c r="CR725" s="49"/>
      <c r="CS725" s="49"/>
      <c r="CT725" s="49"/>
      <c r="CU725" s="49"/>
      <c r="CV725" s="49"/>
      <c r="CW725" s="49"/>
      <c r="CX725" s="49"/>
      <c r="CY725" s="49"/>
      <c r="CZ725" s="49"/>
      <c r="DA725" s="49"/>
      <c r="DB725" s="49"/>
      <c r="DC725" s="49"/>
      <c r="DD725" s="49"/>
      <c r="DE725" s="49"/>
      <c r="DF725" s="49"/>
      <c r="DG725" s="49"/>
      <c r="DH725" s="49"/>
      <c r="DI725" s="49"/>
      <c r="DJ725" s="49"/>
      <c r="DK725" s="49"/>
      <c r="DL725" s="49"/>
      <c r="DM725" s="49"/>
      <c r="DN725" s="49"/>
      <c r="DO725" s="49"/>
      <c r="DP725" s="49"/>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c r="IW725"/>
      <c r="IX725"/>
      <c r="IY725"/>
      <c r="IZ725"/>
      <c r="JA725"/>
      <c r="JB725"/>
      <c r="JC725"/>
      <c r="JD725"/>
      <c r="JE725"/>
      <c r="JF725"/>
      <c r="JG725"/>
      <c r="JH725"/>
      <c r="JI725"/>
      <c r="JJ725"/>
      <c r="JK725"/>
      <c r="JL725"/>
      <c r="JM725"/>
      <c r="JN725"/>
      <c r="JO725"/>
      <c r="JP725"/>
      <c r="JQ725"/>
      <c r="JR725"/>
      <c r="JS725"/>
      <c r="JT725"/>
      <c r="JU725"/>
      <c r="JV725"/>
      <c r="JW725"/>
      <c r="JX725"/>
      <c r="JY725"/>
      <c r="JZ725"/>
      <c r="KA725"/>
      <c r="KB725"/>
      <c r="KC725"/>
      <c r="KD725"/>
      <c r="KE725"/>
      <c r="KF725"/>
      <c r="KG725"/>
      <c r="KH725"/>
      <c r="KI725"/>
      <c r="KJ725"/>
      <c r="KK725"/>
      <c r="KL725"/>
      <c r="KM725"/>
      <c r="KN725"/>
      <c r="KO725"/>
      <c r="KP725"/>
      <c r="KQ725"/>
      <c r="KR725"/>
      <c r="KS725"/>
      <c r="KT725"/>
      <c r="KU725"/>
      <c r="KV725"/>
      <c r="KW725"/>
      <c r="KX725"/>
      <c r="KY725"/>
      <c r="KZ725"/>
      <c r="LA725"/>
      <c r="LB725"/>
      <c r="LC725"/>
      <c r="LD725"/>
      <c r="LE725"/>
      <c r="LF725"/>
      <c r="LG725"/>
      <c r="LH725"/>
      <c r="LI725"/>
      <c r="LJ725"/>
      <c r="LK725"/>
      <c r="LL725"/>
      <c r="LM725"/>
      <c r="LN725"/>
      <c r="LO725"/>
      <c r="LP725"/>
      <c r="LQ725"/>
      <c r="LR725"/>
      <c r="LS725"/>
      <c r="LT725"/>
      <c r="LU725"/>
      <c r="LV725"/>
      <c r="LW725"/>
      <c r="LX725"/>
      <c r="LY725"/>
      <c r="LZ725"/>
      <c r="MA725"/>
      <c r="MB725"/>
      <c r="MC725"/>
      <c r="MD725"/>
      <c r="ME725"/>
      <c r="MF725"/>
      <c r="MG725"/>
      <c r="MH725"/>
      <c r="MI725"/>
      <c r="MJ725"/>
      <c r="MK725"/>
      <c r="ML725"/>
      <c r="MM725"/>
      <c r="MN725"/>
      <c r="MO725"/>
      <c r="MP725"/>
      <c r="MQ725"/>
      <c r="MR725"/>
      <c r="MS725"/>
      <c r="MT725"/>
      <c r="MU725"/>
      <c r="MV725"/>
      <c r="MW725"/>
      <c r="MX725"/>
      <c r="MY725"/>
      <c r="MZ725"/>
      <c r="NA725"/>
      <c r="NB725"/>
      <c r="NC725"/>
      <c r="ND725"/>
      <c r="NE725"/>
      <c r="NF725"/>
      <c r="NG725"/>
      <c r="NH725"/>
      <c r="NI725"/>
      <c r="NJ725"/>
      <c r="NK725"/>
      <c r="NL725"/>
      <c r="NM725"/>
      <c r="NN725"/>
      <c r="NO725"/>
      <c r="NP725"/>
      <c r="NQ725"/>
      <c r="NR725"/>
      <c r="NS725"/>
      <c r="NT725"/>
      <c r="NU725"/>
      <c r="NV725"/>
      <c r="NW725"/>
      <c r="NX725"/>
      <c r="NY725"/>
      <c r="NZ725"/>
      <c r="OA725"/>
      <c r="OB725"/>
      <c r="OC725"/>
      <c r="OD725"/>
      <c r="OE725"/>
      <c r="OF725"/>
      <c r="OG725"/>
      <c r="OH725"/>
      <c r="OI725"/>
      <c r="OJ725"/>
      <c r="OK725"/>
      <c r="OL725"/>
      <c r="OM725"/>
      <c r="ON725"/>
      <c r="OO725"/>
      <c r="OP725"/>
      <c r="OQ725"/>
      <c r="OR725"/>
      <c r="OS725"/>
      <c r="OT725"/>
      <c r="OU725"/>
      <c r="OV725"/>
      <c r="OW725"/>
      <c r="OX725"/>
      <c r="OY725"/>
      <c r="OZ725"/>
      <c r="PA725"/>
      <c r="PB725"/>
      <c r="PC725"/>
      <c r="PD725"/>
      <c r="PE725"/>
      <c r="PF725"/>
      <c r="PG725"/>
      <c r="PH725"/>
      <c r="PI725"/>
      <c r="PJ725"/>
      <c r="PK725"/>
      <c r="PL725"/>
      <c r="PM725"/>
      <c r="PN725"/>
      <c r="PO725"/>
      <c r="PP725"/>
      <c r="PQ725"/>
      <c r="PR725"/>
      <c r="PS725"/>
      <c r="PT725"/>
      <c r="PU725"/>
      <c r="PV725"/>
      <c r="PW725"/>
      <c r="PX725"/>
      <c r="PY725"/>
      <c r="PZ725"/>
      <c r="QA725"/>
      <c r="QB725"/>
      <c r="QC725"/>
      <c r="QD725"/>
      <c r="QE725"/>
      <c r="QF725"/>
      <c r="QG725"/>
      <c r="QH725"/>
      <c r="QI725"/>
      <c r="QJ725"/>
      <c r="QK725"/>
      <c r="QL725"/>
      <c r="QM725"/>
      <c r="QN725"/>
      <c r="QO725"/>
      <c r="QP725"/>
      <c r="QQ725"/>
      <c r="QR725"/>
      <c r="QS725"/>
      <c r="QT725"/>
      <c r="QU725"/>
      <c r="QV725"/>
      <c r="QW725"/>
      <c r="QX725"/>
      <c r="QY725"/>
      <c r="QZ725"/>
      <c r="RA725"/>
      <c r="RB725"/>
      <c r="RC725"/>
      <c r="RD725"/>
      <c r="RE725"/>
      <c r="RF725"/>
      <c r="RG725"/>
      <c r="RH725"/>
      <c r="RI725"/>
      <c r="RJ725"/>
      <c r="RK725"/>
      <c r="RL725"/>
      <c r="RM725"/>
      <c r="RN725"/>
      <c r="RO725"/>
      <c r="RP725"/>
      <c r="RQ725"/>
      <c r="RR725"/>
      <c r="RS725"/>
      <c r="RT725"/>
      <c r="RU725"/>
      <c r="RV725"/>
      <c r="RW725"/>
      <c r="RX725"/>
      <c r="RY725"/>
      <c r="RZ725"/>
      <c r="SA725"/>
      <c r="SB725"/>
      <c r="SC725"/>
      <c r="SD725"/>
      <c r="SE725"/>
      <c r="SF725"/>
      <c r="SG725"/>
      <c r="SH725"/>
      <c r="SI725"/>
      <c r="SJ725"/>
      <c r="SK725"/>
      <c r="SL725"/>
      <c r="SM725"/>
      <c r="SN725"/>
      <c r="SO725"/>
      <c r="SP725"/>
      <c r="SQ725"/>
      <c r="SR725"/>
      <c r="SS725"/>
      <c r="ST725"/>
      <c r="SU725"/>
      <c r="SV725"/>
      <c r="SW725"/>
      <c r="SX725"/>
      <c r="SY725"/>
      <c r="SZ725"/>
      <c r="TA725"/>
      <c r="TB725"/>
      <c r="TC725"/>
      <c r="TD725"/>
      <c r="TE725"/>
      <c r="TF725"/>
      <c r="TG725"/>
      <c r="TH725"/>
      <c r="TI725"/>
      <c r="TJ725"/>
      <c r="TK725"/>
      <c r="TL725"/>
      <c r="TM725"/>
      <c r="TN725"/>
      <c r="TO725"/>
      <c r="TP725"/>
      <c r="TQ725"/>
      <c r="TR725"/>
      <c r="TS725"/>
      <c r="TT725"/>
      <c r="TU725"/>
      <c r="TV725"/>
      <c r="TW725"/>
      <c r="TX725"/>
      <c r="TY725"/>
      <c r="TZ725"/>
      <c r="UA725"/>
      <c r="UB725"/>
      <c r="UC725"/>
      <c r="UD725"/>
      <c r="UE725"/>
      <c r="UF725"/>
      <c r="UG725"/>
      <c r="UH725"/>
      <c r="UI725"/>
      <c r="UJ725"/>
      <c r="UK725"/>
      <c r="UL725"/>
      <c r="UM725"/>
      <c r="UN725"/>
      <c r="UO725"/>
      <c r="UP725"/>
      <c r="UQ725"/>
      <c r="UR725"/>
      <c r="US725"/>
      <c r="UT725"/>
      <c r="UU725"/>
      <c r="UV725"/>
      <c r="UW725"/>
      <c r="UX725"/>
      <c r="UY725"/>
      <c r="UZ725"/>
      <c r="VA725"/>
      <c r="VB725"/>
      <c r="VC725"/>
      <c r="VD725"/>
      <c r="VE725"/>
      <c r="VF725"/>
      <c r="VG725"/>
      <c r="VH725"/>
      <c r="VI725"/>
      <c r="VJ725"/>
      <c r="VK725"/>
      <c r="VL725"/>
      <c r="VM725"/>
      <c r="VN725"/>
      <c r="VO725"/>
      <c r="VP725"/>
      <c r="VQ725"/>
      <c r="VR725"/>
      <c r="VS725"/>
      <c r="VT725"/>
      <c r="VU725"/>
      <c r="VV725"/>
      <c r="VW725"/>
      <c r="VX725"/>
      <c r="VY725"/>
      <c r="VZ725"/>
      <c r="WA725"/>
      <c r="WB725"/>
      <c r="WC725"/>
      <c r="WD725"/>
      <c r="WE725"/>
      <c r="WF725"/>
      <c r="WG725"/>
      <c r="WH725"/>
      <c r="WI725"/>
      <c r="WJ725"/>
      <c r="WK725"/>
      <c r="WL725"/>
      <c r="WM725"/>
      <c r="WN725"/>
      <c r="WO725"/>
      <c r="WP725"/>
      <c r="WQ725"/>
      <c r="WR725"/>
      <c r="WS725"/>
      <c r="WT725"/>
      <c r="WU725"/>
      <c r="WV725"/>
      <c r="WW725"/>
      <c r="WX725"/>
      <c r="WY725"/>
      <c r="WZ725"/>
      <c r="XA725"/>
      <c r="XB725"/>
      <c r="XC725"/>
      <c r="XD725"/>
      <c r="XE725"/>
      <c r="XF725"/>
      <c r="XG725"/>
      <c r="XH725"/>
      <c r="XI725"/>
      <c r="XJ725"/>
      <c r="XK725"/>
      <c r="XL725"/>
      <c r="XM725"/>
      <c r="XN725"/>
      <c r="XO725"/>
      <c r="XP725"/>
      <c r="XQ725"/>
      <c r="XR725"/>
      <c r="XS725"/>
      <c r="XT725"/>
      <c r="XU725"/>
      <c r="XV725"/>
      <c r="XW725"/>
      <c r="XX725"/>
      <c r="XY725"/>
      <c r="XZ725"/>
      <c r="YA725"/>
      <c r="YB725"/>
      <c r="YC725"/>
      <c r="YD725"/>
      <c r="YE725"/>
      <c r="YF725"/>
      <c r="YG725"/>
      <c r="YH725"/>
      <c r="YI725"/>
      <c r="YJ725"/>
      <c r="YK725"/>
      <c r="YL725"/>
      <c r="YM725"/>
      <c r="YN725"/>
      <c r="YO725"/>
      <c r="YP725"/>
      <c r="YQ725"/>
      <c r="YR725"/>
      <c r="YS725"/>
      <c r="YT725"/>
      <c r="YU725"/>
      <c r="YV725"/>
      <c r="YW725"/>
      <c r="YX725"/>
      <c r="YY725"/>
      <c r="YZ725"/>
      <c r="ZA725"/>
      <c r="ZB725"/>
      <c r="ZC725"/>
      <c r="ZD725"/>
      <c r="ZE725"/>
      <c r="ZF725"/>
      <c r="ZG725"/>
      <c r="ZH725"/>
      <c r="ZI725"/>
      <c r="ZJ725"/>
      <c r="ZK725"/>
      <c r="ZL725"/>
      <c r="ZM725"/>
      <c r="ZN725"/>
      <c r="ZO725"/>
      <c r="ZP725"/>
      <c r="ZQ725"/>
      <c r="ZR725"/>
      <c r="ZS725"/>
      <c r="ZT725"/>
      <c r="ZU725"/>
      <c r="ZV725"/>
      <c r="ZW725"/>
      <c r="ZX725"/>
      <c r="ZY725"/>
      <c r="ZZ725" s="52"/>
      <c r="AAA725" s="192"/>
      <c r="AAD725" s="90"/>
      <c r="AAE725" s="519">
        <v>1</v>
      </c>
      <c r="AAF725" s="190" t="s">
        <v>52</v>
      </c>
      <c r="AAG725" s="84"/>
      <c r="AAH725" s="84"/>
      <c r="AAI725" s="72"/>
      <c r="AAJ725" s="74"/>
      <c r="AAK725" s="53"/>
      <c r="AAL725" s="90"/>
    </row>
    <row r="726" spans="1:715" s="23" customFormat="1" ht="15" customHeight="1" outlineLevel="1">
      <c r="A726" s="171"/>
      <c r="B726" s="630" t="s">
        <v>220</v>
      </c>
      <c r="C726" s="420"/>
      <c r="D726" s="434"/>
      <c r="E726" s="350"/>
      <c r="F726" s="350"/>
      <c r="G726" s="420"/>
      <c r="H726" s="420"/>
      <c r="I726" s="244"/>
      <c r="J726" s="194"/>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49"/>
      <c r="AY726" s="49"/>
      <c r="AZ726" s="49"/>
      <c r="BA726" s="49"/>
      <c r="BB726" s="49"/>
      <c r="BC726" s="49"/>
      <c r="BD726" s="49"/>
      <c r="BE726" s="49"/>
      <c r="BF726" s="49"/>
      <c r="BG726" s="49"/>
      <c r="BH726" s="49"/>
      <c r="BI726" s="49"/>
      <c r="BJ726" s="49"/>
      <c r="BK726" s="49"/>
      <c r="BL726" s="49"/>
      <c r="BM726" s="49"/>
      <c r="BN726" s="49"/>
      <c r="BO726" s="49"/>
      <c r="BP726" s="49"/>
      <c r="BQ726" s="49"/>
      <c r="BR726" s="49"/>
      <c r="BS726" s="49"/>
      <c r="BT726" s="49"/>
      <c r="BU726" s="49"/>
      <c r="BV726" s="49"/>
      <c r="BW726" s="49"/>
      <c r="BX726" s="49"/>
      <c r="BY726" s="49"/>
      <c r="BZ726" s="49"/>
      <c r="CA726" s="49"/>
      <c r="CB726" s="49"/>
      <c r="CC726" s="49"/>
      <c r="CD726" s="49"/>
      <c r="CE726" s="49"/>
      <c r="CF726" s="49"/>
      <c r="CG726" s="49"/>
      <c r="CH726" s="49"/>
      <c r="CI726" s="49"/>
      <c r="CJ726" s="49"/>
      <c r="CK726" s="49"/>
      <c r="CL726" s="49"/>
      <c r="CM726" s="49"/>
      <c r="CN726" s="49"/>
      <c r="CO726" s="49"/>
      <c r="CP726" s="49"/>
      <c r="CQ726" s="49"/>
      <c r="CR726" s="49"/>
      <c r="CS726" s="49"/>
      <c r="CT726" s="49"/>
      <c r="CU726" s="49"/>
      <c r="CV726" s="49"/>
      <c r="CW726" s="49"/>
      <c r="CX726" s="49"/>
      <c r="CY726" s="49"/>
      <c r="CZ726" s="49"/>
      <c r="DA726" s="49"/>
      <c r="DB726" s="49"/>
      <c r="DC726" s="49"/>
      <c r="DD726" s="49"/>
      <c r="DE726" s="49"/>
      <c r="DF726" s="49"/>
      <c r="DG726" s="49"/>
      <c r="DH726" s="49"/>
      <c r="DI726" s="49"/>
      <c r="DJ726" s="49"/>
      <c r="DK726" s="49"/>
      <c r="DL726" s="49"/>
      <c r="DM726" s="49"/>
      <c r="DN726" s="49"/>
      <c r="DO726" s="49"/>
      <c r="DP726" s="49"/>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c r="IW726"/>
      <c r="IX726"/>
      <c r="IY726"/>
      <c r="IZ726"/>
      <c r="JA726"/>
      <c r="JB726"/>
      <c r="JC726"/>
      <c r="JD726"/>
      <c r="JE726"/>
      <c r="JF726"/>
      <c r="JG726"/>
      <c r="JH726"/>
      <c r="JI726"/>
      <c r="JJ726"/>
      <c r="JK726"/>
      <c r="JL726"/>
      <c r="JM726"/>
      <c r="JN726"/>
      <c r="JO726"/>
      <c r="JP726"/>
      <c r="JQ726"/>
      <c r="JR726"/>
      <c r="JS726"/>
      <c r="JT726"/>
      <c r="JU726"/>
      <c r="JV726"/>
      <c r="JW726"/>
      <c r="JX726"/>
      <c r="JY726"/>
      <c r="JZ726"/>
      <c r="KA726"/>
      <c r="KB726"/>
      <c r="KC726"/>
      <c r="KD726"/>
      <c r="KE726"/>
      <c r="KF726"/>
      <c r="KG726"/>
      <c r="KH726"/>
      <c r="KI726"/>
      <c r="KJ726"/>
      <c r="KK726"/>
      <c r="KL726"/>
      <c r="KM726"/>
      <c r="KN726"/>
      <c r="KO726"/>
      <c r="KP726"/>
      <c r="KQ726"/>
      <c r="KR726"/>
      <c r="KS726"/>
      <c r="KT726"/>
      <c r="KU726"/>
      <c r="KV726"/>
      <c r="KW726"/>
      <c r="KX726"/>
      <c r="KY726"/>
      <c r="KZ726"/>
      <c r="LA726"/>
      <c r="LB726"/>
      <c r="LC726"/>
      <c r="LD726"/>
      <c r="LE726"/>
      <c r="LF726"/>
      <c r="LG726"/>
      <c r="LH726"/>
      <c r="LI726"/>
      <c r="LJ726"/>
      <c r="LK726"/>
      <c r="LL726"/>
      <c r="LM726"/>
      <c r="LN726"/>
      <c r="LO726"/>
      <c r="LP726"/>
      <c r="LQ726"/>
      <c r="LR726"/>
      <c r="LS726"/>
      <c r="LT726"/>
      <c r="LU726"/>
      <c r="LV726"/>
      <c r="LW726"/>
      <c r="LX726"/>
      <c r="LY726"/>
      <c r="LZ726"/>
      <c r="MA726"/>
      <c r="MB726"/>
      <c r="MC726"/>
      <c r="MD726"/>
      <c r="ME726"/>
      <c r="MF726"/>
      <c r="MG726"/>
      <c r="MH726"/>
      <c r="MI726"/>
      <c r="MJ726"/>
      <c r="MK726"/>
      <c r="ML726"/>
      <c r="MM726"/>
      <c r="MN726"/>
      <c r="MO726"/>
      <c r="MP726"/>
      <c r="MQ726"/>
      <c r="MR726"/>
      <c r="MS726"/>
      <c r="MT726"/>
      <c r="MU726"/>
      <c r="MV726"/>
      <c r="MW726"/>
      <c r="MX726"/>
      <c r="MY726"/>
      <c r="MZ726"/>
      <c r="NA726"/>
      <c r="NB726"/>
      <c r="NC726"/>
      <c r="ND726"/>
      <c r="NE726"/>
      <c r="NF726"/>
      <c r="NG726"/>
      <c r="NH726"/>
      <c r="NI726"/>
      <c r="NJ726"/>
      <c r="NK726"/>
      <c r="NL726"/>
      <c r="NM726"/>
      <c r="NN726"/>
      <c r="NO726"/>
      <c r="NP726"/>
      <c r="NQ726"/>
      <c r="NR726"/>
      <c r="NS726"/>
      <c r="NT726"/>
      <c r="NU726"/>
      <c r="NV726"/>
      <c r="NW726"/>
      <c r="NX726"/>
      <c r="NY726"/>
      <c r="NZ726"/>
      <c r="OA726"/>
      <c r="OB726"/>
      <c r="OC726"/>
      <c r="OD726"/>
      <c r="OE726"/>
      <c r="OF726"/>
      <c r="OG726"/>
      <c r="OH726"/>
      <c r="OI726"/>
      <c r="OJ726"/>
      <c r="OK726"/>
      <c r="OL726"/>
      <c r="OM726"/>
      <c r="ON726"/>
      <c r="OO726"/>
      <c r="OP726"/>
      <c r="OQ726"/>
      <c r="OR726"/>
      <c r="OS726"/>
      <c r="OT726"/>
      <c r="OU726"/>
      <c r="OV726"/>
      <c r="OW726"/>
      <c r="OX726"/>
      <c r="OY726"/>
      <c r="OZ726"/>
      <c r="PA726"/>
      <c r="PB726"/>
      <c r="PC726"/>
      <c r="PD726"/>
      <c r="PE726"/>
      <c r="PF726"/>
      <c r="PG726"/>
      <c r="PH726"/>
      <c r="PI726"/>
      <c r="PJ726"/>
      <c r="PK726"/>
      <c r="PL726"/>
      <c r="PM726"/>
      <c r="PN726"/>
      <c r="PO726"/>
      <c r="PP726"/>
      <c r="PQ726"/>
      <c r="PR726"/>
      <c r="PS726"/>
      <c r="PT726"/>
      <c r="PU726"/>
      <c r="PV726"/>
      <c r="PW726"/>
      <c r="PX726"/>
      <c r="PY726"/>
      <c r="PZ726"/>
      <c r="QA726"/>
      <c r="QB726"/>
      <c r="QC726"/>
      <c r="QD726"/>
      <c r="QE726"/>
      <c r="QF726"/>
      <c r="QG726"/>
      <c r="QH726"/>
      <c r="QI726"/>
      <c r="QJ726"/>
      <c r="QK726"/>
      <c r="QL726"/>
      <c r="QM726"/>
      <c r="QN726"/>
      <c r="QO726"/>
      <c r="QP726"/>
      <c r="QQ726"/>
      <c r="QR726"/>
      <c r="QS726"/>
      <c r="QT726"/>
      <c r="QU726"/>
      <c r="QV726"/>
      <c r="QW726"/>
      <c r="QX726"/>
      <c r="QY726"/>
      <c r="QZ726"/>
      <c r="RA726"/>
      <c r="RB726"/>
      <c r="RC726"/>
      <c r="RD726"/>
      <c r="RE726"/>
      <c r="RF726"/>
      <c r="RG726"/>
      <c r="RH726"/>
      <c r="RI726"/>
      <c r="RJ726"/>
      <c r="RK726"/>
      <c r="RL726"/>
      <c r="RM726"/>
      <c r="RN726"/>
      <c r="RO726"/>
      <c r="RP726"/>
      <c r="RQ726"/>
      <c r="RR726"/>
      <c r="RS726"/>
      <c r="RT726"/>
      <c r="RU726"/>
      <c r="RV726"/>
      <c r="RW726"/>
      <c r="RX726"/>
      <c r="RY726"/>
      <c r="RZ726"/>
      <c r="SA726"/>
      <c r="SB726"/>
      <c r="SC726"/>
      <c r="SD726"/>
      <c r="SE726"/>
      <c r="SF726"/>
      <c r="SG726"/>
      <c r="SH726"/>
      <c r="SI726"/>
      <c r="SJ726"/>
      <c r="SK726"/>
      <c r="SL726"/>
      <c r="SM726"/>
      <c r="SN726"/>
      <c r="SO726"/>
      <c r="SP726"/>
      <c r="SQ726"/>
      <c r="SR726"/>
      <c r="SS726"/>
      <c r="ST726"/>
      <c r="SU726"/>
      <c r="SV726"/>
      <c r="SW726"/>
      <c r="SX726"/>
      <c r="SY726"/>
      <c r="SZ726"/>
      <c r="TA726"/>
      <c r="TB726"/>
      <c r="TC726"/>
      <c r="TD726"/>
      <c r="TE726"/>
      <c r="TF726"/>
      <c r="TG726"/>
      <c r="TH726"/>
      <c r="TI726"/>
      <c r="TJ726"/>
      <c r="TK726"/>
      <c r="TL726"/>
      <c r="TM726"/>
      <c r="TN726"/>
      <c r="TO726"/>
      <c r="TP726"/>
      <c r="TQ726"/>
      <c r="TR726"/>
      <c r="TS726"/>
      <c r="TT726"/>
      <c r="TU726"/>
      <c r="TV726"/>
      <c r="TW726"/>
      <c r="TX726"/>
      <c r="TY726"/>
      <c r="TZ726"/>
      <c r="UA726"/>
      <c r="UB726"/>
      <c r="UC726"/>
      <c r="UD726"/>
      <c r="UE726"/>
      <c r="UF726"/>
      <c r="UG726"/>
      <c r="UH726"/>
      <c r="UI726"/>
      <c r="UJ726"/>
      <c r="UK726"/>
      <c r="UL726"/>
      <c r="UM726"/>
      <c r="UN726"/>
      <c r="UO726"/>
      <c r="UP726"/>
      <c r="UQ726"/>
      <c r="UR726"/>
      <c r="US726"/>
      <c r="UT726"/>
      <c r="UU726"/>
      <c r="UV726"/>
      <c r="UW726"/>
      <c r="UX726"/>
      <c r="UY726"/>
      <c r="UZ726"/>
      <c r="VA726"/>
      <c r="VB726"/>
      <c r="VC726"/>
      <c r="VD726"/>
      <c r="VE726"/>
      <c r="VF726"/>
      <c r="VG726"/>
      <c r="VH726"/>
      <c r="VI726"/>
      <c r="VJ726"/>
      <c r="VK726"/>
      <c r="VL726"/>
      <c r="VM726"/>
      <c r="VN726"/>
      <c r="VO726"/>
      <c r="VP726"/>
      <c r="VQ726"/>
      <c r="VR726"/>
      <c r="VS726"/>
      <c r="VT726"/>
      <c r="VU726"/>
      <c r="VV726"/>
      <c r="VW726"/>
      <c r="VX726"/>
      <c r="VY726"/>
      <c r="VZ726"/>
      <c r="WA726"/>
      <c r="WB726"/>
      <c r="WC726"/>
      <c r="WD726"/>
      <c r="WE726"/>
      <c r="WF726"/>
      <c r="WG726"/>
      <c r="WH726"/>
      <c r="WI726"/>
      <c r="WJ726"/>
      <c r="WK726"/>
      <c r="WL726"/>
      <c r="WM726"/>
      <c r="WN726"/>
      <c r="WO726"/>
      <c r="WP726"/>
      <c r="WQ726"/>
      <c r="WR726"/>
      <c r="WS726"/>
      <c r="WT726"/>
      <c r="WU726"/>
      <c r="WV726"/>
      <c r="WW726"/>
      <c r="WX726"/>
      <c r="WY726"/>
      <c r="WZ726"/>
      <c r="XA726"/>
      <c r="XB726"/>
      <c r="XC726"/>
      <c r="XD726"/>
      <c r="XE726"/>
      <c r="XF726"/>
      <c r="XG726"/>
      <c r="XH726"/>
      <c r="XI726"/>
      <c r="XJ726"/>
      <c r="XK726"/>
      <c r="XL726"/>
      <c r="XM726"/>
      <c r="XN726"/>
      <c r="XO726"/>
      <c r="XP726"/>
      <c r="XQ726"/>
      <c r="XR726"/>
      <c r="XS726"/>
      <c r="XT726"/>
      <c r="XU726"/>
      <c r="XV726"/>
      <c r="XW726"/>
      <c r="XX726"/>
      <c r="XY726"/>
      <c r="XZ726"/>
      <c r="YA726"/>
      <c r="YB726"/>
      <c r="YC726"/>
      <c r="YD726"/>
      <c r="YE726"/>
      <c r="YF726"/>
      <c r="YG726"/>
      <c r="YH726"/>
      <c r="YI726"/>
      <c r="YJ726"/>
      <c r="YK726"/>
      <c r="YL726"/>
      <c r="YM726"/>
      <c r="YN726"/>
      <c r="YO726"/>
      <c r="YP726"/>
      <c r="YQ726"/>
      <c r="YR726"/>
      <c r="YS726"/>
      <c r="YT726"/>
      <c r="YU726"/>
      <c r="YV726"/>
      <c r="YW726"/>
      <c r="YX726"/>
      <c r="YY726"/>
      <c r="YZ726"/>
      <c r="ZA726"/>
      <c r="ZB726"/>
      <c r="ZC726"/>
      <c r="ZD726"/>
      <c r="ZE726"/>
      <c r="ZF726"/>
      <c r="ZG726"/>
      <c r="ZH726"/>
      <c r="ZI726"/>
      <c r="ZJ726"/>
      <c r="ZK726"/>
      <c r="ZL726"/>
      <c r="ZM726"/>
      <c r="ZN726"/>
      <c r="ZO726"/>
      <c r="ZP726"/>
      <c r="ZQ726"/>
      <c r="ZR726"/>
      <c r="ZS726"/>
      <c r="ZT726"/>
      <c r="ZU726"/>
      <c r="ZV726"/>
      <c r="ZW726"/>
      <c r="ZX726"/>
      <c r="ZY726"/>
      <c r="ZZ726" s="52"/>
      <c r="AAA726" s="192"/>
      <c r="AAD726" s="90"/>
      <c r="AAE726" s="519">
        <v>1</v>
      </c>
      <c r="AAF726" s="190" t="s">
        <v>52</v>
      </c>
      <c r="AAG726" s="84"/>
      <c r="AAH726" s="84"/>
      <c r="AAI726" s="72"/>
      <c r="AAJ726" s="74"/>
      <c r="AAK726" s="53"/>
      <c r="AAL726" s="90"/>
    </row>
    <row r="727" spans="1:715" s="23" customFormat="1" ht="15" customHeight="1" outlineLevel="1" thickBot="1">
      <c r="A727" s="171"/>
      <c r="B727" s="426" t="s">
        <v>51</v>
      </c>
      <c r="C727" s="375"/>
      <c r="D727"/>
      <c r="E727"/>
      <c r="F727" s="457">
        <f ca="1">IF(YEAR(H727)&gt;2000,NETWORKDAYS(TODAY(),H727,S.DDL_DEQClosed),0)</f>
        <v>99</v>
      </c>
      <c r="G727"/>
      <c r="H727" s="343">
        <f t="shared" si="610"/>
        <v>41719</v>
      </c>
      <c r="I727" s="244"/>
      <c r="J727" s="194"/>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49"/>
      <c r="AW727" s="49"/>
      <c r="AX727" s="49"/>
      <c r="AY727" s="49"/>
      <c r="AZ727" s="49"/>
      <c r="BA727" s="49"/>
      <c r="BB727" s="49"/>
      <c r="BC727" s="49"/>
      <c r="BD727" s="49"/>
      <c r="BE727" s="49"/>
      <c r="BF727" s="49"/>
      <c r="BG727" s="49"/>
      <c r="BH727" s="49"/>
      <c r="BI727" s="49"/>
      <c r="BJ727" s="49"/>
      <c r="BK727" s="49"/>
      <c r="BL727" s="49"/>
      <c r="BM727" s="49"/>
      <c r="BN727" s="49"/>
      <c r="BO727" s="49"/>
      <c r="BP727" s="49"/>
      <c r="BQ727" s="49"/>
      <c r="BR727" s="49"/>
      <c r="BS727" s="49"/>
      <c r="BT727" s="49"/>
      <c r="BU727" s="49"/>
      <c r="BV727" s="49"/>
      <c r="BW727" s="49"/>
      <c r="BX727" s="49"/>
      <c r="BY727" s="49"/>
      <c r="BZ727" s="49"/>
      <c r="CA727" s="49"/>
      <c r="CB727" s="49"/>
      <c r="CC727" s="49"/>
      <c r="CD727" s="49"/>
      <c r="CE727" s="49"/>
      <c r="CF727" s="49"/>
      <c r="CG727" s="49"/>
      <c r="CH727" s="49"/>
      <c r="CI727" s="49"/>
      <c r="CJ727" s="49"/>
      <c r="CK727" s="49"/>
      <c r="CL727" s="49"/>
      <c r="CM727" s="49"/>
      <c r="CN727" s="49"/>
      <c r="CO727" s="49"/>
      <c r="CP727" s="49"/>
      <c r="CQ727" s="49"/>
      <c r="CR727" s="49"/>
      <c r="CS727" s="49"/>
      <c r="CT727" s="49"/>
      <c r="CU727" s="49"/>
      <c r="CV727" s="49"/>
      <c r="CW727" s="49"/>
      <c r="CX727" s="49"/>
      <c r="CY727" s="49"/>
      <c r="CZ727" s="49"/>
      <c r="DA727" s="49"/>
      <c r="DB727" s="49"/>
      <c r="DC727" s="49"/>
      <c r="DD727" s="49"/>
      <c r="DE727" s="49"/>
      <c r="DF727" s="49"/>
      <c r="DG727" s="49"/>
      <c r="DH727" s="49"/>
      <c r="DI727" s="49"/>
      <c r="DJ727" s="49"/>
      <c r="DK727" s="49"/>
      <c r="DL727" s="49"/>
      <c r="DM727" s="49"/>
      <c r="DN727" s="49"/>
      <c r="DO727" s="49"/>
      <c r="DP727" s="49"/>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c r="IW727"/>
      <c r="IX727"/>
      <c r="IY727"/>
      <c r="IZ727"/>
      <c r="JA727"/>
      <c r="JB727"/>
      <c r="JC727"/>
      <c r="JD727"/>
      <c r="JE727"/>
      <c r="JF727"/>
      <c r="JG727"/>
      <c r="JH727"/>
      <c r="JI727"/>
      <c r="JJ727"/>
      <c r="JK727"/>
      <c r="JL727"/>
      <c r="JM727"/>
      <c r="JN727"/>
      <c r="JO727"/>
      <c r="JP727"/>
      <c r="JQ727"/>
      <c r="JR727"/>
      <c r="JS727"/>
      <c r="JT727"/>
      <c r="JU727"/>
      <c r="JV727"/>
      <c r="JW727"/>
      <c r="JX727"/>
      <c r="JY727"/>
      <c r="JZ727"/>
      <c r="KA727"/>
      <c r="KB727"/>
      <c r="KC727"/>
      <c r="KD727"/>
      <c r="KE727"/>
      <c r="KF727"/>
      <c r="KG727"/>
      <c r="KH727"/>
      <c r="KI727"/>
      <c r="KJ727"/>
      <c r="KK727"/>
      <c r="KL727"/>
      <c r="KM727"/>
      <c r="KN727"/>
      <c r="KO727"/>
      <c r="KP727"/>
      <c r="KQ727"/>
      <c r="KR727"/>
      <c r="KS727"/>
      <c r="KT727"/>
      <c r="KU727"/>
      <c r="KV727"/>
      <c r="KW727"/>
      <c r="KX727"/>
      <c r="KY727"/>
      <c r="KZ727"/>
      <c r="LA727"/>
      <c r="LB727"/>
      <c r="LC727"/>
      <c r="LD727"/>
      <c r="LE727"/>
      <c r="LF727"/>
      <c r="LG727"/>
      <c r="LH727"/>
      <c r="LI727"/>
      <c r="LJ727"/>
      <c r="LK727"/>
      <c r="LL727"/>
      <c r="LM727"/>
      <c r="LN727"/>
      <c r="LO727"/>
      <c r="LP727"/>
      <c r="LQ727"/>
      <c r="LR727"/>
      <c r="LS727"/>
      <c r="LT727"/>
      <c r="LU727"/>
      <c r="LV727"/>
      <c r="LW727"/>
      <c r="LX727"/>
      <c r="LY727"/>
      <c r="LZ727"/>
      <c r="MA727"/>
      <c r="MB727"/>
      <c r="MC727"/>
      <c r="MD727"/>
      <c r="ME727"/>
      <c r="MF727"/>
      <c r="MG727"/>
      <c r="MH727"/>
      <c r="MI727"/>
      <c r="MJ727"/>
      <c r="MK727"/>
      <c r="ML727"/>
      <c r="MM727"/>
      <c r="MN727"/>
      <c r="MO727"/>
      <c r="MP727"/>
      <c r="MQ727"/>
      <c r="MR727"/>
      <c r="MS727"/>
      <c r="MT727"/>
      <c r="MU727"/>
      <c r="MV727"/>
      <c r="MW727"/>
      <c r="MX727"/>
      <c r="MY727"/>
      <c r="MZ727"/>
      <c r="NA727"/>
      <c r="NB727"/>
      <c r="NC727"/>
      <c r="ND727"/>
      <c r="NE727"/>
      <c r="NF727"/>
      <c r="NG727"/>
      <c r="NH727"/>
      <c r="NI727"/>
      <c r="NJ727"/>
      <c r="NK727"/>
      <c r="NL727"/>
      <c r="NM727"/>
      <c r="NN727"/>
      <c r="NO727"/>
      <c r="NP727"/>
      <c r="NQ727"/>
      <c r="NR727"/>
      <c r="NS727"/>
      <c r="NT727"/>
      <c r="NU727"/>
      <c r="NV727"/>
      <c r="NW727"/>
      <c r="NX727"/>
      <c r="NY727"/>
      <c r="NZ727"/>
      <c r="OA727"/>
      <c r="OB727"/>
      <c r="OC727"/>
      <c r="OD727"/>
      <c r="OE727"/>
      <c r="OF727"/>
      <c r="OG727"/>
      <c r="OH727"/>
      <c r="OI727"/>
      <c r="OJ727"/>
      <c r="OK727"/>
      <c r="OL727"/>
      <c r="OM727"/>
      <c r="ON727"/>
      <c r="OO727"/>
      <c r="OP727"/>
      <c r="OQ727"/>
      <c r="OR727"/>
      <c r="OS727"/>
      <c r="OT727"/>
      <c r="OU727"/>
      <c r="OV727"/>
      <c r="OW727"/>
      <c r="OX727"/>
      <c r="OY727"/>
      <c r="OZ727"/>
      <c r="PA727"/>
      <c r="PB727"/>
      <c r="PC727"/>
      <c r="PD727"/>
      <c r="PE727"/>
      <c r="PF727"/>
      <c r="PG727"/>
      <c r="PH727"/>
      <c r="PI727"/>
      <c r="PJ727"/>
      <c r="PK727"/>
      <c r="PL727"/>
      <c r="PM727"/>
      <c r="PN727"/>
      <c r="PO727"/>
      <c r="PP727"/>
      <c r="PQ727"/>
      <c r="PR727"/>
      <c r="PS727"/>
      <c r="PT727"/>
      <c r="PU727"/>
      <c r="PV727"/>
      <c r="PW727"/>
      <c r="PX727"/>
      <c r="PY727"/>
      <c r="PZ727"/>
      <c r="QA727"/>
      <c r="QB727"/>
      <c r="QC727"/>
      <c r="QD727"/>
      <c r="QE727"/>
      <c r="QF727"/>
      <c r="QG727"/>
      <c r="QH727"/>
      <c r="QI727"/>
      <c r="QJ727"/>
      <c r="QK727"/>
      <c r="QL727"/>
      <c r="QM727"/>
      <c r="QN727"/>
      <c r="QO727"/>
      <c r="QP727"/>
      <c r="QQ727"/>
      <c r="QR727"/>
      <c r="QS727"/>
      <c r="QT727"/>
      <c r="QU727"/>
      <c r="QV727"/>
      <c r="QW727"/>
      <c r="QX727"/>
      <c r="QY727"/>
      <c r="QZ727"/>
      <c r="RA727"/>
      <c r="RB727"/>
      <c r="RC727"/>
      <c r="RD727"/>
      <c r="RE727"/>
      <c r="RF727"/>
      <c r="RG727"/>
      <c r="RH727"/>
      <c r="RI727"/>
      <c r="RJ727"/>
      <c r="RK727"/>
      <c r="RL727"/>
      <c r="RM727"/>
      <c r="RN727"/>
      <c r="RO727"/>
      <c r="RP727"/>
      <c r="RQ727"/>
      <c r="RR727"/>
      <c r="RS727"/>
      <c r="RT727"/>
      <c r="RU727"/>
      <c r="RV727"/>
      <c r="RW727"/>
      <c r="RX727"/>
      <c r="RY727"/>
      <c r="RZ727"/>
      <c r="SA727"/>
      <c r="SB727"/>
      <c r="SC727"/>
      <c r="SD727"/>
      <c r="SE727"/>
      <c r="SF727"/>
      <c r="SG727"/>
      <c r="SH727"/>
      <c r="SI727"/>
      <c r="SJ727"/>
      <c r="SK727"/>
      <c r="SL727"/>
      <c r="SM727"/>
      <c r="SN727"/>
      <c r="SO727"/>
      <c r="SP727"/>
      <c r="SQ727"/>
      <c r="SR727"/>
      <c r="SS727"/>
      <c r="ST727"/>
      <c r="SU727"/>
      <c r="SV727"/>
      <c r="SW727"/>
      <c r="SX727"/>
      <c r="SY727"/>
      <c r="SZ727"/>
      <c r="TA727"/>
      <c r="TB727"/>
      <c r="TC727"/>
      <c r="TD727"/>
      <c r="TE727"/>
      <c r="TF727"/>
      <c r="TG727"/>
      <c r="TH727"/>
      <c r="TI727"/>
      <c r="TJ727"/>
      <c r="TK727"/>
      <c r="TL727"/>
      <c r="TM727"/>
      <c r="TN727"/>
      <c r="TO727"/>
      <c r="TP727"/>
      <c r="TQ727"/>
      <c r="TR727"/>
      <c r="TS727"/>
      <c r="TT727"/>
      <c r="TU727"/>
      <c r="TV727"/>
      <c r="TW727"/>
      <c r="TX727"/>
      <c r="TY727"/>
      <c r="TZ727"/>
      <c r="UA727"/>
      <c r="UB727"/>
      <c r="UC727"/>
      <c r="UD727"/>
      <c r="UE727"/>
      <c r="UF727"/>
      <c r="UG727"/>
      <c r="UH727"/>
      <c r="UI727"/>
      <c r="UJ727"/>
      <c r="UK727"/>
      <c r="UL727"/>
      <c r="UM727"/>
      <c r="UN727"/>
      <c r="UO727"/>
      <c r="UP727"/>
      <c r="UQ727"/>
      <c r="UR727"/>
      <c r="US727"/>
      <c r="UT727"/>
      <c r="UU727"/>
      <c r="UV727"/>
      <c r="UW727"/>
      <c r="UX727"/>
      <c r="UY727"/>
      <c r="UZ727"/>
      <c r="VA727"/>
      <c r="VB727"/>
      <c r="VC727"/>
      <c r="VD727"/>
      <c r="VE727"/>
      <c r="VF727"/>
      <c r="VG727"/>
      <c r="VH727"/>
      <c r="VI727"/>
      <c r="VJ727"/>
      <c r="VK727"/>
      <c r="VL727"/>
      <c r="VM727"/>
      <c r="VN727"/>
      <c r="VO727"/>
      <c r="VP727"/>
      <c r="VQ727"/>
      <c r="VR727"/>
      <c r="VS727"/>
      <c r="VT727"/>
      <c r="VU727"/>
      <c r="VV727"/>
      <c r="VW727"/>
      <c r="VX727"/>
      <c r="VY727"/>
      <c r="VZ727"/>
      <c r="WA727"/>
      <c r="WB727"/>
      <c r="WC727"/>
      <c r="WD727"/>
      <c r="WE727"/>
      <c r="WF727"/>
      <c r="WG727"/>
      <c r="WH727"/>
      <c r="WI727"/>
      <c r="WJ727"/>
      <c r="WK727"/>
      <c r="WL727"/>
      <c r="WM727"/>
      <c r="WN727"/>
      <c r="WO727"/>
      <c r="WP727"/>
      <c r="WQ727"/>
      <c r="WR727"/>
      <c r="WS727"/>
      <c r="WT727"/>
      <c r="WU727"/>
      <c r="WV727"/>
      <c r="WW727"/>
      <c r="WX727"/>
      <c r="WY727"/>
      <c r="WZ727"/>
      <c r="XA727"/>
      <c r="XB727"/>
      <c r="XC727"/>
      <c r="XD727"/>
      <c r="XE727"/>
      <c r="XF727"/>
      <c r="XG727"/>
      <c r="XH727"/>
      <c r="XI727"/>
      <c r="XJ727"/>
      <c r="XK727"/>
      <c r="XL727"/>
      <c r="XM727"/>
      <c r="XN727"/>
      <c r="XO727"/>
      <c r="XP727"/>
      <c r="XQ727"/>
      <c r="XR727"/>
      <c r="XS727"/>
      <c r="XT727"/>
      <c r="XU727"/>
      <c r="XV727"/>
      <c r="XW727"/>
      <c r="XX727"/>
      <c r="XY727"/>
      <c r="XZ727"/>
      <c r="YA727"/>
      <c r="YB727"/>
      <c r="YC727"/>
      <c r="YD727"/>
      <c r="YE727"/>
      <c r="YF727"/>
      <c r="YG727"/>
      <c r="YH727"/>
      <c r="YI727"/>
      <c r="YJ727"/>
      <c r="YK727"/>
      <c r="YL727"/>
      <c r="YM727"/>
      <c r="YN727"/>
      <c r="YO727"/>
      <c r="YP727"/>
      <c r="YQ727"/>
      <c r="YR727"/>
      <c r="YS727"/>
      <c r="YT727"/>
      <c r="YU727"/>
      <c r="YV727"/>
      <c r="YW727"/>
      <c r="YX727"/>
      <c r="YY727"/>
      <c r="YZ727"/>
      <c r="ZA727"/>
      <c r="ZB727"/>
      <c r="ZC727"/>
      <c r="ZD727"/>
      <c r="ZE727"/>
      <c r="ZF727"/>
      <c r="ZG727"/>
      <c r="ZH727"/>
      <c r="ZI727"/>
      <c r="ZJ727"/>
      <c r="ZK727"/>
      <c r="ZL727"/>
      <c r="ZM727"/>
      <c r="ZN727"/>
      <c r="ZO727"/>
      <c r="ZP727"/>
      <c r="ZQ727"/>
      <c r="ZR727"/>
      <c r="ZS727"/>
      <c r="ZT727"/>
      <c r="ZU727"/>
      <c r="ZV727"/>
      <c r="ZW727"/>
      <c r="ZX727"/>
      <c r="ZY727"/>
      <c r="ZZ727" s="52"/>
      <c r="AAA727" s="192"/>
      <c r="AAB727"/>
      <c r="AAC727"/>
      <c r="AAD727" s="90"/>
      <c r="AAE727" s="519">
        <v>1</v>
      </c>
      <c r="AAF727" s="90"/>
      <c r="AAG727" s="84"/>
      <c r="AAH727" s="73">
        <f>S.PostEQC.RuleEffective</f>
        <v>41719</v>
      </c>
      <c r="AAI727" s="72"/>
      <c r="AAJ727" s="72"/>
      <c r="AAK727" s="56"/>
      <c r="AAL727" s="90"/>
    </row>
    <row r="728" spans="1:715" s="23" customFormat="1" ht="15" customHeight="1" outlineLevel="1" thickBot="1">
      <c r="A728" s="171"/>
      <c r="B728" s="303" t="s">
        <v>184</v>
      </c>
      <c r="C728" s="787" t="str">
        <f>HYPERLINK("http://www.lc.state.or.us/arrs.htm","i")</f>
        <v>i</v>
      </c>
      <c r="D728" s="610"/>
      <c r="E728"/>
      <c r="F728" s="457">
        <f ca="1">IF(YEAR(H728)&gt;2000,NETWORKDAYS(TODAY(),H728,S.DDL_DEQClosed),0)</f>
        <v>99</v>
      </c>
      <c r="G728"/>
      <c r="H728" s="347">
        <f t="shared" si="610"/>
        <v>41719</v>
      </c>
      <c r="I728" s="244"/>
      <c r="J728" s="194"/>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c r="BG728" s="49"/>
      <c r="BH728" s="49"/>
      <c r="BI728" s="49"/>
      <c r="BJ728" s="49"/>
      <c r="BK728" s="49"/>
      <c r="BL728" s="49"/>
      <c r="BM728" s="49"/>
      <c r="BN728" s="49"/>
      <c r="BO728" s="49"/>
      <c r="BP728" s="49"/>
      <c r="BQ728" s="49"/>
      <c r="BR728" s="49"/>
      <c r="BS728" s="49"/>
      <c r="BT728" s="49"/>
      <c r="BU728" s="49"/>
      <c r="BV728" s="49"/>
      <c r="BW728" s="49"/>
      <c r="BX728" s="49"/>
      <c r="BY728" s="49"/>
      <c r="BZ728" s="49"/>
      <c r="CA728" s="49"/>
      <c r="CB728" s="49"/>
      <c r="CC728" s="49"/>
      <c r="CD728" s="49"/>
      <c r="CE728" s="49"/>
      <c r="CF728" s="49"/>
      <c r="CG728" s="49"/>
      <c r="CH728" s="49"/>
      <c r="CI728" s="49"/>
      <c r="CJ728" s="49"/>
      <c r="CK728" s="49"/>
      <c r="CL728" s="49"/>
      <c r="CM728" s="49"/>
      <c r="CN728" s="49"/>
      <c r="CO728" s="49"/>
      <c r="CP728" s="49"/>
      <c r="CQ728" s="49"/>
      <c r="CR728" s="49"/>
      <c r="CS728" s="49"/>
      <c r="CT728" s="49"/>
      <c r="CU728" s="49"/>
      <c r="CV728" s="49"/>
      <c r="CW728" s="49"/>
      <c r="CX728" s="49"/>
      <c r="CY728" s="49"/>
      <c r="CZ728" s="49"/>
      <c r="DA728" s="49"/>
      <c r="DB728" s="49"/>
      <c r="DC728" s="49"/>
      <c r="DD728" s="49"/>
      <c r="DE728" s="49"/>
      <c r="DF728" s="49"/>
      <c r="DG728" s="49"/>
      <c r="DH728" s="49"/>
      <c r="DI728" s="49"/>
      <c r="DJ728" s="49"/>
      <c r="DK728" s="49"/>
      <c r="DL728" s="49"/>
      <c r="DM728" s="49"/>
      <c r="DN728" s="49"/>
      <c r="DO728" s="49"/>
      <c r="DP728" s="49"/>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c r="IW728"/>
      <c r="IX728"/>
      <c r="IY728"/>
      <c r="IZ728"/>
      <c r="JA728"/>
      <c r="JB728"/>
      <c r="JC728"/>
      <c r="JD728"/>
      <c r="JE728"/>
      <c r="JF728"/>
      <c r="JG728"/>
      <c r="JH728"/>
      <c r="JI728"/>
      <c r="JJ728"/>
      <c r="JK728"/>
      <c r="JL728"/>
      <c r="JM728"/>
      <c r="JN728"/>
      <c r="JO728"/>
      <c r="JP728"/>
      <c r="JQ728"/>
      <c r="JR728"/>
      <c r="JS728"/>
      <c r="JT728"/>
      <c r="JU728"/>
      <c r="JV728"/>
      <c r="JW728"/>
      <c r="JX728"/>
      <c r="JY728"/>
      <c r="JZ728"/>
      <c r="KA728"/>
      <c r="KB728"/>
      <c r="KC728"/>
      <c r="KD728"/>
      <c r="KE728"/>
      <c r="KF728"/>
      <c r="KG728"/>
      <c r="KH728"/>
      <c r="KI728"/>
      <c r="KJ728"/>
      <c r="KK728"/>
      <c r="KL728"/>
      <c r="KM728"/>
      <c r="KN728"/>
      <c r="KO728"/>
      <c r="KP728"/>
      <c r="KQ728"/>
      <c r="KR728"/>
      <c r="KS728"/>
      <c r="KT728"/>
      <c r="KU728"/>
      <c r="KV728"/>
      <c r="KW728"/>
      <c r="KX728"/>
      <c r="KY728"/>
      <c r="KZ728"/>
      <c r="LA728"/>
      <c r="LB728"/>
      <c r="LC728"/>
      <c r="LD728"/>
      <c r="LE728"/>
      <c r="LF728"/>
      <c r="LG728"/>
      <c r="LH728"/>
      <c r="LI728"/>
      <c r="LJ728"/>
      <c r="LK728"/>
      <c r="LL728"/>
      <c r="LM728"/>
      <c r="LN728"/>
      <c r="LO728"/>
      <c r="LP728"/>
      <c r="LQ728"/>
      <c r="LR728"/>
      <c r="LS728"/>
      <c r="LT728"/>
      <c r="LU728"/>
      <c r="LV728"/>
      <c r="LW728"/>
      <c r="LX728"/>
      <c r="LY728"/>
      <c r="LZ728"/>
      <c r="MA728"/>
      <c r="MB728"/>
      <c r="MC728"/>
      <c r="MD728"/>
      <c r="ME728"/>
      <c r="MF728"/>
      <c r="MG728"/>
      <c r="MH728"/>
      <c r="MI728"/>
      <c r="MJ728"/>
      <c r="MK728"/>
      <c r="ML728"/>
      <c r="MM728"/>
      <c r="MN728"/>
      <c r="MO728"/>
      <c r="MP728"/>
      <c r="MQ728"/>
      <c r="MR728"/>
      <c r="MS728"/>
      <c r="MT728"/>
      <c r="MU728"/>
      <c r="MV728"/>
      <c r="MW728"/>
      <c r="MX728"/>
      <c r="MY728"/>
      <c r="MZ728"/>
      <c r="NA728"/>
      <c r="NB728"/>
      <c r="NC728"/>
      <c r="ND728"/>
      <c r="NE728"/>
      <c r="NF728"/>
      <c r="NG728"/>
      <c r="NH728"/>
      <c r="NI728"/>
      <c r="NJ728"/>
      <c r="NK728"/>
      <c r="NL728"/>
      <c r="NM728"/>
      <c r="NN728"/>
      <c r="NO728"/>
      <c r="NP728"/>
      <c r="NQ728"/>
      <c r="NR728"/>
      <c r="NS728"/>
      <c r="NT728"/>
      <c r="NU728"/>
      <c r="NV728"/>
      <c r="NW728"/>
      <c r="NX728"/>
      <c r="NY728"/>
      <c r="NZ728"/>
      <c r="OA728"/>
      <c r="OB728"/>
      <c r="OC728"/>
      <c r="OD728"/>
      <c r="OE728"/>
      <c r="OF728"/>
      <c r="OG728"/>
      <c r="OH728"/>
      <c r="OI728"/>
      <c r="OJ728"/>
      <c r="OK728"/>
      <c r="OL728"/>
      <c r="OM728"/>
      <c r="ON728"/>
      <c r="OO728"/>
      <c r="OP728"/>
      <c r="OQ728"/>
      <c r="OR728"/>
      <c r="OS728"/>
      <c r="OT728"/>
      <c r="OU728"/>
      <c r="OV728"/>
      <c r="OW728"/>
      <c r="OX728"/>
      <c r="OY728"/>
      <c r="OZ728"/>
      <c r="PA728"/>
      <c r="PB728"/>
      <c r="PC728"/>
      <c r="PD728"/>
      <c r="PE728"/>
      <c r="PF728"/>
      <c r="PG728"/>
      <c r="PH728"/>
      <c r="PI728"/>
      <c r="PJ728"/>
      <c r="PK728"/>
      <c r="PL728"/>
      <c r="PM728"/>
      <c r="PN728"/>
      <c r="PO728"/>
      <c r="PP728"/>
      <c r="PQ728"/>
      <c r="PR728"/>
      <c r="PS728"/>
      <c r="PT728"/>
      <c r="PU728"/>
      <c r="PV728"/>
      <c r="PW728"/>
      <c r="PX728"/>
      <c r="PY728"/>
      <c r="PZ728"/>
      <c r="QA728"/>
      <c r="QB728"/>
      <c r="QC728"/>
      <c r="QD728"/>
      <c r="QE728"/>
      <c r="QF728"/>
      <c r="QG728"/>
      <c r="QH728"/>
      <c r="QI728"/>
      <c r="QJ728"/>
      <c r="QK728"/>
      <c r="QL728"/>
      <c r="QM728"/>
      <c r="QN728"/>
      <c r="QO728"/>
      <c r="QP728"/>
      <c r="QQ728"/>
      <c r="QR728"/>
      <c r="QS728"/>
      <c r="QT728"/>
      <c r="QU728"/>
      <c r="QV728"/>
      <c r="QW728"/>
      <c r="QX728"/>
      <c r="QY728"/>
      <c r="QZ728"/>
      <c r="RA728"/>
      <c r="RB728"/>
      <c r="RC728"/>
      <c r="RD728"/>
      <c r="RE728"/>
      <c r="RF728"/>
      <c r="RG728"/>
      <c r="RH728"/>
      <c r="RI728"/>
      <c r="RJ728"/>
      <c r="RK728"/>
      <c r="RL728"/>
      <c r="RM728"/>
      <c r="RN728"/>
      <c r="RO728"/>
      <c r="RP728"/>
      <c r="RQ728"/>
      <c r="RR728"/>
      <c r="RS728"/>
      <c r="RT728"/>
      <c r="RU728"/>
      <c r="RV728"/>
      <c r="RW728"/>
      <c r="RX728"/>
      <c r="RY728"/>
      <c r="RZ728"/>
      <c r="SA728"/>
      <c r="SB728"/>
      <c r="SC728"/>
      <c r="SD728"/>
      <c r="SE728"/>
      <c r="SF728"/>
      <c r="SG728"/>
      <c r="SH728"/>
      <c r="SI728"/>
      <c r="SJ728"/>
      <c r="SK728"/>
      <c r="SL728"/>
      <c r="SM728"/>
      <c r="SN728"/>
      <c r="SO728"/>
      <c r="SP728"/>
      <c r="SQ728"/>
      <c r="SR728"/>
      <c r="SS728"/>
      <c r="ST728"/>
      <c r="SU728"/>
      <c r="SV728"/>
      <c r="SW728"/>
      <c r="SX728"/>
      <c r="SY728"/>
      <c r="SZ728"/>
      <c r="TA728"/>
      <c r="TB728"/>
      <c r="TC728"/>
      <c r="TD728"/>
      <c r="TE728"/>
      <c r="TF728"/>
      <c r="TG728"/>
      <c r="TH728"/>
      <c r="TI728"/>
      <c r="TJ728"/>
      <c r="TK728"/>
      <c r="TL728"/>
      <c r="TM728"/>
      <c r="TN728"/>
      <c r="TO728"/>
      <c r="TP728"/>
      <c r="TQ728"/>
      <c r="TR728"/>
      <c r="TS728"/>
      <c r="TT728"/>
      <c r="TU728"/>
      <c r="TV728"/>
      <c r="TW728"/>
      <c r="TX728"/>
      <c r="TY728"/>
      <c r="TZ728"/>
      <c r="UA728"/>
      <c r="UB728"/>
      <c r="UC728"/>
      <c r="UD728"/>
      <c r="UE728"/>
      <c r="UF728"/>
      <c r="UG728"/>
      <c r="UH728"/>
      <c r="UI728"/>
      <c r="UJ728"/>
      <c r="UK728"/>
      <c r="UL728"/>
      <c r="UM728"/>
      <c r="UN728"/>
      <c r="UO728"/>
      <c r="UP728"/>
      <c r="UQ728"/>
      <c r="UR728"/>
      <c r="US728"/>
      <c r="UT728"/>
      <c r="UU728"/>
      <c r="UV728"/>
      <c r="UW728"/>
      <c r="UX728"/>
      <c r="UY728"/>
      <c r="UZ728"/>
      <c r="VA728"/>
      <c r="VB728"/>
      <c r="VC728"/>
      <c r="VD728"/>
      <c r="VE728"/>
      <c r="VF728"/>
      <c r="VG728"/>
      <c r="VH728"/>
      <c r="VI728"/>
      <c r="VJ728"/>
      <c r="VK728"/>
      <c r="VL728"/>
      <c r="VM728"/>
      <c r="VN728"/>
      <c r="VO728"/>
      <c r="VP728"/>
      <c r="VQ728"/>
      <c r="VR728"/>
      <c r="VS728"/>
      <c r="VT728"/>
      <c r="VU728"/>
      <c r="VV728"/>
      <c r="VW728"/>
      <c r="VX728"/>
      <c r="VY728"/>
      <c r="VZ728"/>
      <c r="WA728"/>
      <c r="WB728"/>
      <c r="WC728"/>
      <c r="WD728"/>
      <c r="WE728"/>
      <c r="WF728"/>
      <c r="WG728"/>
      <c r="WH728"/>
      <c r="WI728"/>
      <c r="WJ728"/>
      <c r="WK728"/>
      <c r="WL728"/>
      <c r="WM728"/>
      <c r="WN728"/>
      <c r="WO728"/>
      <c r="WP728"/>
      <c r="WQ728"/>
      <c r="WR728"/>
      <c r="WS728"/>
      <c r="WT728"/>
      <c r="WU728"/>
      <c r="WV728"/>
      <c r="WW728"/>
      <c r="WX728"/>
      <c r="WY728"/>
      <c r="WZ728"/>
      <c r="XA728"/>
      <c r="XB728"/>
      <c r="XC728"/>
      <c r="XD728"/>
      <c r="XE728"/>
      <c r="XF728"/>
      <c r="XG728"/>
      <c r="XH728"/>
      <c r="XI728"/>
      <c r="XJ728"/>
      <c r="XK728"/>
      <c r="XL728"/>
      <c r="XM728"/>
      <c r="XN728"/>
      <c r="XO728"/>
      <c r="XP728"/>
      <c r="XQ728"/>
      <c r="XR728"/>
      <c r="XS728"/>
      <c r="XT728"/>
      <c r="XU728"/>
      <c r="XV728"/>
      <c r="XW728"/>
      <c r="XX728"/>
      <c r="XY728"/>
      <c r="XZ728"/>
      <c r="YA728"/>
      <c r="YB728"/>
      <c r="YC728"/>
      <c r="YD728"/>
      <c r="YE728"/>
      <c r="YF728"/>
      <c r="YG728"/>
      <c r="YH728"/>
      <c r="YI728"/>
      <c r="YJ728"/>
      <c r="YK728"/>
      <c r="YL728"/>
      <c r="YM728"/>
      <c r="YN728"/>
      <c r="YO728"/>
      <c r="YP728"/>
      <c r="YQ728"/>
      <c r="YR728"/>
      <c r="YS728"/>
      <c r="YT728"/>
      <c r="YU728"/>
      <c r="YV728"/>
      <c r="YW728"/>
      <c r="YX728"/>
      <c r="YY728"/>
      <c r="YZ728"/>
      <c r="ZA728"/>
      <c r="ZB728"/>
      <c r="ZC728"/>
      <c r="ZD728"/>
      <c r="ZE728"/>
      <c r="ZF728"/>
      <c r="ZG728"/>
      <c r="ZH728"/>
      <c r="ZI728"/>
      <c r="ZJ728"/>
      <c r="ZK728"/>
      <c r="ZL728"/>
      <c r="ZM728"/>
      <c r="ZN728"/>
      <c r="ZO728"/>
      <c r="ZP728"/>
      <c r="ZQ728"/>
      <c r="ZR728"/>
      <c r="ZS728"/>
      <c r="ZT728"/>
      <c r="ZU728"/>
      <c r="ZV728"/>
      <c r="ZW728"/>
      <c r="ZX728"/>
      <c r="ZY728"/>
      <c r="ZZ728" s="52"/>
      <c r="AAA728" s="192"/>
      <c r="AAD728" s="90"/>
      <c r="AAE728" s="519">
        <v>1</v>
      </c>
      <c r="AAF728" s="90"/>
      <c r="AAG728" s="84"/>
      <c r="AAH728" s="73">
        <f>S.PostEQC.FileRuleWithSOS</f>
        <v>41719</v>
      </c>
      <c r="AAI728" s="72"/>
      <c r="AAJ728" s="74"/>
      <c r="AAK728" s="56"/>
      <c r="AAL728" s="90"/>
    </row>
    <row r="729" spans="1:715" s="23" customFormat="1" ht="15" customHeight="1" outlineLevel="1">
      <c r="A729" s="171"/>
      <c r="B729" s="630" t="s">
        <v>262</v>
      </c>
      <c r="C729" s="420"/>
      <c r="D729" s="434"/>
      <c r="E729" s="350"/>
      <c r="F729" s="350"/>
      <c r="G729" s="420"/>
      <c r="H729" s="420"/>
      <c r="I729" s="244"/>
      <c r="J729" s="194"/>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c r="BG729" s="49"/>
      <c r="BH729" s="49"/>
      <c r="BI729" s="49"/>
      <c r="BJ729" s="49"/>
      <c r="BK729" s="49"/>
      <c r="BL729" s="49"/>
      <c r="BM729" s="49"/>
      <c r="BN729" s="49"/>
      <c r="BO729" s="49"/>
      <c r="BP729" s="49"/>
      <c r="BQ729" s="49"/>
      <c r="BR729" s="49"/>
      <c r="BS729" s="49"/>
      <c r="BT729" s="49"/>
      <c r="BU729" s="49"/>
      <c r="BV729" s="49"/>
      <c r="BW729" s="49"/>
      <c r="BX729" s="49"/>
      <c r="BY729" s="49"/>
      <c r="BZ729" s="49"/>
      <c r="CA729" s="49"/>
      <c r="CB729" s="49"/>
      <c r="CC729" s="49"/>
      <c r="CD729" s="49"/>
      <c r="CE729" s="49"/>
      <c r="CF729" s="49"/>
      <c r="CG729" s="49"/>
      <c r="CH729" s="49"/>
      <c r="CI729" s="49"/>
      <c r="CJ729" s="49"/>
      <c r="CK729" s="49"/>
      <c r="CL729" s="49"/>
      <c r="CM729" s="49"/>
      <c r="CN729" s="49"/>
      <c r="CO729" s="49"/>
      <c r="CP729" s="49"/>
      <c r="CQ729" s="49"/>
      <c r="CR729" s="49"/>
      <c r="CS729" s="49"/>
      <c r="CT729" s="49"/>
      <c r="CU729" s="49"/>
      <c r="CV729" s="49"/>
      <c r="CW729" s="49"/>
      <c r="CX729" s="49"/>
      <c r="CY729" s="49"/>
      <c r="CZ729" s="49"/>
      <c r="DA729" s="49"/>
      <c r="DB729" s="49"/>
      <c r="DC729" s="49"/>
      <c r="DD729" s="49"/>
      <c r="DE729" s="49"/>
      <c r="DF729" s="49"/>
      <c r="DG729" s="49"/>
      <c r="DH729" s="49"/>
      <c r="DI729" s="49"/>
      <c r="DJ729" s="49"/>
      <c r="DK729" s="49"/>
      <c r="DL729" s="49"/>
      <c r="DM729" s="49"/>
      <c r="DN729" s="49"/>
      <c r="DO729" s="49"/>
      <c r="DP729" s="4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c r="IW729"/>
      <c r="IX729"/>
      <c r="IY729"/>
      <c r="IZ729"/>
      <c r="JA729"/>
      <c r="JB729"/>
      <c r="JC729"/>
      <c r="JD729"/>
      <c r="JE729"/>
      <c r="JF729"/>
      <c r="JG729"/>
      <c r="JH729"/>
      <c r="JI729"/>
      <c r="JJ729"/>
      <c r="JK729"/>
      <c r="JL729"/>
      <c r="JM729"/>
      <c r="JN729"/>
      <c r="JO729"/>
      <c r="JP729"/>
      <c r="JQ729"/>
      <c r="JR729"/>
      <c r="JS729"/>
      <c r="JT729"/>
      <c r="JU729"/>
      <c r="JV729"/>
      <c r="JW729"/>
      <c r="JX729"/>
      <c r="JY729"/>
      <c r="JZ729"/>
      <c r="KA729"/>
      <c r="KB729"/>
      <c r="KC729"/>
      <c r="KD729"/>
      <c r="KE729"/>
      <c r="KF729"/>
      <c r="KG729"/>
      <c r="KH729"/>
      <c r="KI729"/>
      <c r="KJ729"/>
      <c r="KK729"/>
      <c r="KL729"/>
      <c r="KM729"/>
      <c r="KN729"/>
      <c r="KO729"/>
      <c r="KP729"/>
      <c r="KQ729"/>
      <c r="KR729"/>
      <c r="KS729"/>
      <c r="KT729"/>
      <c r="KU729"/>
      <c r="KV729"/>
      <c r="KW729"/>
      <c r="KX729"/>
      <c r="KY729"/>
      <c r="KZ729"/>
      <c r="LA729"/>
      <c r="LB729"/>
      <c r="LC729"/>
      <c r="LD729"/>
      <c r="LE729"/>
      <c r="LF729"/>
      <c r="LG729"/>
      <c r="LH729"/>
      <c r="LI729"/>
      <c r="LJ729"/>
      <c r="LK729"/>
      <c r="LL729"/>
      <c r="LM729"/>
      <c r="LN729"/>
      <c r="LO729"/>
      <c r="LP729"/>
      <c r="LQ729"/>
      <c r="LR729"/>
      <c r="LS729"/>
      <c r="LT729"/>
      <c r="LU729"/>
      <c r="LV729"/>
      <c r="LW729"/>
      <c r="LX729"/>
      <c r="LY729"/>
      <c r="LZ729"/>
      <c r="MA729"/>
      <c r="MB729"/>
      <c r="MC729"/>
      <c r="MD729"/>
      <c r="ME729"/>
      <c r="MF729"/>
      <c r="MG729"/>
      <c r="MH729"/>
      <c r="MI729"/>
      <c r="MJ729"/>
      <c r="MK729"/>
      <c r="ML729"/>
      <c r="MM729"/>
      <c r="MN729"/>
      <c r="MO729"/>
      <c r="MP729"/>
      <c r="MQ729"/>
      <c r="MR729"/>
      <c r="MS729"/>
      <c r="MT729"/>
      <c r="MU729"/>
      <c r="MV729"/>
      <c r="MW729"/>
      <c r="MX729"/>
      <c r="MY729"/>
      <c r="MZ729"/>
      <c r="NA729"/>
      <c r="NB729"/>
      <c r="NC729"/>
      <c r="ND729"/>
      <c r="NE729"/>
      <c r="NF729"/>
      <c r="NG729"/>
      <c r="NH729"/>
      <c r="NI729"/>
      <c r="NJ729"/>
      <c r="NK729"/>
      <c r="NL729"/>
      <c r="NM729"/>
      <c r="NN729"/>
      <c r="NO729"/>
      <c r="NP729"/>
      <c r="NQ729"/>
      <c r="NR729"/>
      <c r="NS729"/>
      <c r="NT729"/>
      <c r="NU729"/>
      <c r="NV729"/>
      <c r="NW729"/>
      <c r="NX729"/>
      <c r="NY729"/>
      <c r="NZ729"/>
      <c r="OA729"/>
      <c r="OB729"/>
      <c r="OC729"/>
      <c r="OD729"/>
      <c r="OE729"/>
      <c r="OF729"/>
      <c r="OG729"/>
      <c r="OH729"/>
      <c r="OI729"/>
      <c r="OJ729"/>
      <c r="OK729"/>
      <c r="OL729"/>
      <c r="OM729"/>
      <c r="ON729"/>
      <c r="OO729"/>
      <c r="OP729"/>
      <c r="OQ729"/>
      <c r="OR729"/>
      <c r="OS729"/>
      <c r="OT729"/>
      <c r="OU729"/>
      <c r="OV729"/>
      <c r="OW729"/>
      <c r="OX729"/>
      <c r="OY729"/>
      <c r="OZ729"/>
      <c r="PA729"/>
      <c r="PB729"/>
      <c r="PC729"/>
      <c r="PD729"/>
      <c r="PE729"/>
      <c r="PF729"/>
      <c r="PG729"/>
      <c r="PH729"/>
      <c r="PI729"/>
      <c r="PJ729"/>
      <c r="PK729"/>
      <c r="PL729"/>
      <c r="PM729"/>
      <c r="PN729"/>
      <c r="PO729"/>
      <c r="PP729"/>
      <c r="PQ729"/>
      <c r="PR729"/>
      <c r="PS729"/>
      <c r="PT729"/>
      <c r="PU729"/>
      <c r="PV729"/>
      <c r="PW729"/>
      <c r="PX729"/>
      <c r="PY729"/>
      <c r="PZ729"/>
      <c r="QA729"/>
      <c r="QB729"/>
      <c r="QC729"/>
      <c r="QD729"/>
      <c r="QE729"/>
      <c r="QF729"/>
      <c r="QG729"/>
      <c r="QH729"/>
      <c r="QI729"/>
      <c r="QJ729"/>
      <c r="QK729"/>
      <c r="QL729"/>
      <c r="QM729"/>
      <c r="QN729"/>
      <c r="QO729"/>
      <c r="QP729"/>
      <c r="QQ729"/>
      <c r="QR729"/>
      <c r="QS729"/>
      <c r="QT729"/>
      <c r="QU729"/>
      <c r="QV729"/>
      <c r="QW729"/>
      <c r="QX729"/>
      <c r="QY729"/>
      <c r="QZ729"/>
      <c r="RA729"/>
      <c r="RB729"/>
      <c r="RC729"/>
      <c r="RD729"/>
      <c r="RE729"/>
      <c r="RF729"/>
      <c r="RG729"/>
      <c r="RH729"/>
      <c r="RI729"/>
      <c r="RJ729"/>
      <c r="RK729"/>
      <c r="RL729"/>
      <c r="RM729"/>
      <c r="RN729"/>
      <c r="RO729"/>
      <c r="RP729"/>
      <c r="RQ729"/>
      <c r="RR729"/>
      <c r="RS729"/>
      <c r="RT729"/>
      <c r="RU729"/>
      <c r="RV729"/>
      <c r="RW729"/>
      <c r="RX729"/>
      <c r="RY729"/>
      <c r="RZ729"/>
      <c r="SA729"/>
      <c r="SB729"/>
      <c r="SC729"/>
      <c r="SD729"/>
      <c r="SE729"/>
      <c r="SF729"/>
      <c r="SG729"/>
      <c r="SH729"/>
      <c r="SI729"/>
      <c r="SJ729"/>
      <c r="SK729"/>
      <c r="SL729"/>
      <c r="SM729"/>
      <c r="SN729"/>
      <c r="SO729"/>
      <c r="SP729"/>
      <c r="SQ729"/>
      <c r="SR729"/>
      <c r="SS729"/>
      <c r="ST729"/>
      <c r="SU729"/>
      <c r="SV729"/>
      <c r="SW729"/>
      <c r="SX729"/>
      <c r="SY729"/>
      <c r="SZ729"/>
      <c r="TA729"/>
      <c r="TB729"/>
      <c r="TC729"/>
      <c r="TD729"/>
      <c r="TE729"/>
      <c r="TF729"/>
      <c r="TG729"/>
      <c r="TH729"/>
      <c r="TI729"/>
      <c r="TJ729"/>
      <c r="TK729"/>
      <c r="TL729"/>
      <c r="TM729"/>
      <c r="TN729"/>
      <c r="TO729"/>
      <c r="TP729"/>
      <c r="TQ729"/>
      <c r="TR729"/>
      <c r="TS729"/>
      <c r="TT729"/>
      <c r="TU729"/>
      <c r="TV729"/>
      <c r="TW729"/>
      <c r="TX729"/>
      <c r="TY729"/>
      <c r="TZ729"/>
      <c r="UA729"/>
      <c r="UB729"/>
      <c r="UC729"/>
      <c r="UD729"/>
      <c r="UE729"/>
      <c r="UF729"/>
      <c r="UG729"/>
      <c r="UH729"/>
      <c r="UI729"/>
      <c r="UJ729"/>
      <c r="UK729"/>
      <c r="UL729"/>
      <c r="UM729"/>
      <c r="UN729"/>
      <c r="UO729"/>
      <c r="UP729"/>
      <c r="UQ729"/>
      <c r="UR729"/>
      <c r="US729"/>
      <c r="UT729"/>
      <c r="UU729"/>
      <c r="UV729"/>
      <c r="UW729"/>
      <c r="UX729"/>
      <c r="UY729"/>
      <c r="UZ729"/>
      <c r="VA729"/>
      <c r="VB729"/>
      <c r="VC729"/>
      <c r="VD729"/>
      <c r="VE729"/>
      <c r="VF729"/>
      <c r="VG729"/>
      <c r="VH729"/>
      <c r="VI729"/>
      <c r="VJ729"/>
      <c r="VK729"/>
      <c r="VL729"/>
      <c r="VM729"/>
      <c r="VN729"/>
      <c r="VO729"/>
      <c r="VP729"/>
      <c r="VQ729"/>
      <c r="VR729"/>
      <c r="VS729"/>
      <c r="VT729"/>
      <c r="VU729"/>
      <c r="VV729"/>
      <c r="VW729"/>
      <c r="VX729"/>
      <c r="VY729"/>
      <c r="VZ729"/>
      <c r="WA729"/>
      <c r="WB729"/>
      <c r="WC729"/>
      <c r="WD729"/>
      <c r="WE729"/>
      <c r="WF729"/>
      <c r="WG729"/>
      <c r="WH729"/>
      <c r="WI729"/>
      <c r="WJ729"/>
      <c r="WK729"/>
      <c r="WL729"/>
      <c r="WM729"/>
      <c r="WN729"/>
      <c r="WO729"/>
      <c r="WP729"/>
      <c r="WQ729"/>
      <c r="WR729"/>
      <c r="WS729"/>
      <c r="WT729"/>
      <c r="WU729"/>
      <c r="WV729"/>
      <c r="WW729"/>
      <c r="WX729"/>
      <c r="WY729"/>
      <c r="WZ729"/>
      <c r="XA729"/>
      <c r="XB729"/>
      <c r="XC729"/>
      <c r="XD729"/>
      <c r="XE729"/>
      <c r="XF729"/>
      <c r="XG729"/>
      <c r="XH729"/>
      <c r="XI729"/>
      <c r="XJ729"/>
      <c r="XK729"/>
      <c r="XL729"/>
      <c r="XM729"/>
      <c r="XN729"/>
      <c r="XO729"/>
      <c r="XP729"/>
      <c r="XQ729"/>
      <c r="XR729"/>
      <c r="XS729"/>
      <c r="XT729"/>
      <c r="XU729"/>
      <c r="XV729"/>
      <c r="XW729"/>
      <c r="XX729"/>
      <c r="XY729"/>
      <c r="XZ729"/>
      <c r="YA729"/>
      <c r="YB729"/>
      <c r="YC729"/>
      <c r="YD729"/>
      <c r="YE729"/>
      <c r="YF729"/>
      <c r="YG729"/>
      <c r="YH729"/>
      <c r="YI729"/>
      <c r="YJ729"/>
      <c r="YK729"/>
      <c r="YL729"/>
      <c r="YM729"/>
      <c r="YN729"/>
      <c r="YO729"/>
      <c r="YP729"/>
      <c r="YQ729"/>
      <c r="YR729"/>
      <c r="YS729"/>
      <c r="YT729"/>
      <c r="YU729"/>
      <c r="YV729"/>
      <c r="YW729"/>
      <c r="YX729"/>
      <c r="YY729"/>
      <c r="YZ729"/>
      <c r="ZA729"/>
      <c r="ZB729"/>
      <c r="ZC729"/>
      <c r="ZD729"/>
      <c r="ZE729"/>
      <c r="ZF729"/>
      <c r="ZG729"/>
      <c r="ZH729"/>
      <c r="ZI729"/>
      <c r="ZJ729"/>
      <c r="ZK729"/>
      <c r="ZL729"/>
      <c r="ZM729"/>
      <c r="ZN729"/>
      <c r="ZO729"/>
      <c r="ZP729"/>
      <c r="ZQ729"/>
      <c r="ZR729"/>
      <c r="ZS729"/>
      <c r="ZT729"/>
      <c r="ZU729"/>
      <c r="ZV729"/>
      <c r="ZW729"/>
      <c r="ZX729"/>
      <c r="ZY729"/>
      <c r="ZZ729" s="52"/>
      <c r="AAA729" s="192"/>
      <c r="AAD729" s="90"/>
      <c r="AAE729" s="519">
        <v>1</v>
      </c>
      <c r="AAF729" s="190" t="s">
        <v>52</v>
      </c>
      <c r="AAG729" s="84"/>
      <c r="AAH729" s="84"/>
      <c r="AAI729" s="72"/>
      <c r="AAJ729" s="74"/>
      <c r="AAK729" s="53"/>
      <c r="AAL729" s="90"/>
    </row>
    <row r="730" spans="1:715" s="23" customFormat="1" ht="15" customHeight="1" outlineLevel="1">
      <c r="A730" s="171"/>
      <c r="B730" s="630" t="s">
        <v>222</v>
      </c>
      <c r="C730" s="420"/>
      <c r="D730" s="434"/>
      <c r="E730" s="350"/>
      <c r="F730" s="350"/>
      <c r="G730" s="420"/>
      <c r="H730" s="420"/>
      <c r="I730" s="244"/>
      <c r="J730" s="194"/>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49"/>
      <c r="AW730" s="49"/>
      <c r="AX730" s="49"/>
      <c r="AY730" s="49"/>
      <c r="AZ730" s="49"/>
      <c r="BA730" s="49"/>
      <c r="BB730" s="49"/>
      <c r="BC730" s="49"/>
      <c r="BD730" s="49"/>
      <c r="BE730" s="49"/>
      <c r="BF730" s="49"/>
      <c r="BG730" s="49"/>
      <c r="BH730" s="49"/>
      <c r="BI730" s="49"/>
      <c r="BJ730" s="49"/>
      <c r="BK730" s="49"/>
      <c r="BL730" s="49"/>
      <c r="BM730" s="49"/>
      <c r="BN730" s="49"/>
      <c r="BO730" s="49"/>
      <c r="BP730" s="49"/>
      <c r="BQ730" s="49"/>
      <c r="BR730" s="49"/>
      <c r="BS730" s="49"/>
      <c r="BT730" s="49"/>
      <c r="BU730" s="49"/>
      <c r="BV730" s="49"/>
      <c r="BW730" s="49"/>
      <c r="BX730" s="49"/>
      <c r="BY730" s="49"/>
      <c r="BZ730" s="49"/>
      <c r="CA730" s="49"/>
      <c r="CB730" s="49"/>
      <c r="CC730" s="49"/>
      <c r="CD730" s="49"/>
      <c r="CE730" s="49"/>
      <c r="CF730" s="49"/>
      <c r="CG730" s="49"/>
      <c r="CH730" s="49"/>
      <c r="CI730" s="49"/>
      <c r="CJ730" s="49"/>
      <c r="CK730" s="49"/>
      <c r="CL730" s="49"/>
      <c r="CM730" s="49"/>
      <c r="CN730" s="49"/>
      <c r="CO730" s="49"/>
      <c r="CP730" s="49"/>
      <c r="CQ730" s="49"/>
      <c r="CR730" s="49"/>
      <c r="CS730" s="49"/>
      <c r="CT730" s="49"/>
      <c r="CU730" s="49"/>
      <c r="CV730" s="49"/>
      <c r="CW730" s="49"/>
      <c r="CX730" s="49"/>
      <c r="CY730" s="49"/>
      <c r="CZ730" s="49"/>
      <c r="DA730" s="49"/>
      <c r="DB730" s="49"/>
      <c r="DC730" s="49"/>
      <c r="DD730" s="49"/>
      <c r="DE730" s="49"/>
      <c r="DF730" s="49"/>
      <c r="DG730" s="49"/>
      <c r="DH730" s="49"/>
      <c r="DI730" s="49"/>
      <c r="DJ730" s="49"/>
      <c r="DK730" s="49"/>
      <c r="DL730" s="49"/>
      <c r="DM730" s="49"/>
      <c r="DN730" s="49"/>
      <c r="DO730" s="49"/>
      <c r="DP730" s="49"/>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c r="IW730"/>
      <c r="IX730"/>
      <c r="IY730"/>
      <c r="IZ730"/>
      <c r="JA730"/>
      <c r="JB730"/>
      <c r="JC730"/>
      <c r="JD730"/>
      <c r="JE730"/>
      <c r="JF730"/>
      <c r="JG730"/>
      <c r="JH730"/>
      <c r="JI730"/>
      <c r="JJ730"/>
      <c r="JK730"/>
      <c r="JL730"/>
      <c r="JM730"/>
      <c r="JN730"/>
      <c r="JO730"/>
      <c r="JP730"/>
      <c r="JQ730"/>
      <c r="JR730"/>
      <c r="JS730"/>
      <c r="JT730"/>
      <c r="JU730"/>
      <c r="JV730"/>
      <c r="JW730"/>
      <c r="JX730"/>
      <c r="JY730"/>
      <c r="JZ730"/>
      <c r="KA730"/>
      <c r="KB730"/>
      <c r="KC730"/>
      <c r="KD730"/>
      <c r="KE730"/>
      <c r="KF730"/>
      <c r="KG730"/>
      <c r="KH730"/>
      <c r="KI730"/>
      <c r="KJ730"/>
      <c r="KK730"/>
      <c r="KL730"/>
      <c r="KM730"/>
      <c r="KN730"/>
      <c r="KO730"/>
      <c r="KP730"/>
      <c r="KQ730"/>
      <c r="KR730"/>
      <c r="KS730"/>
      <c r="KT730"/>
      <c r="KU730"/>
      <c r="KV730"/>
      <c r="KW730"/>
      <c r="KX730"/>
      <c r="KY730"/>
      <c r="KZ730"/>
      <c r="LA730"/>
      <c r="LB730"/>
      <c r="LC730"/>
      <c r="LD730"/>
      <c r="LE730"/>
      <c r="LF730"/>
      <c r="LG730"/>
      <c r="LH730"/>
      <c r="LI730"/>
      <c r="LJ730"/>
      <c r="LK730"/>
      <c r="LL730"/>
      <c r="LM730"/>
      <c r="LN730"/>
      <c r="LO730"/>
      <c r="LP730"/>
      <c r="LQ730"/>
      <c r="LR730"/>
      <c r="LS730"/>
      <c r="LT730"/>
      <c r="LU730"/>
      <c r="LV730"/>
      <c r="LW730"/>
      <c r="LX730"/>
      <c r="LY730"/>
      <c r="LZ730"/>
      <c r="MA730"/>
      <c r="MB730"/>
      <c r="MC730"/>
      <c r="MD730"/>
      <c r="ME730"/>
      <c r="MF730"/>
      <c r="MG730"/>
      <c r="MH730"/>
      <c r="MI730"/>
      <c r="MJ730"/>
      <c r="MK730"/>
      <c r="ML730"/>
      <c r="MM730"/>
      <c r="MN730"/>
      <c r="MO730"/>
      <c r="MP730"/>
      <c r="MQ730"/>
      <c r="MR730"/>
      <c r="MS730"/>
      <c r="MT730"/>
      <c r="MU730"/>
      <c r="MV730"/>
      <c r="MW730"/>
      <c r="MX730"/>
      <c r="MY730"/>
      <c r="MZ730"/>
      <c r="NA730"/>
      <c r="NB730"/>
      <c r="NC730"/>
      <c r="ND730"/>
      <c r="NE730"/>
      <c r="NF730"/>
      <c r="NG730"/>
      <c r="NH730"/>
      <c r="NI730"/>
      <c r="NJ730"/>
      <c r="NK730"/>
      <c r="NL730"/>
      <c r="NM730"/>
      <c r="NN730"/>
      <c r="NO730"/>
      <c r="NP730"/>
      <c r="NQ730"/>
      <c r="NR730"/>
      <c r="NS730"/>
      <c r="NT730"/>
      <c r="NU730"/>
      <c r="NV730"/>
      <c r="NW730"/>
      <c r="NX730"/>
      <c r="NY730"/>
      <c r="NZ730"/>
      <c r="OA730"/>
      <c r="OB730"/>
      <c r="OC730"/>
      <c r="OD730"/>
      <c r="OE730"/>
      <c r="OF730"/>
      <c r="OG730"/>
      <c r="OH730"/>
      <c r="OI730"/>
      <c r="OJ730"/>
      <c r="OK730"/>
      <c r="OL730"/>
      <c r="OM730"/>
      <c r="ON730"/>
      <c r="OO730"/>
      <c r="OP730"/>
      <c r="OQ730"/>
      <c r="OR730"/>
      <c r="OS730"/>
      <c r="OT730"/>
      <c r="OU730"/>
      <c r="OV730"/>
      <c r="OW730"/>
      <c r="OX730"/>
      <c r="OY730"/>
      <c r="OZ730"/>
      <c r="PA730"/>
      <c r="PB730"/>
      <c r="PC730"/>
      <c r="PD730"/>
      <c r="PE730"/>
      <c r="PF730"/>
      <c r="PG730"/>
      <c r="PH730"/>
      <c r="PI730"/>
      <c r="PJ730"/>
      <c r="PK730"/>
      <c r="PL730"/>
      <c r="PM730"/>
      <c r="PN730"/>
      <c r="PO730"/>
      <c r="PP730"/>
      <c r="PQ730"/>
      <c r="PR730"/>
      <c r="PS730"/>
      <c r="PT730"/>
      <c r="PU730"/>
      <c r="PV730"/>
      <c r="PW730"/>
      <c r="PX730"/>
      <c r="PY730"/>
      <c r="PZ730"/>
      <c r="QA730"/>
      <c r="QB730"/>
      <c r="QC730"/>
      <c r="QD730"/>
      <c r="QE730"/>
      <c r="QF730"/>
      <c r="QG730"/>
      <c r="QH730"/>
      <c r="QI730"/>
      <c r="QJ730"/>
      <c r="QK730"/>
      <c r="QL730"/>
      <c r="QM730"/>
      <c r="QN730"/>
      <c r="QO730"/>
      <c r="QP730"/>
      <c r="QQ730"/>
      <c r="QR730"/>
      <c r="QS730"/>
      <c r="QT730"/>
      <c r="QU730"/>
      <c r="QV730"/>
      <c r="QW730"/>
      <c r="QX730"/>
      <c r="QY730"/>
      <c r="QZ730"/>
      <c r="RA730"/>
      <c r="RB730"/>
      <c r="RC730"/>
      <c r="RD730"/>
      <c r="RE730"/>
      <c r="RF730"/>
      <c r="RG730"/>
      <c r="RH730"/>
      <c r="RI730"/>
      <c r="RJ730"/>
      <c r="RK730"/>
      <c r="RL730"/>
      <c r="RM730"/>
      <c r="RN730"/>
      <c r="RO730"/>
      <c r="RP730"/>
      <c r="RQ730"/>
      <c r="RR730"/>
      <c r="RS730"/>
      <c r="RT730"/>
      <c r="RU730"/>
      <c r="RV730"/>
      <c r="RW730"/>
      <c r="RX730"/>
      <c r="RY730"/>
      <c r="RZ730"/>
      <c r="SA730"/>
      <c r="SB730"/>
      <c r="SC730"/>
      <c r="SD730"/>
      <c r="SE730"/>
      <c r="SF730"/>
      <c r="SG730"/>
      <c r="SH730"/>
      <c r="SI730"/>
      <c r="SJ730"/>
      <c r="SK730"/>
      <c r="SL730"/>
      <c r="SM730"/>
      <c r="SN730"/>
      <c r="SO730"/>
      <c r="SP730"/>
      <c r="SQ730"/>
      <c r="SR730"/>
      <c r="SS730"/>
      <c r="ST730"/>
      <c r="SU730"/>
      <c r="SV730"/>
      <c r="SW730"/>
      <c r="SX730"/>
      <c r="SY730"/>
      <c r="SZ730"/>
      <c r="TA730"/>
      <c r="TB730"/>
      <c r="TC730"/>
      <c r="TD730"/>
      <c r="TE730"/>
      <c r="TF730"/>
      <c r="TG730"/>
      <c r="TH730"/>
      <c r="TI730"/>
      <c r="TJ730"/>
      <c r="TK730"/>
      <c r="TL730"/>
      <c r="TM730"/>
      <c r="TN730"/>
      <c r="TO730"/>
      <c r="TP730"/>
      <c r="TQ730"/>
      <c r="TR730"/>
      <c r="TS730"/>
      <c r="TT730"/>
      <c r="TU730"/>
      <c r="TV730"/>
      <c r="TW730"/>
      <c r="TX730"/>
      <c r="TY730"/>
      <c r="TZ730"/>
      <c r="UA730"/>
      <c r="UB730"/>
      <c r="UC730"/>
      <c r="UD730"/>
      <c r="UE730"/>
      <c r="UF730"/>
      <c r="UG730"/>
      <c r="UH730"/>
      <c r="UI730"/>
      <c r="UJ730"/>
      <c r="UK730"/>
      <c r="UL730"/>
      <c r="UM730"/>
      <c r="UN730"/>
      <c r="UO730"/>
      <c r="UP730"/>
      <c r="UQ730"/>
      <c r="UR730"/>
      <c r="US730"/>
      <c r="UT730"/>
      <c r="UU730"/>
      <c r="UV730"/>
      <c r="UW730"/>
      <c r="UX730"/>
      <c r="UY730"/>
      <c r="UZ730"/>
      <c r="VA730"/>
      <c r="VB730"/>
      <c r="VC730"/>
      <c r="VD730"/>
      <c r="VE730"/>
      <c r="VF730"/>
      <c r="VG730"/>
      <c r="VH730"/>
      <c r="VI730"/>
      <c r="VJ730"/>
      <c r="VK730"/>
      <c r="VL730"/>
      <c r="VM730"/>
      <c r="VN730"/>
      <c r="VO730"/>
      <c r="VP730"/>
      <c r="VQ730"/>
      <c r="VR730"/>
      <c r="VS730"/>
      <c r="VT730"/>
      <c r="VU730"/>
      <c r="VV730"/>
      <c r="VW730"/>
      <c r="VX730"/>
      <c r="VY730"/>
      <c r="VZ730"/>
      <c r="WA730"/>
      <c r="WB730"/>
      <c r="WC730"/>
      <c r="WD730"/>
      <c r="WE730"/>
      <c r="WF730"/>
      <c r="WG730"/>
      <c r="WH730"/>
      <c r="WI730"/>
      <c r="WJ730"/>
      <c r="WK730"/>
      <c r="WL730"/>
      <c r="WM730"/>
      <c r="WN730"/>
      <c r="WO730"/>
      <c r="WP730"/>
      <c r="WQ730"/>
      <c r="WR730"/>
      <c r="WS730"/>
      <c r="WT730"/>
      <c r="WU730"/>
      <c r="WV730"/>
      <c r="WW730"/>
      <c r="WX730"/>
      <c r="WY730"/>
      <c r="WZ730"/>
      <c r="XA730"/>
      <c r="XB730"/>
      <c r="XC730"/>
      <c r="XD730"/>
      <c r="XE730"/>
      <c r="XF730"/>
      <c r="XG730"/>
      <c r="XH730"/>
      <c r="XI730"/>
      <c r="XJ730"/>
      <c r="XK730"/>
      <c r="XL730"/>
      <c r="XM730"/>
      <c r="XN730"/>
      <c r="XO730"/>
      <c r="XP730"/>
      <c r="XQ730"/>
      <c r="XR730"/>
      <c r="XS730"/>
      <c r="XT730"/>
      <c r="XU730"/>
      <c r="XV730"/>
      <c r="XW730"/>
      <c r="XX730"/>
      <c r="XY730"/>
      <c r="XZ730"/>
      <c r="YA730"/>
      <c r="YB730"/>
      <c r="YC730"/>
      <c r="YD730"/>
      <c r="YE730"/>
      <c r="YF730"/>
      <c r="YG730"/>
      <c r="YH730"/>
      <c r="YI730"/>
      <c r="YJ730"/>
      <c r="YK730"/>
      <c r="YL730"/>
      <c r="YM730"/>
      <c r="YN730"/>
      <c r="YO730"/>
      <c r="YP730"/>
      <c r="YQ730"/>
      <c r="YR730"/>
      <c r="YS730"/>
      <c r="YT730"/>
      <c r="YU730"/>
      <c r="YV730"/>
      <c r="YW730"/>
      <c r="YX730"/>
      <c r="YY730"/>
      <c r="YZ730"/>
      <c r="ZA730"/>
      <c r="ZB730"/>
      <c r="ZC730"/>
      <c r="ZD730"/>
      <c r="ZE730"/>
      <c r="ZF730"/>
      <c r="ZG730"/>
      <c r="ZH730"/>
      <c r="ZI730"/>
      <c r="ZJ730"/>
      <c r="ZK730"/>
      <c r="ZL730"/>
      <c r="ZM730"/>
      <c r="ZN730"/>
      <c r="ZO730"/>
      <c r="ZP730"/>
      <c r="ZQ730"/>
      <c r="ZR730"/>
      <c r="ZS730"/>
      <c r="ZT730"/>
      <c r="ZU730"/>
      <c r="ZV730"/>
      <c r="ZW730"/>
      <c r="ZX730"/>
      <c r="ZY730"/>
      <c r="ZZ730" s="52"/>
      <c r="AAA730" s="192"/>
      <c r="AAD730" s="90"/>
      <c r="AAE730" s="519">
        <v>1</v>
      </c>
      <c r="AAF730" s="190" t="s">
        <v>52</v>
      </c>
      <c r="AAG730" s="84"/>
      <c r="AAH730" s="84"/>
      <c r="AAI730" s="72"/>
      <c r="AAJ730" s="74"/>
      <c r="AAK730" s="53"/>
      <c r="AAL730" s="90"/>
    </row>
    <row r="731" spans="1:715" s="23" customFormat="1" ht="15" customHeight="1" outlineLevel="1">
      <c r="A731" s="171"/>
      <c r="B731" s="630" t="s">
        <v>263</v>
      </c>
      <c r="C731" s="420"/>
      <c r="D731" s="434"/>
      <c r="E731" s="350"/>
      <c r="F731" s="350"/>
      <c r="G731" s="420"/>
      <c r="H731" s="420"/>
      <c r="I731" s="244"/>
      <c r="J731" s="194"/>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49"/>
      <c r="AY731" s="49"/>
      <c r="AZ731" s="49"/>
      <c r="BA731" s="49"/>
      <c r="BB731" s="49"/>
      <c r="BC731" s="49"/>
      <c r="BD731" s="49"/>
      <c r="BE731" s="49"/>
      <c r="BF731" s="49"/>
      <c r="BG731" s="49"/>
      <c r="BH731" s="49"/>
      <c r="BI731" s="49"/>
      <c r="BJ731" s="49"/>
      <c r="BK731" s="49"/>
      <c r="BL731" s="49"/>
      <c r="BM731" s="49"/>
      <c r="BN731" s="49"/>
      <c r="BO731" s="49"/>
      <c r="BP731" s="49"/>
      <c r="BQ731" s="49"/>
      <c r="BR731" s="49"/>
      <c r="BS731" s="49"/>
      <c r="BT731" s="49"/>
      <c r="BU731" s="49"/>
      <c r="BV731" s="49"/>
      <c r="BW731" s="49"/>
      <c r="BX731" s="49"/>
      <c r="BY731" s="49"/>
      <c r="BZ731" s="49"/>
      <c r="CA731" s="49"/>
      <c r="CB731" s="49"/>
      <c r="CC731" s="49"/>
      <c r="CD731" s="49"/>
      <c r="CE731" s="49"/>
      <c r="CF731" s="49"/>
      <c r="CG731" s="49"/>
      <c r="CH731" s="49"/>
      <c r="CI731" s="49"/>
      <c r="CJ731" s="49"/>
      <c r="CK731" s="49"/>
      <c r="CL731" s="49"/>
      <c r="CM731" s="49"/>
      <c r="CN731" s="49"/>
      <c r="CO731" s="49"/>
      <c r="CP731" s="49"/>
      <c r="CQ731" s="49"/>
      <c r="CR731" s="49"/>
      <c r="CS731" s="49"/>
      <c r="CT731" s="49"/>
      <c r="CU731" s="49"/>
      <c r="CV731" s="49"/>
      <c r="CW731" s="49"/>
      <c r="CX731" s="49"/>
      <c r="CY731" s="49"/>
      <c r="CZ731" s="49"/>
      <c r="DA731" s="49"/>
      <c r="DB731" s="49"/>
      <c r="DC731" s="49"/>
      <c r="DD731" s="49"/>
      <c r="DE731" s="49"/>
      <c r="DF731" s="49"/>
      <c r="DG731" s="49"/>
      <c r="DH731" s="49"/>
      <c r="DI731" s="49"/>
      <c r="DJ731" s="49"/>
      <c r="DK731" s="49"/>
      <c r="DL731" s="49"/>
      <c r="DM731" s="49"/>
      <c r="DN731" s="49"/>
      <c r="DO731" s="49"/>
      <c r="DP731" s="49"/>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c r="IW731"/>
      <c r="IX731"/>
      <c r="IY731"/>
      <c r="IZ731"/>
      <c r="JA731"/>
      <c r="JB731"/>
      <c r="JC731"/>
      <c r="JD731"/>
      <c r="JE731"/>
      <c r="JF731"/>
      <c r="JG731"/>
      <c r="JH731"/>
      <c r="JI731"/>
      <c r="JJ731"/>
      <c r="JK731"/>
      <c r="JL731"/>
      <c r="JM731"/>
      <c r="JN731"/>
      <c r="JO731"/>
      <c r="JP731"/>
      <c r="JQ731"/>
      <c r="JR731"/>
      <c r="JS731"/>
      <c r="JT731"/>
      <c r="JU731"/>
      <c r="JV731"/>
      <c r="JW731"/>
      <c r="JX731"/>
      <c r="JY731"/>
      <c r="JZ731"/>
      <c r="KA731"/>
      <c r="KB731"/>
      <c r="KC731"/>
      <c r="KD731"/>
      <c r="KE731"/>
      <c r="KF731"/>
      <c r="KG731"/>
      <c r="KH731"/>
      <c r="KI731"/>
      <c r="KJ731"/>
      <c r="KK731"/>
      <c r="KL731"/>
      <c r="KM731"/>
      <c r="KN731"/>
      <c r="KO731"/>
      <c r="KP731"/>
      <c r="KQ731"/>
      <c r="KR731"/>
      <c r="KS731"/>
      <c r="KT731"/>
      <c r="KU731"/>
      <c r="KV731"/>
      <c r="KW731"/>
      <c r="KX731"/>
      <c r="KY731"/>
      <c r="KZ731"/>
      <c r="LA731"/>
      <c r="LB731"/>
      <c r="LC731"/>
      <c r="LD731"/>
      <c r="LE731"/>
      <c r="LF731"/>
      <c r="LG731"/>
      <c r="LH731"/>
      <c r="LI731"/>
      <c r="LJ731"/>
      <c r="LK731"/>
      <c r="LL731"/>
      <c r="LM731"/>
      <c r="LN731"/>
      <c r="LO731"/>
      <c r="LP731"/>
      <c r="LQ731"/>
      <c r="LR731"/>
      <c r="LS731"/>
      <c r="LT731"/>
      <c r="LU731"/>
      <c r="LV731"/>
      <c r="LW731"/>
      <c r="LX731"/>
      <c r="LY731"/>
      <c r="LZ731"/>
      <c r="MA731"/>
      <c r="MB731"/>
      <c r="MC731"/>
      <c r="MD731"/>
      <c r="ME731"/>
      <c r="MF731"/>
      <c r="MG731"/>
      <c r="MH731"/>
      <c r="MI731"/>
      <c r="MJ731"/>
      <c r="MK731"/>
      <c r="ML731"/>
      <c r="MM731"/>
      <c r="MN731"/>
      <c r="MO731"/>
      <c r="MP731"/>
      <c r="MQ731"/>
      <c r="MR731"/>
      <c r="MS731"/>
      <c r="MT731"/>
      <c r="MU731"/>
      <c r="MV731"/>
      <c r="MW731"/>
      <c r="MX731"/>
      <c r="MY731"/>
      <c r="MZ731"/>
      <c r="NA731"/>
      <c r="NB731"/>
      <c r="NC731"/>
      <c r="ND731"/>
      <c r="NE731"/>
      <c r="NF731"/>
      <c r="NG731"/>
      <c r="NH731"/>
      <c r="NI731"/>
      <c r="NJ731"/>
      <c r="NK731"/>
      <c r="NL731"/>
      <c r="NM731"/>
      <c r="NN731"/>
      <c r="NO731"/>
      <c r="NP731"/>
      <c r="NQ731"/>
      <c r="NR731"/>
      <c r="NS731"/>
      <c r="NT731"/>
      <c r="NU731"/>
      <c r="NV731"/>
      <c r="NW731"/>
      <c r="NX731"/>
      <c r="NY731"/>
      <c r="NZ731"/>
      <c r="OA731"/>
      <c r="OB731"/>
      <c r="OC731"/>
      <c r="OD731"/>
      <c r="OE731"/>
      <c r="OF731"/>
      <c r="OG731"/>
      <c r="OH731"/>
      <c r="OI731"/>
      <c r="OJ731"/>
      <c r="OK731"/>
      <c r="OL731"/>
      <c r="OM731"/>
      <c r="ON731"/>
      <c r="OO731"/>
      <c r="OP731"/>
      <c r="OQ731"/>
      <c r="OR731"/>
      <c r="OS731"/>
      <c r="OT731"/>
      <c r="OU731"/>
      <c r="OV731"/>
      <c r="OW731"/>
      <c r="OX731"/>
      <c r="OY731"/>
      <c r="OZ731"/>
      <c r="PA731"/>
      <c r="PB731"/>
      <c r="PC731"/>
      <c r="PD731"/>
      <c r="PE731"/>
      <c r="PF731"/>
      <c r="PG731"/>
      <c r="PH731"/>
      <c r="PI731"/>
      <c r="PJ731"/>
      <c r="PK731"/>
      <c r="PL731"/>
      <c r="PM731"/>
      <c r="PN731"/>
      <c r="PO731"/>
      <c r="PP731"/>
      <c r="PQ731"/>
      <c r="PR731"/>
      <c r="PS731"/>
      <c r="PT731"/>
      <c r="PU731"/>
      <c r="PV731"/>
      <c r="PW731"/>
      <c r="PX731"/>
      <c r="PY731"/>
      <c r="PZ731"/>
      <c r="QA731"/>
      <c r="QB731"/>
      <c r="QC731"/>
      <c r="QD731"/>
      <c r="QE731"/>
      <c r="QF731"/>
      <c r="QG731"/>
      <c r="QH731"/>
      <c r="QI731"/>
      <c r="QJ731"/>
      <c r="QK731"/>
      <c r="QL731"/>
      <c r="QM731"/>
      <c r="QN731"/>
      <c r="QO731"/>
      <c r="QP731"/>
      <c r="QQ731"/>
      <c r="QR731"/>
      <c r="QS731"/>
      <c r="QT731"/>
      <c r="QU731"/>
      <c r="QV731"/>
      <c r="QW731"/>
      <c r="QX731"/>
      <c r="QY731"/>
      <c r="QZ731"/>
      <c r="RA731"/>
      <c r="RB731"/>
      <c r="RC731"/>
      <c r="RD731"/>
      <c r="RE731"/>
      <c r="RF731"/>
      <c r="RG731"/>
      <c r="RH731"/>
      <c r="RI731"/>
      <c r="RJ731"/>
      <c r="RK731"/>
      <c r="RL731"/>
      <c r="RM731"/>
      <c r="RN731"/>
      <c r="RO731"/>
      <c r="RP731"/>
      <c r="RQ731"/>
      <c r="RR731"/>
      <c r="RS731"/>
      <c r="RT731"/>
      <c r="RU731"/>
      <c r="RV731"/>
      <c r="RW731"/>
      <c r="RX731"/>
      <c r="RY731"/>
      <c r="RZ731"/>
      <c r="SA731"/>
      <c r="SB731"/>
      <c r="SC731"/>
      <c r="SD731"/>
      <c r="SE731"/>
      <c r="SF731"/>
      <c r="SG731"/>
      <c r="SH731"/>
      <c r="SI731"/>
      <c r="SJ731"/>
      <c r="SK731"/>
      <c r="SL731"/>
      <c r="SM731"/>
      <c r="SN731"/>
      <c r="SO731"/>
      <c r="SP731"/>
      <c r="SQ731"/>
      <c r="SR731"/>
      <c r="SS731"/>
      <c r="ST731"/>
      <c r="SU731"/>
      <c r="SV731"/>
      <c r="SW731"/>
      <c r="SX731"/>
      <c r="SY731"/>
      <c r="SZ731"/>
      <c r="TA731"/>
      <c r="TB731"/>
      <c r="TC731"/>
      <c r="TD731"/>
      <c r="TE731"/>
      <c r="TF731"/>
      <c r="TG731"/>
      <c r="TH731"/>
      <c r="TI731"/>
      <c r="TJ731"/>
      <c r="TK731"/>
      <c r="TL731"/>
      <c r="TM731"/>
      <c r="TN731"/>
      <c r="TO731"/>
      <c r="TP731"/>
      <c r="TQ731"/>
      <c r="TR731"/>
      <c r="TS731"/>
      <c r="TT731"/>
      <c r="TU731"/>
      <c r="TV731"/>
      <c r="TW731"/>
      <c r="TX731"/>
      <c r="TY731"/>
      <c r="TZ731"/>
      <c r="UA731"/>
      <c r="UB731"/>
      <c r="UC731"/>
      <c r="UD731"/>
      <c r="UE731"/>
      <c r="UF731"/>
      <c r="UG731"/>
      <c r="UH731"/>
      <c r="UI731"/>
      <c r="UJ731"/>
      <c r="UK731"/>
      <c r="UL731"/>
      <c r="UM731"/>
      <c r="UN731"/>
      <c r="UO731"/>
      <c r="UP731"/>
      <c r="UQ731"/>
      <c r="UR731"/>
      <c r="US731"/>
      <c r="UT731"/>
      <c r="UU731"/>
      <c r="UV731"/>
      <c r="UW731"/>
      <c r="UX731"/>
      <c r="UY731"/>
      <c r="UZ731"/>
      <c r="VA731"/>
      <c r="VB731"/>
      <c r="VC731"/>
      <c r="VD731"/>
      <c r="VE731"/>
      <c r="VF731"/>
      <c r="VG731"/>
      <c r="VH731"/>
      <c r="VI731"/>
      <c r="VJ731"/>
      <c r="VK731"/>
      <c r="VL731"/>
      <c r="VM731"/>
      <c r="VN731"/>
      <c r="VO731"/>
      <c r="VP731"/>
      <c r="VQ731"/>
      <c r="VR731"/>
      <c r="VS731"/>
      <c r="VT731"/>
      <c r="VU731"/>
      <c r="VV731"/>
      <c r="VW731"/>
      <c r="VX731"/>
      <c r="VY731"/>
      <c r="VZ731"/>
      <c r="WA731"/>
      <c r="WB731"/>
      <c r="WC731"/>
      <c r="WD731"/>
      <c r="WE731"/>
      <c r="WF731"/>
      <c r="WG731"/>
      <c r="WH731"/>
      <c r="WI731"/>
      <c r="WJ731"/>
      <c r="WK731"/>
      <c r="WL731"/>
      <c r="WM731"/>
      <c r="WN731"/>
      <c r="WO731"/>
      <c r="WP731"/>
      <c r="WQ731"/>
      <c r="WR731"/>
      <c r="WS731"/>
      <c r="WT731"/>
      <c r="WU731"/>
      <c r="WV731"/>
      <c r="WW731"/>
      <c r="WX731"/>
      <c r="WY731"/>
      <c r="WZ731"/>
      <c r="XA731"/>
      <c r="XB731"/>
      <c r="XC731"/>
      <c r="XD731"/>
      <c r="XE731"/>
      <c r="XF731"/>
      <c r="XG731"/>
      <c r="XH731"/>
      <c r="XI731"/>
      <c r="XJ731"/>
      <c r="XK731"/>
      <c r="XL731"/>
      <c r="XM731"/>
      <c r="XN731"/>
      <c r="XO731"/>
      <c r="XP731"/>
      <c r="XQ731"/>
      <c r="XR731"/>
      <c r="XS731"/>
      <c r="XT731"/>
      <c r="XU731"/>
      <c r="XV731"/>
      <c r="XW731"/>
      <c r="XX731"/>
      <c r="XY731"/>
      <c r="XZ731"/>
      <c r="YA731"/>
      <c r="YB731"/>
      <c r="YC731"/>
      <c r="YD731"/>
      <c r="YE731"/>
      <c r="YF731"/>
      <c r="YG731"/>
      <c r="YH731"/>
      <c r="YI731"/>
      <c r="YJ731"/>
      <c r="YK731"/>
      <c r="YL731"/>
      <c r="YM731"/>
      <c r="YN731"/>
      <c r="YO731"/>
      <c r="YP731"/>
      <c r="YQ731"/>
      <c r="YR731"/>
      <c r="YS731"/>
      <c r="YT731"/>
      <c r="YU731"/>
      <c r="YV731"/>
      <c r="YW731"/>
      <c r="YX731"/>
      <c r="YY731"/>
      <c r="YZ731"/>
      <c r="ZA731"/>
      <c r="ZB731"/>
      <c r="ZC731"/>
      <c r="ZD731"/>
      <c r="ZE731"/>
      <c r="ZF731"/>
      <c r="ZG731"/>
      <c r="ZH731"/>
      <c r="ZI731"/>
      <c r="ZJ731"/>
      <c r="ZK731"/>
      <c r="ZL731"/>
      <c r="ZM731"/>
      <c r="ZN731"/>
      <c r="ZO731"/>
      <c r="ZP731"/>
      <c r="ZQ731"/>
      <c r="ZR731"/>
      <c r="ZS731"/>
      <c r="ZT731"/>
      <c r="ZU731"/>
      <c r="ZV731"/>
      <c r="ZW731"/>
      <c r="ZX731"/>
      <c r="ZY731"/>
      <c r="ZZ731" s="52"/>
      <c r="AAA731" s="192"/>
      <c r="AAD731" s="90"/>
      <c r="AAE731" s="519">
        <v>1</v>
      </c>
      <c r="AAF731" s="190" t="s">
        <v>52</v>
      </c>
      <c r="AAG731" s="84"/>
      <c r="AAH731" s="84"/>
      <c r="AAI731" s="72"/>
      <c r="AAJ731" s="74"/>
      <c r="AAK731" s="53"/>
      <c r="AAL731" s="90"/>
    </row>
    <row r="732" spans="1:715" s="23" customFormat="1" ht="15" customHeight="1" outlineLevel="1" thickBot="1">
      <c r="A732" s="171"/>
      <c r="B732" s="526" t="s">
        <v>264</v>
      </c>
      <c r="C732" s="420"/>
      <c r="D732" s="434"/>
      <c r="E732" s="350"/>
      <c r="F732" s="350"/>
      <c r="G732" s="420"/>
      <c r="H732" s="420"/>
      <c r="I732" s="244"/>
      <c r="J732" s="194"/>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49"/>
      <c r="AW732" s="49"/>
      <c r="AX732" s="49"/>
      <c r="AY732" s="49"/>
      <c r="AZ732" s="49"/>
      <c r="BA732" s="49"/>
      <c r="BB732" s="49"/>
      <c r="BC732" s="49"/>
      <c r="BD732" s="49"/>
      <c r="BE732" s="49"/>
      <c r="BF732" s="49"/>
      <c r="BG732" s="49"/>
      <c r="BH732" s="49"/>
      <c r="BI732" s="49"/>
      <c r="BJ732" s="49"/>
      <c r="BK732" s="49"/>
      <c r="BL732" s="49"/>
      <c r="BM732" s="49"/>
      <c r="BN732" s="49"/>
      <c r="BO732" s="49"/>
      <c r="BP732" s="49"/>
      <c r="BQ732" s="49"/>
      <c r="BR732" s="49"/>
      <c r="BS732" s="49"/>
      <c r="BT732" s="49"/>
      <c r="BU732" s="49"/>
      <c r="BV732" s="49"/>
      <c r="BW732" s="49"/>
      <c r="BX732" s="49"/>
      <c r="BY732" s="49"/>
      <c r="BZ732" s="49"/>
      <c r="CA732" s="49"/>
      <c r="CB732" s="49"/>
      <c r="CC732" s="49"/>
      <c r="CD732" s="49"/>
      <c r="CE732" s="49"/>
      <c r="CF732" s="49"/>
      <c r="CG732" s="49"/>
      <c r="CH732" s="49"/>
      <c r="CI732" s="49"/>
      <c r="CJ732" s="49"/>
      <c r="CK732" s="49"/>
      <c r="CL732" s="49"/>
      <c r="CM732" s="49"/>
      <c r="CN732" s="49"/>
      <c r="CO732" s="49"/>
      <c r="CP732" s="49"/>
      <c r="CQ732" s="49"/>
      <c r="CR732" s="49"/>
      <c r="CS732" s="49"/>
      <c r="CT732" s="49"/>
      <c r="CU732" s="49"/>
      <c r="CV732" s="49"/>
      <c r="CW732" s="49"/>
      <c r="CX732" s="49"/>
      <c r="CY732" s="49"/>
      <c r="CZ732" s="49"/>
      <c r="DA732" s="49"/>
      <c r="DB732" s="49"/>
      <c r="DC732" s="49"/>
      <c r="DD732" s="49"/>
      <c r="DE732" s="49"/>
      <c r="DF732" s="49"/>
      <c r="DG732" s="49"/>
      <c r="DH732" s="49"/>
      <c r="DI732" s="49"/>
      <c r="DJ732" s="49"/>
      <c r="DK732" s="49"/>
      <c r="DL732" s="49"/>
      <c r="DM732" s="49"/>
      <c r="DN732" s="49"/>
      <c r="DO732" s="49"/>
      <c r="DP732" s="49"/>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c r="IW732"/>
      <c r="IX732"/>
      <c r="IY732"/>
      <c r="IZ732"/>
      <c r="JA732"/>
      <c r="JB732"/>
      <c r="JC732"/>
      <c r="JD732"/>
      <c r="JE732"/>
      <c r="JF732"/>
      <c r="JG732"/>
      <c r="JH732"/>
      <c r="JI732"/>
      <c r="JJ732"/>
      <c r="JK732"/>
      <c r="JL732"/>
      <c r="JM732"/>
      <c r="JN732"/>
      <c r="JO732"/>
      <c r="JP732"/>
      <c r="JQ732"/>
      <c r="JR732"/>
      <c r="JS732"/>
      <c r="JT732"/>
      <c r="JU732"/>
      <c r="JV732"/>
      <c r="JW732"/>
      <c r="JX732"/>
      <c r="JY732"/>
      <c r="JZ732"/>
      <c r="KA732"/>
      <c r="KB732"/>
      <c r="KC732"/>
      <c r="KD732"/>
      <c r="KE732"/>
      <c r="KF732"/>
      <c r="KG732"/>
      <c r="KH732"/>
      <c r="KI732"/>
      <c r="KJ732"/>
      <c r="KK732"/>
      <c r="KL732"/>
      <c r="KM732"/>
      <c r="KN732"/>
      <c r="KO732"/>
      <c r="KP732"/>
      <c r="KQ732"/>
      <c r="KR732"/>
      <c r="KS732"/>
      <c r="KT732"/>
      <c r="KU732"/>
      <c r="KV732"/>
      <c r="KW732"/>
      <c r="KX732"/>
      <c r="KY732"/>
      <c r="KZ732"/>
      <c r="LA732"/>
      <c r="LB732"/>
      <c r="LC732"/>
      <c r="LD732"/>
      <c r="LE732"/>
      <c r="LF732"/>
      <c r="LG732"/>
      <c r="LH732"/>
      <c r="LI732"/>
      <c r="LJ732"/>
      <c r="LK732"/>
      <c r="LL732"/>
      <c r="LM732"/>
      <c r="LN732"/>
      <c r="LO732"/>
      <c r="LP732"/>
      <c r="LQ732"/>
      <c r="LR732"/>
      <c r="LS732"/>
      <c r="LT732"/>
      <c r="LU732"/>
      <c r="LV732"/>
      <c r="LW732"/>
      <c r="LX732"/>
      <c r="LY732"/>
      <c r="LZ732"/>
      <c r="MA732"/>
      <c r="MB732"/>
      <c r="MC732"/>
      <c r="MD732"/>
      <c r="ME732"/>
      <c r="MF732"/>
      <c r="MG732"/>
      <c r="MH732"/>
      <c r="MI732"/>
      <c r="MJ732"/>
      <c r="MK732"/>
      <c r="ML732"/>
      <c r="MM732"/>
      <c r="MN732"/>
      <c r="MO732"/>
      <c r="MP732"/>
      <c r="MQ732"/>
      <c r="MR732"/>
      <c r="MS732"/>
      <c r="MT732"/>
      <c r="MU732"/>
      <c r="MV732"/>
      <c r="MW732"/>
      <c r="MX732"/>
      <c r="MY732"/>
      <c r="MZ732"/>
      <c r="NA732"/>
      <c r="NB732"/>
      <c r="NC732"/>
      <c r="ND732"/>
      <c r="NE732"/>
      <c r="NF732"/>
      <c r="NG732"/>
      <c r="NH732"/>
      <c r="NI732"/>
      <c r="NJ732"/>
      <c r="NK732"/>
      <c r="NL732"/>
      <c r="NM732"/>
      <c r="NN732"/>
      <c r="NO732"/>
      <c r="NP732"/>
      <c r="NQ732"/>
      <c r="NR732"/>
      <c r="NS732"/>
      <c r="NT732"/>
      <c r="NU732"/>
      <c r="NV732"/>
      <c r="NW732"/>
      <c r="NX732"/>
      <c r="NY732"/>
      <c r="NZ732"/>
      <c r="OA732"/>
      <c r="OB732"/>
      <c r="OC732"/>
      <c r="OD732"/>
      <c r="OE732"/>
      <c r="OF732"/>
      <c r="OG732"/>
      <c r="OH732"/>
      <c r="OI732"/>
      <c r="OJ732"/>
      <c r="OK732"/>
      <c r="OL732"/>
      <c r="OM732"/>
      <c r="ON732"/>
      <c r="OO732"/>
      <c r="OP732"/>
      <c r="OQ732"/>
      <c r="OR732"/>
      <c r="OS732"/>
      <c r="OT732"/>
      <c r="OU732"/>
      <c r="OV732"/>
      <c r="OW732"/>
      <c r="OX732"/>
      <c r="OY732"/>
      <c r="OZ732"/>
      <c r="PA732"/>
      <c r="PB732"/>
      <c r="PC732"/>
      <c r="PD732"/>
      <c r="PE732"/>
      <c r="PF732"/>
      <c r="PG732"/>
      <c r="PH732"/>
      <c r="PI732"/>
      <c r="PJ732"/>
      <c r="PK732"/>
      <c r="PL732"/>
      <c r="PM732"/>
      <c r="PN732"/>
      <c r="PO732"/>
      <c r="PP732"/>
      <c r="PQ732"/>
      <c r="PR732"/>
      <c r="PS732"/>
      <c r="PT732"/>
      <c r="PU732"/>
      <c r="PV732"/>
      <c r="PW732"/>
      <c r="PX732"/>
      <c r="PY732"/>
      <c r="PZ732"/>
      <c r="QA732"/>
      <c r="QB732"/>
      <c r="QC732"/>
      <c r="QD732"/>
      <c r="QE732"/>
      <c r="QF732"/>
      <c r="QG732"/>
      <c r="QH732"/>
      <c r="QI732"/>
      <c r="QJ732"/>
      <c r="QK732"/>
      <c r="QL732"/>
      <c r="QM732"/>
      <c r="QN732"/>
      <c r="QO732"/>
      <c r="QP732"/>
      <c r="QQ732"/>
      <c r="QR732"/>
      <c r="QS732"/>
      <c r="QT732"/>
      <c r="QU732"/>
      <c r="QV732"/>
      <c r="QW732"/>
      <c r="QX732"/>
      <c r="QY732"/>
      <c r="QZ732"/>
      <c r="RA732"/>
      <c r="RB732"/>
      <c r="RC732"/>
      <c r="RD732"/>
      <c r="RE732"/>
      <c r="RF732"/>
      <c r="RG732"/>
      <c r="RH732"/>
      <c r="RI732"/>
      <c r="RJ732"/>
      <c r="RK732"/>
      <c r="RL732"/>
      <c r="RM732"/>
      <c r="RN732"/>
      <c r="RO732"/>
      <c r="RP732"/>
      <c r="RQ732"/>
      <c r="RR732"/>
      <c r="RS732"/>
      <c r="RT732"/>
      <c r="RU732"/>
      <c r="RV732"/>
      <c r="RW732"/>
      <c r="RX732"/>
      <c r="RY732"/>
      <c r="RZ732"/>
      <c r="SA732"/>
      <c r="SB732"/>
      <c r="SC732"/>
      <c r="SD732"/>
      <c r="SE732"/>
      <c r="SF732"/>
      <c r="SG732"/>
      <c r="SH732"/>
      <c r="SI732"/>
      <c r="SJ732"/>
      <c r="SK732"/>
      <c r="SL732"/>
      <c r="SM732"/>
      <c r="SN732"/>
      <c r="SO732"/>
      <c r="SP732"/>
      <c r="SQ732"/>
      <c r="SR732"/>
      <c r="SS732"/>
      <c r="ST732"/>
      <c r="SU732"/>
      <c r="SV732"/>
      <c r="SW732"/>
      <c r="SX732"/>
      <c r="SY732"/>
      <c r="SZ732"/>
      <c r="TA732"/>
      <c r="TB732"/>
      <c r="TC732"/>
      <c r="TD732"/>
      <c r="TE732"/>
      <c r="TF732"/>
      <c r="TG732"/>
      <c r="TH732"/>
      <c r="TI732"/>
      <c r="TJ732"/>
      <c r="TK732"/>
      <c r="TL732"/>
      <c r="TM732"/>
      <c r="TN732"/>
      <c r="TO732"/>
      <c r="TP732"/>
      <c r="TQ732"/>
      <c r="TR732"/>
      <c r="TS732"/>
      <c r="TT732"/>
      <c r="TU732"/>
      <c r="TV732"/>
      <c r="TW732"/>
      <c r="TX732"/>
      <c r="TY732"/>
      <c r="TZ732"/>
      <c r="UA732"/>
      <c r="UB732"/>
      <c r="UC732"/>
      <c r="UD732"/>
      <c r="UE732"/>
      <c r="UF732"/>
      <c r="UG732"/>
      <c r="UH732"/>
      <c r="UI732"/>
      <c r="UJ732"/>
      <c r="UK732"/>
      <c r="UL732"/>
      <c r="UM732"/>
      <c r="UN732"/>
      <c r="UO732"/>
      <c r="UP732"/>
      <c r="UQ732"/>
      <c r="UR732"/>
      <c r="US732"/>
      <c r="UT732"/>
      <c r="UU732"/>
      <c r="UV732"/>
      <c r="UW732"/>
      <c r="UX732"/>
      <c r="UY732"/>
      <c r="UZ732"/>
      <c r="VA732"/>
      <c r="VB732"/>
      <c r="VC732"/>
      <c r="VD732"/>
      <c r="VE732"/>
      <c r="VF732"/>
      <c r="VG732"/>
      <c r="VH732"/>
      <c r="VI732"/>
      <c r="VJ732"/>
      <c r="VK732"/>
      <c r="VL732"/>
      <c r="VM732"/>
      <c r="VN732"/>
      <c r="VO732"/>
      <c r="VP732"/>
      <c r="VQ732"/>
      <c r="VR732"/>
      <c r="VS732"/>
      <c r="VT732"/>
      <c r="VU732"/>
      <c r="VV732"/>
      <c r="VW732"/>
      <c r="VX732"/>
      <c r="VY732"/>
      <c r="VZ732"/>
      <c r="WA732"/>
      <c r="WB732"/>
      <c r="WC732"/>
      <c r="WD732"/>
      <c r="WE732"/>
      <c r="WF732"/>
      <c r="WG732"/>
      <c r="WH732"/>
      <c r="WI732"/>
      <c r="WJ732"/>
      <c r="WK732"/>
      <c r="WL732"/>
      <c r="WM732"/>
      <c r="WN732"/>
      <c r="WO732"/>
      <c r="WP732"/>
      <c r="WQ732"/>
      <c r="WR732"/>
      <c r="WS732"/>
      <c r="WT732"/>
      <c r="WU732"/>
      <c r="WV732"/>
      <c r="WW732"/>
      <c r="WX732"/>
      <c r="WY732"/>
      <c r="WZ732"/>
      <c r="XA732"/>
      <c r="XB732"/>
      <c r="XC732"/>
      <c r="XD732"/>
      <c r="XE732"/>
      <c r="XF732"/>
      <c r="XG732"/>
      <c r="XH732"/>
      <c r="XI732"/>
      <c r="XJ732"/>
      <c r="XK732"/>
      <c r="XL732"/>
      <c r="XM732"/>
      <c r="XN732"/>
      <c r="XO732"/>
      <c r="XP732"/>
      <c r="XQ732"/>
      <c r="XR732"/>
      <c r="XS732"/>
      <c r="XT732"/>
      <c r="XU732"/>
      <c r="XV732"/>
      <c r="XW732"/>
      <c r="XX732"/>
      <c r="XY732"/>
      <c r="XZ732"/>
      <c r="YA732"/>
      <c r="YB732"/>
      <c r="YC732"/>
      <c r="YD732"/>
      <c r="YE732"/>
      <c r="YF732"/>
      <c r="YG732"/>
      <c r="YH732"/>
      <c r="YI732"/>
      <c r="YJ732"/>
      <c r="YK732"/>
      <c r="YL732"/>
      <c r="YM732"/>
      <c r="YN732"/>
      <c r="YO732"/>
      <c r="YP732"/>
      <c r="YQ732"/>
      <c r="YR732"/>
      <c r="YS732"/>
      <c r="YT732"/>
      <c r="YU732"/>
      <c r="YV732"/>
      <c r="YW732"/>
      <c r="YX732"/>
      <c r="YY732"/>
      <c r="YZ732"/>
      <c r="ZA732"/>
      <c r="ZB732"/>
      <c r="ZC732"/>
      <c r="ZD732"/>
      <c r="ZE732"/>
      <c r="ZF732"/>
      <c r="ZG732"/>
      <c r="ZH732"/>
      <c r="ZI732"/>
      <c r="ZJ732"/>
      <c r="ZK732"/>
      <c r="ZL732"/>
      <c r="ZM732"/>
      <c r="ZN732"/>
      <c r="ZO732"/>
      <c r="ZP732"/>
      <c r="ZQ732"/>
      <c r="ZR732"/>
      <c r="ZS732"/>
      <c r="ZT732"/>
      <c r="ZU732"/>
      <c r="ZV732"/>
      <c r="ZW732"/>
      <c r="ZX732"/>
      <c r="ZY732"/>
      <c r="ZZ732" s="52"/>
      <c r="AAA732" s="192"/>
      <c r="AAD732" s="90"/>
      <c r="AAE732" s="519">
        <v>1</v>
      </c>
      <c r="AAF732" s="190" t="s">
        <v>52</v>
      </c>
      <c r="AAG732" s="84"/>
      <c r="AAH732" s="84"/>
      <c r="AAI732" s="72"/>
      <c r="AAJ732" s="74"/>
      <c r="AAK732" s="53"/>
      <c r="AAL732" s="90"/>
    </row>
    <row r="733" spans="1:715" s="23" customFormat="1" ht="15" customHeight="1" outlineLevel="1" thickBot="1">
      <c r="A733" s="171"/>
      <c r="B733" s="304" t="s">
        <v>175</v>
      </c>
      <c r="C733" s="513" t="str">
        <f>HYPERLINK("http://oarnoticefilings.sos.state.or.us","i")</f>
        <v>i</v>
      </c>
      <c r="D733" s="433"/>
      <c r="E733"/>
      <c r="F733" s="457">
        <f ca="1">IF(YEAR(H733)&gt;2000,NETWORKDAYS(TODAY(),H733,S.DDL_DEQClosed),0)</f>
        <v>99</v>
      </c>
      <c r="G733"/>
      <c r="H733" s="343">
        <f t="shared" si="610"/>
        <v>41719</v>
      </c>
      <c r="I733" s="244"/>
      <c r="J733" s="194"/>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49"/>
      <c r="AY733" s="49"/>
      <c r="AZ733" s="49"/>
      <c r="BA733" s="49"/>
      <c r="BB733" s="49"/>
      <c r="BC733" s="49"/>
      <c r="BD733" s="49"/>
      <c r="BE733" s="49"/>
      <c r="BF733" s="49"/>
      <c r="BG733" s="49"/>
      <c r="BH733" s="49"/>
      <c r="BI733" s="49"/>
      <c r="BJ733" s="49"/>
      <c r="BK733" s="49"/>
      <c r="BL733" s="49"/>
      <c r="BM733" s="49"/>
      <c r="BN733" s="49"/>
      <c r="BO733" s="49"/>
      <c r="BP733" s="49"/>
      <c r="BQ733" s="49"/>
      <c r="BR733" s="49"/>
      <c r="BS733" s="49"/>
      <c r="BT733" s="49"/>
      <c r="BU733" s="49"/>
      <c r="BV733" s="49"/>
      <c r="BW733" s="49"/>
      <c r="BX733" s="49"/>
      <c r="BY733" s="49"/>
      <c r="BZ733" s="49"/>
      <c r="CA733" s="49"/>
      <c r="CB733" s="49"/>
      <c r="CC733" s="49"/>
      <c r="CD733" s="49"/>
      <c r="CE733" s="49"/>
      <c r="CF733" s="49"/>
      <c r="CG733" s="49"/>
      <c r="CH733" s="49"/>
      <c r="CI733" s="49"/>
      <c r="CJ733" s="49"/>
      <c r="CK733" s="49"/>
      <c r="CL733" s="49"/>
      <c r="CM733" s="49"/>
      <c r="CN733" s="49"/>
      <c r="CO733" s="49"/>
      <c r="CP733" s="49"/>
      <c r="CQ733" s="49"/>
      <c r="CR733" s="49"/>
      <c r="CS733" s="49"/>
      <c r="CT733" s="49"/>
      <c r="CU733" s="49"/>
      <c r="CV733" s="49"/>
      <c r="CW733" s="49"/>
      <c r="CX733" s="49"/>
      <c r="CY733" s="49"/>
      <c r="CZ733" s="49"/>
      <c r="DA733" s="49"/>
      <c r="DB733" s="49"/>
      <c r="DC733" s="49"/>
      <c r="DD733" s="49"/>
      <c r="DE733" s="49"/>
      <c r="DF733" s="49"/>
      <c r="DG733" s="49"/>
      <c r="DH733" s="49"/>
      <c r="DI733" s="49"/>
      <c r="DJ733" s="49"/>
      <c r="DK733" s="49"/>
      <c r="DL733" s="49"/>
      <c r="DM733" s="49"/>
      <c r="DN733" s="49"/>
      <c r="DO733" s="49"/>
      <c r="DP733" s="49"/>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c r="IW733"/>
      <c r="IX733"/>
      <c r="IY733"/>
      <c r="IZ733"/>
      <c r="JA733"/>
      <c r="JB733"/>
      <c r="JC733"/>
      <c r="JD733"/>
      <c r="JE733"/>
      <c r="JF733"/>
      <c r="JG733"/>
      <c r="JH733"/>
      <c r="JI733"/>
      <c r="JJ733"/>
      <c r="JK733"/>
      <c r="JL733"/>
      <c r="JM733"/>
      <c r="JN733"/>
      <c r="JO733"/>
      <c r="JP733"/>
      <c r="JQ733"/>
      <c r="JR733"/>
      <c r="JS733"/>
      <c r="JT733"/>
      <c r="JU733"/>
      <c r="JV733"/>
      <c r="JW733"/>
      <c r="JX733"/>
      <c r="JY733"/>
      <c r="JZ733"/>
      <c r="KA733"/>
      <c r="KB733"/>
      <c r="KC733"/>
      <c r="KD733"/>
      <c r="KE733"/>
      <c r="KF733"/>
      <c r="KG733"/>
      <c r="KH733"/>
      <c r="KI733"/>
      <c r="KJ733"/>
      <c r="KK733"/>
      <c r="KL733"/>
      <c r="KM733"/>
      <c r="KN733"/>
      <c r="KO733"/>
      <c r="KP733"/>
      <c r="KQ733"/>
      <c r="KR733"/>
      <c r="KS733"/>
      <c r="KT733"/>
      <c r="KU733"/>
      <c r="KV733"/>
      <c r="KW733"/>
      <c r="KX733"/>
      <c r="KY733"/>
      <c r="KZ733"/>
      <c r="LA733"/>
      <c r="LB733"/>
      <c r="LC733"/>
      <c r="LD733"/>
      <c r="LE733"/>
      <c r="LF733"/>
      <c r="LG733"/>
      <c r="LH733"/>
      <c r="LI733"/>
      <c r="LJ733"/>
      <c r="LK733"/>
      <c r="LL733"/>
      <c r="LM733"/>
      <c r="LN733"/>
      <c r="LO733"/>
      <c r="LP733"/>
      <c r="LQ733"/>
      <c r="LR733"/>
      <c r="LS733"/>
      <c r="LT733"/>
      <c r="LU733"/>
      <c r="LV733"/>
      <c r="LW733"/>
      <c r="LX733"/>
      <c r="LY733"/>
      <c r="LZ733"/>
      <c r="MA733"/>
      <c r="MB733"/>
      <c r="MC733"/>
      <c r="MD733"/>
      <c r="ME733"/>
      <c r="MF733"/>
      <c r="MG733"/>
      <c r="MH733"/>
      <c r="MI733"/>
      <c r="MJ733"/>
      <c r="MK733"/>
      <c r="ML733"/>
      <c r="MM733"/>
      <c r="MN733"/>
      <c r="MO733"/>
      <c r="MP733"/>
      <c r="MQ733"/>
      <c r="MR733"/>
      <c r="MS733"/>
      <c r="MT733"/>
      <c r="MU733"/>
      <c r="MV733"/>
      <c r="MW733"/>
      <c r="MX733"/>
      <c r="MY733"/>
      <c r="MZ733"/>
      <c r="NA733"/>
      <c r="NB733"/>
      <c r="NC733"/>
      <c r="ND733"/>
      <c r="NE733"/>
      <c r="NF733"/>
      <c r="NG733"/>
      <c r="NH733"/>
      <c r="NI733"/>
      <c r="NJ733"/>
      <c r="NK733"/>
      <c r="NL733"/>
      <c r="NM733"/>
      <c r="NN733"/>
      <c r="NO733"/>
      <c r="NP733"/>
      <c r="NQ733"/>
      <c r="NR733"/>
      <c r="NS733"/>
      <c r="NT733"/>
      <c r="NU733"/>
      <c r="NV733"/>
      <c r="NW733"/>
      <c r="NX733"/>
      <c r="NY733"/>
      <c r="NZ733"/>
      <c r="OA733"/>
      <c r="OB733"/>
      <c r="OC733"/>
      <c r="OD733"/>
      <c r="OE733"/>
      <c r="OF733"/>
      <c r="OG733"/>
      <c r="OH733"/>
      <c r="OI733"/>
      <c r="OJ733"/>
      <c r="OK733"/>
      <c r="OL733"/>
      <c r="OM733"/>
      <c r="ON733"/>
      <c r="OO733"/>
      <c r="OP733"/>
      <c r="OQ733"/>
      <c r="OR733"/>
      <c r="OS733"/>
      <c r="OT733"/>
      <c r="OU733"/>
      <c r="OV733"/>
      <c r="OW733"/>
      <c r="OX733"/>
      <c r="OY733"/>
      <c r="OZ733"/>
      <c r="PA733"/>
      <c r="PB733"/>
      <c r="PC733"/>
      <c r="PD733"/>
      <c r="PE733"/>
      <c r="PF733"/>
      <c r="PG733"/>
      <c r="PH733"/>
      <c r="PI733"/>
      <c r="PJ733"/>
      <c r="PK733"/>
      <c r="PL733"/>
      <c r="PM733"/>
      <c r="PN733"/>
      <c r="PO733"/>
      <c r="PP733"/>
      <c r="PQ733"/>
      <c r="PR733"/>
      <c r="PS733"/>
      <c r="PT733"/>
      <c r="PU733"/>
      <c r="PV733"/>
      <c r="PW733"/>
      <c r="PX733"/>
      <c r="PY733"/>
      <c r="PZ733"/>
      <c r="QA733"/>
      <c r="QB733"/>
      <c r="QC733"/>
      <c r="QD733"/>
      <c r="QE733"/>
      <c r="QF733"/>
      <c r="QG733"/>
      <c r="QH733"/>
      <c r="QI733"/>
      <c r="QJ733"/>
      <c r="QK733"/>
      <c r="QL733"/>
      <c r="QM733"/>
      <c r="QN733"/>
      <c r="QO733"/>
      <c r="QP733"/>
      <c r="QQ733"/>
      <c r="QR733"/>
      <c r="QS733"/>
      <c r="QT733"/>
      <c r="QU733"/>
      <c r="QV733"/>
      <c r="QW733"/>
      <c r="QX733"/>
      <c r="QY733"/>
      <c r="QZ733"/>
      <c r="RA733"/>
      <c r="RB733"/>
      <c r="RC733"/>
      <c r="RD733"/>
      <c r="RE733"/>
      <c r="RF733"/>
      <c r="RG733"/>
      <c r="RH733"/>
      <c r="RI733"/>
      <c r="RJ733"/>
      <c r="RK733"/>
      <c r="RL733"/>
      <c r="RM733"/>
      <c r="RN733"/>
      <c r="RO733"/>
      <c r="RP733"/>
      <c r="RQ733"/>
      <c r="RR733"/>
      <c r="RS733"/>
      <c r="RT733"/>
      <c r="RU733"/>
      <c r="RV733"/>
      <c r="RW733"/>
      <c r="RX733"/>
      <c r="RY733"/>
      <c r="RZ733"/>
      <c r="SA733"/>
      <c r="SB733"/>
      <c r="SC733"/>
      <c r="SD733"/>
      <c r="SE733"/>
      <c r="SF733"/>
      <c r="SG733"/>
      <c r="SH733"/>
      <c r="SI733"/>
      <c r="SJ733"/>
      <c r="SK733"/>
      <c r="SL733"/>
      <c r="SM733"/>
      <c r="SN733"/>
      <c r="SO733"/>
      <c r="SP733"/>
      <c r="SQ733"/>
      <c r="SR733"/>
      <c r="SS733"/>
      <c r="ST733"/>
      <c r="SU733"/>
      <c r="SV733"/>
      <c r="SW733"/>
      <c r="SX733"/>
      <c r="SY733"/>
      <c r="SZ733"/>
      <c r="TA733"/>
      <c r="TB733"/>
      <c r="TC733"/>
      <c r="TD733"/>
      <c r="TE733"/>
      <c r="TF733"/>
      <c r="TG733"/>
      <c r="TH733"/>
      <c r="TI733"/>
      <c r="TJ733"/>
      <c r="TK733"/>
      <c r="TL733"/>
      <c r="TM733"/>
      <c r="TN733"/>
      <c r="TO733"/>
      <c r="TP733"/>
      <c r="TQ733"/>
      <c r="TR733"/>
      <c r="TS733"/>
      <c r="TT733"/>
      <c r="TU733"/>
      <c r="TV733"/>
      <c r="TW733"/>
      <c r="TX733"/>
      <c r="TY733"/>
      <c r="TZ733"/>
      <c r="UA733"/>
      <c r="UB733"/>
      <c r="UC733"/>
      <c r="UD733"/>
      <c r="UE733"/>
      <c r="UF733"/>
      <c r="UG733"/>
      <c r="UH733"/>
      <c r="UI733"/>
      <c r="UJ733"/>
      <c r="UK733"/>
      <c r="UL733"/>
      <c r="UM733"/>
      <c r="UN733"/>
      <c r="UO733"/>
      <c r="UP733"/>
      <c r="UQ733"/>
      <c r="UR733"/>
      <c r="US733"/>
      <c r="UT733"/>
      <c r="UU733"/>
      <c r="UV733"/>
      <c r="UW733"/>
      <c r="UX733"/>
      <c r="UY733"/>
      <c r="UZ733"/>
      <c r="VA733"/>
      <c r="VB733"/>
      <c r="VC733"/>
      <c r="VD733"/>
      <c r="VE733"/>
      <c r="VF733"/>
      <c r="VG733"/>
      <c r="VH733"/>
      <c r="VI733"/>
      <c r="VJ733"/>
      <c r="VK733"/>
      <c r="VL733"/>
      <c r="VM733"/>
      <c r="VN733"/>
      <c r="VO733"/>
      <c r="VP733"/>
      <c r="VQ733"/>
      <c r="VR733"/>
      <c r="VS733"/>
      <c r="VT733"/>
      <c r="VU733"/>
      <c r="VV733"/>
      <c r="VW733"/>
      <c r="VX733"/>
      <c r="VY733"/>
      <c r="VZ733"/>
      <c r="WA733"/>
      <c r="WB733"/>
      <c r="WC733"/>
      <c r="WD733"/>
      <c r="WE733"/>
      <c r="WF733"/>
      <c r="WG733"/>
      <c r="WH733"/>
      <c r="WI733"/>
      <c r="WJ733"/>
      <c r="WK733"/>
      <c r="WL733"/>
      <c r="WM733"/>
      <c r="WN733"/>
      <c r="WO733"/>
      <c r="WP733"/>
      <c r="WQ733"/>
      <c r="WR733"/>
      <c r="WS733"/>
      <c r="WT733"/>
      <c r="WU733"/>
      <c r="WV733"/>
      <c r="WW733"/>
      <c r="WX733"/>
      <c r="WY733"/>
      <c r="WZ733"/>
      <c r="XA733"/>
      <c r="XB733"/>
      <c r="XC733"/>
      <c r="XD733"/>
      <c r="XE733"/>
      <c r="XF733"/>
      <c r="XG733"/>
      <c r="XH733"/>
      <c r="XI733"/>
      <c r="XJ733"/>
      <c r="XK733"/>
      <c r="XL733"/>
      <c r="XM733"/>
      <c r="XN733"/>
      <c r="XO733"/>
      <c r="XP733"/>
      <c r="XQ733"/>
      <c r="XR733"/>
      <c r="XS733"/>
      <c r="XT733"/>
      <c r="XU733"/>
      <c r="XV733"/>
      <c r="XW733"/>
      <c r="XX733"/>
      <c r="XY733"/>
      <c r="XZ733"/>
      <c r="YA733"/>
      <c r="YB733"/>
      <c r="YC733"/>
      <c r="YD733"/>
      <c r="YE733"/>
      <c r="YF733"/>
      <c r="YG733"/>
      <c r="YH733"/>
      <c r="YI733"/>
      <c r="YJ733"/>
      <c r="YK733"/>
      <c r="YL733"/>
      <c r="YM733"/>
      <c r="YN733"/>
      <c r="YO733"/>
      <c r="YP733"/>
      <c r="YQ733"/>
      <c r="YR733"/>
      <c r="YS733"/>
      <c r="YT733"/>
      <c r="YU733"/>
      <c r="YV733"/>
      <c r="YW733"/>
      <c r="YX733"/>
      <c r="YY733"/>
      <c r="YZ733"/>
      <c r="ZA733"/>
      <c r="ZB733"/>
      <c r="ZC733"/>
      <c r="ZD733"/>
      <c r="ZE733"/>
      <c r="ZF733"/>
      <c r="ZG733"/>
      <c r="ZH733"/>
      <c r="ZI733"/>
      <c r="ZJ733"/>
      <c r="ZK733"/>
      <c r="ZL733"/>
      <c r="ZM733"/>
      <c r="ZN733"/>
      <c r="ZO733"/>
      <c r="ZP733"/>
      <c r="ZQ733"/>
      <c r="ZR733"/>
      <c r="ZS733"/>
      <c r="ZT733"/>
      <c r="ZU733"/>
      <c r="ZV733"/>
      <c r="ZW733"/>
      <c r="ZX733"/>
      <c r="ZY733"/>
      <c r="ZZ733" s="52"/>
      <c r="AAA733" s="192"/>
      <c r="AAD733" s="90"/>
      <c r="AAE733" s="519">
        <v>1</v>
      </c>
      <c r="AAF733" s="90"/>
      <c r="AAG733" s="84"/>
      <c r="AAH733" s="73">
        <f>S.PostEQC.FileRuleWithSOS</f>
        <v>41719</v>
      </c>
      <c r="AAI733" s="72"/>
      <c r="AAJ733" s="74"/>
      <c r="AAK733" s="56"/>
      <c r="AAL733" s="90"/>
    </row>
    <row r="734" spans="1:715" ht="15" customHeight="1" outlineLevel="1">
      <c r="A734" s="171"/>
      <c r="B734" s="289" t="s">
        <v>176</v>
      </c>
      <c r="C734" s="420"/>
      <c r="D734" s="434"/>
      <c r="E734" s="350"/>
      <c r="F734" s="350"/>
      <c r="G734" s="420"/>
      <c r="H734" s="420"/>
      <c r="I734" s="244"/>
      <c r="J734" s="194"/>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c r="BG734" s="49"/>
      <c r="BH734" s="49"/>
      <c r="BI734" s="49"/>
      <c r="BJ734" s="49"/>
      <c r="BK734" s="49"/>
      <c r="BL734" s="49"/>
      <c r="BM734" s="49"/>
      <c r="BN734" s="49"/>
      <c r="BO734" s="49"/>
      <c r="BP734" s="49"/>
      <c r="BQ734" s="49"/>
      <c r="BR734" s="49"/>
      <c r="BS734" s="49"/>
      <c r="BT734" s="49"/>
      <c r="BU734" s="49"/>
      <c r="BV734" s="49"/>
      <c r="BW734" s="49"/>
      <c r="BX734" s="49"/>
      <c r="BY734" s="49"/>
      <c r="BZ734" s="49"/>
      <c r="CA734" s="49"/>
      <c r="CB734" s="49"/>
      <c r="CC734" s="49"/>
      <c r="CD734" s="49"/>
      <c r="CE734" s="49"/>
      <c r="CF734" s="49"/>
      <c r="CG734" s="49"/>
      <c r="CH734" s="49"/>
      <c r="CI734" s="49"/>
      <c r="CJ734" s="49"/>
      <c r="CK734" s="49"/>
      <c r="CL734" s="49"/>
      <c r="CM734" s="49"/>
      <c r="CN734" s="49"/>
      <c r="CO734" s="49"/>
      <c r="CP734" s="49"/>
      <c r="CQ734" s="49"/>
      <c r="CR734" s="49"/>
      <c r="CS734" s="49"/>
      <c r="CT734" s="49"/>
      <c r="CU734" s="49"/>
      <c r="CV734" s="49"/>
      <c r="CW734" s="49"/>
      <c r="CX734" s="49"/>
      <c r="CY734" s="49"/>
      <c r="CZ734" s="49"/>
      <c r="DA734" s="49"/>
      <c r="DB734" s="49"/>
      <c r="DC734" s="49"/>
      <c r="DD734" s="49"/>
      <c r="DE734" s="49"/>
      <c r="DF734" s="49"/>
      <c r="DG734" s="49"/>
      <c r="DH734" s="49"/>
      <c r="DI734" s="49"/>
      <c r="DJ734" s="49"/>
      <c r="DK734" s="49"/>
      <c r="DL734" s="49"/>
      <c r="DM734" s="49"/>
      <c r="DN734" s="49"/>
      <c r="DO734" s="49"/>
      <c r="DP734" s="49"/>
      <c r="AAA734" s="192"/>
      <c r="AAD734" s="90"/>
      <c r="AAE734" s="519">
        <v>1</v>
      </c>
      <c r="AAF734" s="190" t="s">
        <v>52</v>
      </c>
      <c r="AAG734" s="84"/>
      <c r="AAH734" s="84"/>
      <c r="AAI734" s="72"/>
      <c r="AAJ734" s="74"/>
      <c r="AAK734" s="53"/>
      <c r="AAL734" s="90"/>
      <c r="AAM734"/>
    </row>
    <row r="735" spans="1:715" s="23" customFormat="1" ht="15" customHeight="1" outlineLevel="1">
      <c r="A735" s="171"/>
      <c r="B735" s="289" t="s">
        <v>177</v>
      </c>
      <c r="C735" s="420"/>
      <c r="D735" s="434"/>
      <c r="E735" s="350"/>
      <c r="F735" s="350"/>
      <c r="G735" s="420"/>
      <c r="H735" s="420"/>
      <c r="I735" s="244"/>
      <c r="J735" s="194"/>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c r="AY735" s="49"/>
      <c r="AZ735" s="49"/>
      <c r="BA735" s="49"/>
      <c r="BB735" s="49"/>
      <c r="BC735" s="49"/>
      <c r="BD735" s="49"/>
      <c r="BE735" s="49"/>
      <c r="BF735" s="49"/>
      <c r="BG735" s="49"/>
      <c r="BH735" s="49"/>
      <c r="BI735" s="49"/>
      <c r="BJ735" s="49"/>
      <c r="BK735" s="49"/>
      <c r="BL735" s="49"/>
      <c r="BM735" s="49"/>
      <c r="BN735" s="49"/>
      <c r="BO735" s="49"/>
      <c r="BP735" s="49"/>
      <c r="BQ735" s="49"/>
      <c r="BR735" s="49"/>
      <c r="BS735" s="49"/>
      <c r="BT735" s="49"/>
      <c r="BU735" s="49"/>
      <c r="BV735" s="49"/>
      <c r="BW735" s="49"/>
      <c r="BX735" s="49"/>
      <c r="BY735" s="49"/>
      <c r="BZ735" s="49"/>
      <c r="CA735" s="49"/>
      <c r="CB735" s="49"/>
      <c r="CC735" s="49"/>
      <c r="CD735" s="49"/>
      <c r="CE735" s="49"/>
      <c r="CF735" s="49"/>
      <c r="CG735" s="49"/>
      <c r="CH735" s="49"/>
      <c r="CI735" s="49"/>
      <c r="CJ735" s="49"/>
      <c r="CK735" s="49"/>
      <c r="CL735" s="49"/>
      <c r="CM735" s="49"/>
      <c r="CN735" s="49"/>
      <c r="CO735" s="49"/>
      <c r="CP735" s="49"/>
      <c r="CQ735" s="49"/>
      <c r="CR735" s="49"/>
      <c r="CS735" s="49"/>
      <c r="CT735" s="49"/>
      <c r="CU735" s="49"/>
      <c r="CV735" s="49"/>
      <c r="CW735" s="49"/>
      <c r="CX735" s="49"/>
      <c r="CY735" s="49"/>
      <c r="CZ735" s="49"/>
      <c r="DA735" s="49"/>
      <c r="DB735" s="49"/>
      <c r="DC735" s="49"/>
      <c r="DD735" s="49"/>
      <c r="DE735" s="49"/>
      <c r="DF735" s="49"/>
      <c r="DG735" s="49"/>
      <c r="DH735" s="49"/>
      <c r="DI735" s="49"/>
      <c r="DJ735" s="49"/>
      <c r="DK735" s="49"/>
      <c r="DL735" s="49"/>
      <c r="DM735" s="49"/>
      <c r="DN735" s="49"/>
      <c r="DO735" s="49"/>
      <c r="DP735" s="49"/>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c r="IW735"/>
      <c r="IX735"/>
      <c r="IY735"/>
      <c r="IZ735"/>
      <c r="JA735"/>
      <c r="JB735"/>
      <c r="JC735"/>
      <c r="JD735"/>
      <c r="JE735"/>
      <c r="JF735"/>
      <c r="JG735"/>
      <c r="JH735"/>
      <c r="JI735"/>
      <c r="JJ735"/>
      <c r="JK735"/>
      <c r="JL735"/>
      <c r="JM735"/>
      <c r="JN735"/>
      <c r="JO735"/>
      <c r="JP735"/>
      <c r="JQ735"/>
      <c r="JR735"/>
      <c r="JS735"/>
      <c r="JT735"/>
      <c r="JU735"/>
      <c r="JV735"/>
      <c r="JW735"/>
      <c r="JX735"/>
      <c r="JY735"/>
      <c r="JZ735"/>
      <c r="KA735"/>
      <c r="KB735"/>
      <c r="KC735"/>
      <c r="KD735"/>
      <c r="KE735"/>
      <c r="KF735"/>
      <c r="KG735"/>
      <c r="KH735"/>
      <c r="KI735"/>
      <c r="KJ735"/>
      <c r="KK735"/>
      <c r="KL735"/>
      <c r="KM735"/>
      <c r="KN735"/>
      <c r="KO735"/>
      <c r="KP735"/>
      <c r="KQ735"/>
      <c r="KR735"/>
      <c r="KS735"/>
      <c r="KT735"/>
      <c r="KU735"/>
      <c r="KV735"/>
      <c r="KW735"/>
      <c r="KX735"/>
      <c r="KY735"/>
      <c r="KZ735"/>
      <c r="LA735"/>
      <c r="LB735"/>
      <c r="LC735"/>
      <c r="LD735"/>
      <c r="LE735"/>
      <c r="LF735"/>
      <c r="LG735"/>
      <c r="LH735"/>
      <c r="LI735"/>
      <c r="LJ735"/>
      <c r="LK735"/>
      <c r="LL735"/>
      <c r="LM735"/>
      <c r="LN735"/>
      <c r="LO735"/>
      <c r="LP735"/>
      <c r="LQ735"/>
      <c r="LR735"/>
      <c r="LS735"/>
      <c r="LT735"/>
      <c r="LU735"/>
      <c r="LV735"/>
      <c r="LW735"/>
      <c r="LX735"/>
      <c r="LY735"/>
      <c r="LZ735"/>
      <c r="MA735"/>
      <c r="MB735"/>
      <c r="MC735"/>
      <c r="MD735"/>
      <c r="ME735"/>
      <c r="MF735"/>
      <c r="MG735"/>
      <c r="MH735"/>
      <c r="MI735"/>
      <c r="MJ735"/>
      <c r="MK735"/>
      <c r="ML735"/>
      <c r="MM735"/>
      <c r="MN735"/>
      <c r="MO735"/>
      <c r="MP735"/>
      <c r="MQ735"/>
      <c r="MR735"/>
      <c r="MS735"/>
      <c r="MT735"/>
      <c r="MU735"/>
      <c r="MV735"/>
      <c r="MW735"/>
      <c r="MX735"/>
      <c r="MY735"/>
      <c r="MZ735"/>
      <c r="NA735"/>
      <c r="NB735"/>
      <c r="NC735"/>
      <c r="ND735"/>
      <c r="NE735"/>
      <c r="NF735"/>
      <c r="NG735"/>
      <c r="NH735"/>
      <c r="NI735"/>
      <c r="NJ735"/>
      <c r="NK735"/>
      <c r="NL735"/>
      <c r="NM735"/>
      <c r="NN735"/>
      <c r="NO735"/>
      <c r="NP735"/>
      <c r="NQ735"/>
      <c r="NR735"/>
      <c r="NS735"/>
      <c r="NT735"/>
      <c r="NU735"/>
      <c r="NV735"/>
      <c r="NW735"/>
      <c r="NX735"/>
      <c r="NY735"/>
      <c r="NZ735"/>
      <c r="OA735"/>
      <c r="OB735"/>
      <c r="OC735"/>
      <c r="OD735"/>
      <c r="OE735"/>
      <c r="OF735"/>
      <c r="OG735"/>
      <c r="OH735"/>
      <c r="OI735"/>
      <c r="OJ735"/>
      <c r="OK735"/>
      <c r="OL735"/>
      <c r="OM735"/>
      <c r="ON735"/>
      <c r="OO735"/>
      <c r="OP735"/>
      <c r="OQ735"/>
      <c r="OR735"/>
      <c r="OS735"/>
      <c r="OT735"/>
      <c r="OU735"/>
      <c r="OV735"/>
      <c r="OW735"/>
      <c r="OX735"/>
      <c r="OY735"/>
      <c r="OZ735"/>
      <c r="PA735"/>
      <c r="PB735"/>
      <c r="PC735"/>
      <c r="PD735"/>
      <c r="PE735"/>
      <c r="PF735"/>
      <c r="PG735"/>
      <c r="PH735"/>
      <c r="PI735"/>
      <c r="PJ735"/>
      <c r="PK735"/>
      <c r="PL735"/>
      <c r="PM735"/>
      <c r="PN735"/>
      <c r="PO735"/>
      <c r="PP735"/>
      <c r="PQ735"/>
      <c r="PR735"/>
      <c r="PS735"/>
      <c r="PT735"/>
      <c r="PU735"/>
      <c r="PV735"/>
      <c r="PW735"/>
      <c r="PX735"/>
      <c r="PY735"/>
      <c r="PZ735"/>
      <c r="QA735"/>
      <c r="QB735"/>
      <c r="QC735"/>
      <c r="QD735"/>
      <c r="QE735"/>
      <c r="QF735"/>
      <c r="QG735"/>
      <c r="QH735"/>
      <c r="QI735"/>
      <c r="QJ735"/>
      <c r="QK735"/>
      <c r="QL735"/>
      <c r="QM735"/>
      <c r="QN735"/>
      <c r="QO735"/>
      <c r="QP735"/>
      <c r="QQ735"/>
      <c r="QR735"/>
      <c r="QS735"/>
      <c r="QT735"/>
      <c r="QU735"/>
      <c r="QV735"/>
      <c r="QW735"/>
      <c r="QX735"/>
      <c r="QY735"/>
      <c r="QZ735"/>
      <c r="RA735"/>
      <c r="RB735"/>
      <c r="RC735"/>
      <c r="RD735"/>
      <c r="RE735"/>
      <c r="RF735"/>
      <c r="RG735"/>
      <c r="RH735"/>
      <c r="RI735"/>
      <c r="RJ735"/>
      <c r="RK735"/>
      <c r="RL735"/>
      <c r="RM735"/>
      <c r="RN735"/>
      <c r="RO735"/>
      <c r="RP735"/>
      <c r="RQ735"/>
      <c r="RR735"/>
      <c r="RS735"/>
      <c r="RT735"/>
      <c r="RU735"/>
      <c r="RV735"/>
      <c r="RW735"/>
      <c r="RX735"/>
      <c r="RY735"/>
      <c r="RZ735"/>
      <c r="SA735"/>
      <c r="SB735"/>
      <c r="SC735"/>
      <c r="SD735"/>
      <c r="SE735"/>
      <c r="SF735"/>
      <c r="SG735"/>
      <c r="SH735"/>
      <c r="SI735"/>
      <c r="SJ735"/>
      <c r="SK735"/>
      <c r="SL735"/>
      <c r="SM735"/>
      <c r="SN735"/>
      <c r="SO735"/>
      <c r="SP735"/>
      <c r="SQ735"/>
      <c r="SR735"/>
      <c r="SS735"/>
      <c r="ST735"/>
      <c r="SU735"/>
      <c r="SV735"/>
      <c r="SW735"/>
      <c r="SX735"/>
      <c r="SY735"/>
      <c r="SZ735"/>
      <c r="TA735"/>
      <c r="TB735"/>
      <c r="TC735"/>
      <c r="TD735"/>
      <c r="TE735"/>
      <c r="TF735"/>
      <c r="TG735"/>
      <c r="TH735"/>
      <c r="TI735"/>
      <c r="TJ735"/>
      <c r="TK735"/>
      <c r="TL735"/>
      <c r="TM735"/>
      <c r="TN735"/>
      <c r="TO735"/>
      <c r="TP735"/>
      <c r="TQ735"/>
      <c r="TR735"/>
      <c r="TS735"/>
      <c r="TT735"/>
      <c r="TU735"/>
      <c r="TV735"/>
      <c r="TW735"/>
      <c r="TX735"/>
      <c r="TY735"/>
      <c r="TZ735"/>
      <c r="UA735"/>
      <c r="UB735"/>
      <c r="UC735"/>
      <c r="UD735"/>
      <c r="UE735"/>
      <c r="UF735"/>
      <c r="UG735"/>
      <c r="UH735"/>
      <c r="UI735"/>
      <c r="UJ735"/>
      <c r="UK735"/>
      <c r="UL735"/>
      <c r="UM735"/>
      <c r="UN735"/>
      <c r="UO735"/>
      <c r="UP735"/>
      <c r="UQ735"/>
      <c r="UR735"/>
      <c r="US735"/>
      <c r="UT735"/>
      <c r="UU735"/>
      <c r="UV735"/>
      <c r="UW735"/>
      <c r="UX735"/>
      <c r="UY735"/>
      <c r="UZ735"/>
      <c r="VA735"/>
      <c r="VB735"/>
      <c r="VC735"/>
      <c r="VD735"/>
      <c r="VE735"/>
      <c r="VF735"/>
      <c r="VG735"/>
      <c r="VH735"/>
      <c r="VI735"/>
      <c r="VJ735"/>
      <c r="VK735"/>
      <c r="VL735"/>
      <c r="VM735"/>
      <c r="VN735"/>
      <c r="VO735"/>
      <c r="VP735"/>
      <c r="VQ735"/>
      <c r="VR735"/>
      <c r="VS735"/>
      <c r="VT735"/>
      <c r="VU735"/>
      <c r="VV735"/>
      <c r="VW735"/>
      <c r="VX735"/>
      <c r="VY735"/>
      <c r="VZ735"/>
      <c r="WA735"/>
      <c r="WB735"/>
      <c r="WC735"/>
      <c r="WD735"/>
      <c r="WE735"/>
      <c r="WF735"/>
      <c r="WG735"/>
      <c r="WH735"/>
      <c r="WI735"/>
      <c r="WJ735"/>
      <c r="WK735"/>
      <c r="WL735"/>
      <c r="WM735"/>
      <c r="WN735"/>
      <c r="WO735"/>
      <c r="WP735"/>
      <c r="WQ735"/>
      <c r="WR735"/>
      <c r="WS735"/>
      <c r="WT735"/>
      <c r="WU735"/>
      <c r="WV735"/>
      <c r="WW735"/>
      <c r="WX735"/>
      <c r="WY735"/>
      <c r="WZ735"/>
      <c r="XA735"/>
      <c r="XB735"/>
      <c r="XC735"/>
      <c r="XD735"/>
      <c r="XE735"/>
      <c r="XF735"/>
      <c r="XG735"/>
      <c r="XH735"/>
      <c r="XI735"/>
      <c r="XJ735"/>
      <c r="XK735"/>
      <c r="XL735"/>
      <c r="XM735"/>
      <c r="XN735"/>
      <c r="XO735"/>
      <c r="XP735"/>
      <c r="XQ735"/>
      <c r="XR735"/>
      <c r="XS735"/>
      <c r="XT735"/>
      <c r="XU735"/>
      <c r="XV735"/>
      <c r="XW735"/>
      <c r="XX735"/>
      <c r="XY735"/>
      <c r="XZ735"/>
      <c r="YA735"/>
      <c r="YB735"/>
      <c r="YC735"/>
      <c r="YD735"/>
      <c r="YE735"/>
      <c r="YF735"/>
      <c r="YG735"/>
      <c r="YH735"/>
      <c r="YI735"/>
      <c r="YJ735"/>
      <c r="YK735"/>
      <c r="YL735"/>
      <c r="YM735"/>
      <c r="YN735"/>
      <c r="YO735"/>
      <c r="YP735"/>
      <c r="YQ735"/>
      <c r="YR735"/>
      <c r="YS735"/>
      <c r="YT735"/>
      <c r="YU735"/>
      <c r="YV735"/>
      <c r="YW735"/>
      <c r="YX735"/>
      <c r="YY735"/>
      <c r="YZ735"/>
      <c r="ZA735"/>
      <c r="ZB735"/>
      <c r="ZC735"/>
      <c r="ZD735"/>
      <c r="ZE735"/>
      <c r="ZF735"/>
      <c r="ZG735"/>
      <c r="ZH735"/>
      <c r="ZI735"/>
      <c r="ZJ735"/>
      <c r="ZK735"/>
      <c r="ZL735"/>
      <c r="ZM735"/>
      <c r="ZN735"/>
      <c r="ZO735"/>
      <c r="ZP735"/>
      <c r="ZQ735"/>
      <c r="ZR735"/>
      <c r="ZS735"/>
      <c r="ZT735"/>
      <c r="ZU735"/>
      <c r="ZV735"/>
      <c r="ZW735"/>
      <c r="ZX735"/>
      <c r="ZY735"/>
      <c r="ZZ735" s="52"/>
      <c r="AAA735" s="192"/>
      <c r="AAD735" s="90"/>
      <c r="AAE735" s="519">
        <v>1</v>
      </c>
      <c r="AAF735" s="190" t="s">
        <v>52</v>
      </c>
      <c r="AAG735" s="84"/>
      <c r="AAH735" s="84"/>
      <c r="AAI735" s="72"/>
      <c r="AAJ735" s="74"/>
      <c r="AAK735" s="53"/>
      <c r="AAL735" s="90"/>
    </row>
    <row r="736" spans="1:715" s="23" customFormat="1" ht="15" customHeight="1" outlineLevel="1">
      <c r="A736" s="171"/>
      <c r="B736" s="290" t="s">
        <v>178</v>
      </c>
      <c r="C736" s="420"/>
      <c r="D736" s="434"/>
      <c r="E736" s="350"/>
      <c r="F736" s="350"/>
      <c r="G736" s="420"/>
      <c r="H736" s="420"/>
      <c r="I736" s="244"/>
      <c r="J736" s="194"/>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49"/>
      <c r="AY736" s="49"/>
      <c r="AZ736" s="49"/>
      <c r="BA736" s="49"/>
      <c r="BB736" s="49"/>
      <c r="BC736" s="49"/>
      <c r="BD736" s="49"/>
      <c r="BE736" s="49"/>
      <c r="BF736" s="49"/>
      <c r="BG736" s="49"/>
      <c r="BH736" s="49"/>
      <c r="BI736" s="49"/>
      <c r="BJ736" s="49"/>
      <c r="BK736" s="49"/>
      <c r="BL736" s="49"/>
      <c r="BM736" s="49"/>
      <c r="BN736" s="49"/>
      <c r="BO736" s="49"/>
      <c r="BP736" s="49"/>
      <c r="BQ736" s="49"/>
      <c r="BR736" s="49"/>
      <c r="BS736" s="49"/>
      <c r="BT736" s="49"/>
      <c r="BU736" s="49"/>
      <c r="BV736" s="49"/>
      <c r="BW736" s="49"/>
      <c r="BX736" s="49"/>
      <c r="BY736" s="49"/>
      <c r="BZ736" s="49"/>
      <c r="CA736" s="49"/>
      <c r="CB736" s="49"/>
      <c r="CC736" s="49"/>
      <c r="CD736" s="49"/>
      <c r="CE736" s="49"/>
      <c r="CF736" s="49"/>
      <c r="CG736" s="49"/>
      <c r="CH736" s="49"/>
      <c r="CI736" s="49"/>
      <c r="CJ736" s="49"/>
      <c r="CK736" s="49"/>
      <c r="CL736" s="49"/>
      <c r="CM736" s="49"/>
      <c r="CN736" s="49"/>
      <c r="CO736" s="49"/>
      <c r="CP736" s="49"/>
      <c r="CQ736" s="49"/>
      <c r="CR736" s="49"/>
      <c r="CS736" s="49"/>
      <c r="CT736" s="49"/>
      <c r="CU736" s="49"/>
      <c r="CV736" s="49"/>
      <c r="CW736" s="49"/>
      <c r="CX736" s="49"/>
      <c r="CY736" s="49"/>
      <c r="CZ736" s="49"/>
      <c r="DA736" s="49"/>
      <c r="DB736" s="49"/>
      <c r="DC736" s="49"/>
      <c r="DD736" s="49"/>
      <c r="DE736" s="49"/>
      <c r="DF736" s="49"/>
      <c r="DG736" s="49"/>
      <c r="DH736" s="49"/>
      <c r="DI736" s="49"/>
      <c r="DJ736" s="49"/>
      <c r="DK736" s="49"/>
      <c r="DL736" s="49"/>
      <c r="DM736" s="49"/>
      <c r="DN736" s="49"/>
      <c r="DO736" s="49"/>
      <c r="DP736" s="49"/>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c r="IW736"/>
      <c r="IX736"/>
      <c r="IY736"/>
      <c r="IZ736"/>
      <c r="JA736"/>
      <c r="JB736"/>
      <c r="JC736"/>
      <c r="JD736"/>
      <c r="JE736"/>
      <c r="JF736"/>
      <c r="JG736"/>
      <c r="JH736"/>
      <c r="JI736"/>
      <c r="JJ736"/>
      <c r="JK736"/>
      <c r="JL736"/>
      <c r="JM736"/>
      <c r="JN736"/>
      <c r="JO736"/>
      <c r="JP736"/>
      <c r="JQ736"/>
      <c r="JR736"/>
      <c r="JS736"/>
      <c r="JT736"/>
      <c r="JU736"/>
      <c r="JV736"/>
      <c r="JW736"/>
      <c r="JX736"/>
      <c r="JY736"/>
      <c r="JZ736"/>
      <c r="KA736"/>
      <c r="KB736"/>
      <c r="KC736"/>
      <c r="KD736"/>
      <c r="KE736"/>
      <c r="KF736"/>
      <c r="KG736"/>
      <c r="KH736"/>
      <c r="KI736"/>
      <c r="KJ736"/>
      <c r="KK736"/>
      <c r="KL736"/>
      <c r="KM736"/>
      <c r="KN736"/>
      <c r="KO736"/>
      <c r="KP736"/>
      <c r="KQ736"/>
      <c r="KR736"/>
      <c r="KS736"/>
      <c r="KT736"/>
      <c r="KU736"/>
      <c r="KV736"/>
      <c r="KW736"/>
      <c r="KX736"/>
      <c r="KY736"/>
      <c r="KZ736"/>
      <c r="LA736"/>
      <c r="LB736"/>
      <c r="LC736"/>
      <c r="LD736"/>
      <c r="LE736"/>
      <c r="LF736"/>
      <c r="LG736"/>
      <c r="LH736"/>
      <c r="LI736"/>
      <c r="LJ736"/>
      <c r="LK736"/>
      <c r="LL736"/>
      <c r="LM736"/>
      <c r="LN736"/>
      <c r="LO736"/>
      <c r="LP736"/>
      <c r="LQ736"/>
      <c r="LR736"/>
      <c r="LS736"/>
      <c r="LT736"/>
      <c r="LU736"/>
      <c r="LV736"/>
      <c r="LW736"/>
      <c r="LX736"/>
      <c r="LY736"/>
      <c r="LZ736"/>
      <c r="MA736"/>
      <c r="MB736"/>
      <c r="MC736"/>
      <c r="MD736"/>
      <c r="ME736"/>
      <c r="MF736"/>
      <c r="MG736"/>
      <c r="MH736"/>
      <c r="MI736"/>
      <c r="MJ736"/>
      <c r="MK736"/>
      <c r="ML736"/>
      <c r="MM736"/>
      <c r="MN736"/>
      <c r="MO736"/>
      <c r="MP736"/>
      <c r="MQ736"/>
      <c r="MR736"/>
      <c r="MS736"/>
      <c r="MT736"/>
      <c r="MU736"/>
      <c r="MV736"/>
      <c r="MW736"/>
      <c r="MX736"/>
      <c r="MY736"/>
      <c r="MZ736"/>
      <c r="NA736"/>
      <c r="NB736"/>
      <c r="NC736"/>
      <c r="ND736"/>
      <c r="NE736"/>
      <c r="NF736"/>
      <c r="NG736"/>
      <c r="NH736"/>
      <c r="NI736"/>
      <c r="NJ736"/>
      <c r="NK736"/>
      <c r="NL736"/>
      <c r="NM736"/>
      <c r="NN736"/>
      <c r="NO736"/>
      <c r="NP736"/>
      <c r="NQ736"/>
      <c r="NR736"/>
      <c r="NS736"/>
      <c r="NT736"/>
      <c r="NU736"/>
      <c r="NV736"/>
      <c r="NW736"/>
      <c r="NX736"/>
      <c r="NY736"/>
      <c r="NZ736"/>
      <c r="OA736"/>
      <c r="OB736"/>
      <c r="OC736"/>
      <c r="OD736"/>
      <c r="OE736"/>
      <c r="OF736"/>
      <c r="OG736"/>
      <c r="OH736"/>
      <c r="OI736"/>
      <c r="OJ736"/>
      <c r="OK736"/>
      <c r="OL736"/>
      <c r="OM736"/>
      <c r="ON736"/>
      <c r="OO736"/>
      <c r="OP736"/>
      <c r="OQ736"/>
      <c r="OR736"/>
      <c r="OS736"/>
      <c r="OT736"/>
      <c r="OU736"/>
      <c r="OV736"/>
      <c r="OW736"/>
      <c r="OX736"/>
      <c r="OY736"/>
      <c r="OZ736"/>
      <c r="PA736"/>
      <c r="PB736"/>
      <c r="PC736"/>
      <c r="PD736"/>
      <c r="PE736"/>
      <c r="PF736"/>
      <c r="PG736"/>
      <c r="PH736"/>
      <c r="PI736"/>
      <c r="PJ736"/>
      <c r="PK736"/>
      <c r="PL736"/>
      <c r="PM736"/>
      <c r="PN736"/>
      <c r="PO736"/>
      <c r="PP736"/>
      <c r="PQ736"/>
      <c r="PR736"/>
      <c r="PS736"/>
      <c r="PT736"/>
      <c r="PU736"/>
      <c r="PV736"/>
      <c r="PW736"/>
      <c r="PX736"/>
      <c r="PY736"/>
      <c r="PZ736"/>
      <c r="QA736"/>
      <c r="QB736"/>
      <c r="QC736"/>
      <c r="QD736"/>
      <c r="QE736"/>
      <c r="QF736"/>
      <c r="QG736"/>
      <c r="QH736"/>
      <c r="QI736"/>
      <c r="QJ736"/>
      <c r="QK736"/>
      <c r="QL736"/>
      <c r="QM736"/>
      <c r="QN736"/>
      <c r="QO736"/>
      <c r="QP736"/>
      <c r="QQ736"/>
      <c r="QR736"/>
      <c r="QS736"/>
      <c r="QT736"/>
      <c r="QU736"/>
      <c r="QV736"/>
      <c r="QW736"/>
      <c r="QX736"/>
      <c r="QY736"/>
      <c r="QZ736"/>
      <c r="RA736"/>
      <c r="RB736"/>
      <c r="RC736"/>
      <c r="RD736"/>
      <c r="RE736"/>
      <c r="RF736"/>
      <c r="RG736"/>
      <c r="RH736"/>
      <c r="RI736"/>
      <c r="RJ736"/>
      <c r="RK736"/>
      <c r="RL736"/>
      <c r="RM736"/>
      <c r="RN736"/>
      <c r="RO736"/>
      <c r="RP736"/>
      <c r="RQ736"/>
      <c r="RR736"/>
      <c r="RS736"/>
      <c r="RT736"/>
      <c r="RU736"/>
      <c r="RV736"/>
      <c r="RW736"/>
      <c r="RX736"/>
      <c r="RY736"/>
      <c r="RZ736"/>
      <c r="SA736"/>
      <c r="SB736"/>
      <c r="SC736"/>
      <c r="SD736"/>
      <c r="SE736"/>
      <c r="SF736"/>
      <c r="SG736"/>
      <c r="SH736"/>
      <c r="SI736"/>
      <c r="SJ736"/>
      <c r="SK736"/>
      <c r="SL736"/>
      <c r="SM736"/>
      <c r="SN736"/>
      <c r="SO736"/>
      <c r="SP736"/>
      <c r="SQ736"/>
      <c r="SR736"/>
      <c r="SS736"/>
      <c r="ST736"/>
      <c r="SU736"/>
      <c r="SV736"/>
      <c r="SW736"/>
      <c r="SX736"/>
      <c r="SY736"/>
      <c r="SZ736"/>
      <c r="TA736"/>
      <c r="TB736"/>
      <c r="TC736"/>
      <c r="TD736"/>
      <c r="TE736"/>
      <c r="TF736"/>
      <c r="TG736"/>
      <c r="TH736"/>
      <c r="TI736"/>
      <c r="TJ736"/>
      <c r="TK736"/>
      <c r="TL736"/>
      <c r="TM736"/>
      <c r="TN736"/>
      <c r="TO736"/>
      <c r="TP736"/>
      <c r="TQ736"/>
      <c r="TR736"/>
      <c r="TS736"/>
      <c r="TT736"/>
      <c r="TU736"/>
      <c r="TV736"/>
      <c r="TW736"/>
      <c r="TX736"/>
      <c r="TY736"/>
      <c r="TZ736"/>
      <c r="UA736"/>
      <c r="UB736"/>
      <c r="UC736"/>
      <c r="UD736"/>
      <c r="UE736"/>
      <c r="UF736"/>
      <c r="UG736"/>
      <c r="UH736"/>
      <c r="UI736"/>
      <c r="UJ736"/>
      <c r="UK736"/>
      <c r="UL736"/>
      <c r="UM736"/>
      <c r="UN736"/>
      <c r="UO736"/>
      <c r="UP736"/>
      <c r="UQ736"/>
      <c r="UR736"/>
      <c r="US736"/>
      <c r="UT736"/>
      <c r="UU736"/>
      <c r="UV736"/>
      <c r="UW736"/>
      <c r="UX736"/>
      <c r="UY736"/>
      <c r="UZ736"/>
      <c r="VA736"/>
      <c r="VB736"/>
      <c r="VC736"/>
      <c r="VD736"/>
      <c r="VE736"/>
      <c r="VF736"/>
      <c r="VG736"/>
      <c r="VH736"/>
      <c r="VI736"/>
      <c r="VJ736"/>
      <c r="VK736"/>
      <c r="VL736"/>
      <c r="VM736"/>
      <c r="VN736"/>
      <c r="VO736"/>
      <c r="VP736"/>
      <c r="VQ736"/>
      <c r="VR736"/>
      <c r="VS736"/>
      <c r="VT736"/>
      <c r="VU736"/>
      <c r="VV736"/>
      <c r="VW736"/>
      <c r="VX736"/>
      <c r="VY736"/>
      <c r="VZ736"/>
      <c r="WA736"/>
      <c r="WB736"/>
      <c r="WC736"/>
      <c r="WD736"/>
      <c r="WE736"/>
      <c r="WF736"/>
      <c r="WG736"/>
      <c r="WH736"/>
      <c r="WI736"/>
      <c r="WJ736"/>
      <c r="WK736"/>
      <c r="WL736"/>
      <c r="WM736"/>
      <c r="WN736"/>
      <c r="WO736"/>
      <c r="WP736"/>
      <c r="WQ736"/>
      <c r="WR736"/>
      <c r="WS736"/>
      <c r="WT736"/>
      <c r="WU736"/>
      <c r="WV736"/>
      <c r="WW736"/>
      <c r="WX736"/>
      <c r="WY736"/>
      <c r="WZ736"/>
      <c r="XA736"/>
      <c r="XB736"/>
      <c r="XC736"/>
      <c r="XD736"/>
      <c r="XE736"/>
      <c r="XF736"/>
      <c r="XG736"/>
      <c r="XH736"/>
      <c r="XI736"/>
      <c r="XJ736"/>
      <c r="XK736"/>
      <c r="XL736"/>
      <c r="XM736"/>
      <c r="XN736"/>
      <c r="XO736"/>
      <c r="XP736"/>
      <c r="XQ736"/>
      <c r="XR736"/>
      <c r="XS736"/>
      <c r="XT736"/>
      <c r="XU736"/>
      <c r="XV736"/>
      <c r="XW736"/>
      <c r="XX736"/>
      <c r="XY736"/>
      <c r="XZ736"/>
      <c r="YA736"/>
      <c r="YB736"/>
      <c r="YC736"/>
      <c r="YD736"/>
      <c r="YE736"/>
      <c r="YF736"/>
      <c r="YG736"/>
      <c r="YH736"/>
      <c r="YI736"/>
      <c r="YJ736"/>
      <c r="YK736"/>
      <c r="YL736"/>
      <c r="YM736"/>
      <c r="YN736"/>
      <c r="YO736"/>
      <c r="YP736"/>
      <c r="YQ736"/>
      <c r="YR736"/>
      <c r="YS736"/>
      <c r="YT736"/>
      <c r="YU736"/>
      <c r="YV736"/>
      <c r="YW736"/>
      <c r="YX736"/>
      <c r="YY736"/>
      <c r="YZ736"/>
      <c r="ZA736"/>
      <c r="ZB736"/>
      <c r="ZC736"/>
      <c r="ZD736"/>
      <c r="ZE736"/>
      <c r="ZF736"/>
      <c r="ZG736"/>
      <c r="ZH736"/>
      <c r="ZI736"/>
      <c r="ZJ736"/>
      <c r="ZK736"/>
      <c r="ZL736"/>
      <c r="ZM736"/>
      <c r="ZN736"/>
      <c r="ZO736"/>
      <c r="ZP736"/>
      <c r="ZQ736"/>
      <c r="ZR736"/>
      <c r="ZS736"/>
      <c r="ZT736"/>
      <c r="ZU736"/>
      <c r="ZV736"/>
      <c r="ZW736"/>
      <c r="ZX736"/>
      <c r="ZY736"/>
      <c r="ZZ736" s="52"/>
      <c r="AAA736" s="192"/>
      <c r="AAD736" s="90"/>
      <c r="AAE736" s="519">
        <v>1</v>
      </c>
      <c r="AAF736" s="190" t="s">
        <v>52</v>
      </c>
      <c r="AAG736" s="84"/>
      <c r="AAH736" s="84"/>
      <c r="AAI736" s="72"/>
      <c r="AAJ736" s="74"/>
      <c r="AAK736" s="53"/>
      <c r="AAL736" s="90"/>
    </row>
    <row r="737" spans="1:714" s="23" customFormat="1" ht="15" customHeight="1" outlineLevel="1">
      <c r="A737" s="171"/>
      <c r="B737" s="290" t="s">
        <v>179</v>
      </c>
      <c r="C737" s="420"/>
      <c r="D737" s="434"/>
      <c r="E737" s="350"/>
      <c r="F737" s="350"/>
      <c r="G737" s="420"/>
      <c r="H737" s="420"/>
      <c r="I737" s="244"/>
      <c r="J737" s="194"/>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49"/>
      <c r="AW737" s="49"/>
      <c r="AX737" s="49"/>
      <c r="AY737" s="49"/>
      <c r="AZ737" s="49"/>
      <c r="BA737" s="49"/>
      <c r="BB737" s="49"/>
      <c r="BC737" s="49"/>
      <c r="BD737" s="49"/>
      <c r="BE737" s="49"/>
      <c r="BF737" s="49"/>
      <c r="BG737" s="49"/>
      <c r="BH737" s="49"/>
      <c r="BI737" s="49"/>
      <c r="BJ737" s="49"/>
      <c r="BK737" s="49"/>
      <c r="BL737" s="49"/>
      <c r="BM737" s="49"/>
      <c r="BN737" s="49"/>
      <c r="BO737" s="49"/>
      <c r="BP737" s="49"/>
      <c r="BQ737" s="49"/>
      <c r="BR737" s="49"/>
      <c r="BS737" s="49"/>
      <c r="BT737" s="49"/>
      <c r="BU737" s="49"/>
      <c r="BV737" s="49"/>
      <c r="BW737" s="49"/>
      <c r="BX737" s="49"/>
      <c r="BY737" s="49"/>
      <c r="BZ737" s="49"/>
      <c r="CA737" s="49"/>
      <c r="CB737" s="49"/>
      <c r="CC737" s="49"/>
      <c r="CD737" s="49"/>
      <c r="CE737" s="49"/>
      <c r="CF737" s="49"/>
      <c r="CG737" s="49"/>
      <c r="CH737" s="49"/>
      <c r="CI737" s="49"/>
      <c r="CJ737" s="49"/>
      <c r="CK737" s="49"/>
      <c r="CL737" s="49"/>
      <c r="CM737" s="49"/>
      <c r="CN737" s="49"/>
      <c r="CO737" s="49"/>
      <c r="CP737" s="49"/>
      <c r="CQ737" s="49"/>
      <c r="CR737" s="49"/>
      <c r="CS737" s="49"/>
      <c r="CT737" s="49"/>
      <c r="CU737" s="49"/>
      <c r="CV737" s="49"/>
      <c r="CW737" s="49"/>
      <c r="CX737" s="49"/>
      <c r="CY737" s="49"/>
      <c r="CZ737" s="49"/>
      <c r="DA737" s="49"/>
      <c r="DB737" s="49"/>
      <c r="DC737" s="49"/>
      <c r="DD737" s="49"/>
      <c r="DE737" s="49"/>
      <c r="DF737" s="49"/>
      <c r="DG737" s="49"/>
      <c r="DH737" s="49"/>
      <c r="DI737" s="49"/>
      <c r="DJ737" s="49"/>
      <c r="DK737" s="49"/>
      <c r="DL737" s="49"/>
      <c r="DM737" s="49"/>
      <c r="DN737" s="49"/>
      <c r="DO737" s="49"/>
      <c r="DP737" s="49"/>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c r="IW737"/>
      <c r="IX737"/>
      <c r="IY737"/>
      <c r="IZ737"/>
      <c r="JA737"/>
      <c r="JB737"/>
      <c r="JC737"/>
      <c r="JD737"/>
      <c r="JE737"/>
      <c r="JF737"/>
      <c r="JG737"/>
      <c r="JH737"/>
      <c r="JI737"/>
      <c r="JJ737"/>
      <c r="JK737"/>
      <c r="JL737"/>
      <c r="JM737"/>
      <c r="JN737"/>
      <c r="JO737"/>
      <c r="JP737"/>
      <c r="JQ737"/>
      <c r="JR737"/>
      <c r="JS737"/>
      <c r="JT737"/>
      <c r="JU737"/>
      <c r="JV737"/>
      <c r="JW737"/>
      <c r="JX737"/>
      <c r="JY737"/>
      <c r="JZ737"/>
      <c r="KA737"/>
      <c r="KB737"/>
      <c r="KC737"/>
      <c r="KD737"/>
      <c r="KE737"/>
      <c r="KF737"/>
      <c r="KG737"/>
      <c r="KH737"/>
      <c r="KI737"/>
      <c r="KJ737"/>
      <c r="KK737"/>
      <c r="KL737"/>
      <c r="KM737"/>
      <c r="KN737"/>
      <c r="KO737"/>
      <c r="KP737"/>
      <c r="KQ737"/>
      <c r="KR737"/>
      <c r="KS737"/>
      <c r="KT737"/>
      <c r="KU737"/>
      <c r="KV737"/>
      <c r="KW737"/>
      <c r="KX737"/>
      <c r="KY737"/>
      <c r="KZ737"/>
      <c r="LA737"/>
      <c r="LB737"/>
      <c r="LC737"/>
      <c r="LD737"/>
      <c r="LE737"/>
      <c r="LF737"/>
      <c r="LG737"/>
      <c r="LH737"/>
      <c r="LI737"/>
      <c r="LJ737"/>
      <c r="LK737"/>
      <c r="LL737"/>
      <c r="LM737"/>
      <c r="LN737"/>
      <c r="LO737"/>
      <c r="LP737"/>
      <c r="LQ737"/>
      <c r="LR737"/>
      <c r="LS737"/>
      <c r="LT737"/>
      <c r="LU737"/>
      <c r="LV737"/>
      <c r="LW737"/>
      <c r="LX737"/>
      <c r="LY737"/>
      <c r="LZ737"/>
      <c r="MA737"/>
      <c r="MB737"/>
      <c r="MC737"/>
      <c r="MD737"/>
      <c r="ME737"/>
      <c r="MF737"/>
      <c r="MG737"/>
      <c r="MH737"/>
      <c r="MI737"/>
      <c r="MJ737"/>
      <c r="MK737"/>
      <c r="ML737"/>
      <c r="MM737"/>
      <c r="MN737"/>
      <c r="MO737"/>
      <c r="MP737"/>
      <c r="MQ737"/>
      <c r="MR737"/>
      <c r="MS737"/>
      <c r="MT737"/>
      <c r="MU737"/>
      <c r="MV737"/>
      <c r="MW737"/>
      <c r="MX737"/>
      <c r="MY737"/>
      <c r="MZ737"/>
      <c r="NA737"/>
      <c r="NB737"/>
      <c r="NC737"/>
      <c r="ND737"/>
      <c r="NE737"/>
      <c r="NF737"/>
      <c r="NG737"/>
      <c r="NH737"/>
      <c r="NI737"/>
      <c r="NJ737"/>
      <c r="NK737"/>
      <c r="NL737"/>
      <c r="NM737"/>
      <c r="NN737"/>
      <c r="NO737"/>
      <c r="NP737"/>
      <c r="NQ737"/>
      <c r="NR737"/>
      <c r="NS737"/>
      <c r="NT737"/>
      <c r="NU737"/>
      <c r="NV737"/>
      <c r="NW737"/>
      <c r="NX737"/>
      <c r="NY737"/>
      <c r="NZ737"/>
      <c r="OA737"/>
      <c r="OB737"/>
      <c r="OC737"/>
      <c r="OD737"/>
      <c r="OE737"/>
      <c r="OF737"/>
      <c r="OG737"/>
      <c r="OH737"/>
      <c r="OI737"/>
      <c r="OJ737"/>
      <c r="OK737"/>
      <c r="OL737"/>
      <c r="OM737"/>
      <c r="ON737"/>
      <c r="OO737"/>
      <c r="OP737"/>
      <c r="OQ737"/>
      <c r="OR737"/>
      <c r="OS737"/>
      <c r="OT737"/>
      <c r="OU737"/>
      <c r="OV737"/>
      <c r="OW737"/>
      <c r="OX737"/>
      <c r="OY737"/>
      <c r="OZ737"/>
      <c r="PA737"/>
      <c r="PB737"/>
      <c r="PC737"/>
      <c r="PD737"/>
      <c r="PE737"/>
      <c r="PF737"/>
      <c r="PG737"/>
      <c r="PH737"/>
      <c r="PI737"/>
      <c r="PJ737"/>
      <c r="PK737"/>
      <c r="PL737"/>
      <c r="PM737"/>
      <c r="PN737"/>
      <c r="PO737"/>
      <c r="PP737"/>
      <c r="PQ737"/>
      <c r="PR737"/>
      <c r="PS737"/>
      <c r="PT737"/>
      <c r="PU737"/>
      <c r="PV737"/>
      <c r="PW737"/>
      <c r="PX737"/>
      <c r="PY737"/>
      <c r="PZ737"/>
      <c r="QA737"/>
      <c r="QB737"/>
      <c r="QC737"/>
      <c r="QD737"/>
      <c r="QE737"/>
      <c r="QF737"/>
      <c r="QG737"/>
      <c r="QH737"/>
      <c r="QI737"/>
      <c r="QJ737"/>
      <c r="QK737"/>
      <c r="QL737"/>
      <c r="QM737"/>
      <c r="QN737"/>
      <c r="QO737"/>
      <c r="QP737"/>
      <c r="QQ737"/>
      <c r="QR737"/>
      <c r="QS737"/>
      <c r="QT737"/>
      <c r="QU737"/>
      <c r="QV737"/>
      <c r="QW737"/>
      <c r="QX737"/>
      <c r="QY737"/>
      <c r="QZ737"/>
      <c r="RA737"/>
      <c r="RB737"/>
      <c r="RC737"/>
      <c r="RD737"/>
      <c r="RE737"/>
      <c r="RF737"/>
      <c r="RG737"/>
      <c r="RH737"/>
      <c r="RI737"/>
      <c r="RJ737"/>
      <c r="RK737"/>
      <c r="RL737"/>
      <c r="RM737"/>
      <c r="RN737"/>
      <c r="RO737"/>
      <c r="RP737"/>
      <c r="RQ737"/>
      <c r="RR737"/>
      <c r="RS737"/>
      <c r="RT737"/>
      <c r="RU737"/>
      <c r="RV737"/>
      <c r="RW737"/>
      <c r="RX737"/>
      <c r="RY737"/>
      <c r="RZ737"/>
      <c r="SA737"/>
      <c r="SB737"/>
      <c r="SC737"/>
      <c r="SD737"/>
      <c r="SE737"/>
      <c r="SF737"/>
      <c r="SG737"/>
      <c r="SH737"/>
      <c r="SI737"/>
      <c r="SJ737"/>
      <c r="SK737"/>
      <c r="SL737"/>
      <c r="SM737"/>
      <c r="SN737"/>
      <c r="SO737"/>
      <c r="SP737"/>
      <c r="SQ737"/>
      <c r="SR737"/>
      <c r="SS737"/>
      <c r="ST737"/>
      <c r="SU737"/>
      <c r="SV737"/>
      <c r="SW737"/>
      <c r="SX737"/>
      <c r="SY737"/>
      <c r="SZ737"/>
      <c r="TA737"/>
      <c r="TB737"/>
      <c r="TC737"/>
      <c r="TD737"/>
      <c r="TE737"/>
      <c r="TF737"/>
      <c r="TG737"/>
      <c r="TH737"/>
      <c r="TI737"/>
      <c r="TJ737"/>
      <c r="TK737"/>
      <c r="TL737"/>
      <c r="TM737"/>
      <c r="TN737"/>
      <c r="TO737"/>
      <c r="TP737"/>
      <c r="TQ737"/>
      <c r="TR737"/>
      <c r="TS737"/>
      <c r="TT737"/>
      <c r="TU737"/>
      <c r="TV737"/>
      <c r="TW737"/>
      <c r="TX737"/>
      <c r="TY737"/>
      <c r="TZ737"/>
      <c r="UA737"/>
      <c r="UB737"/>
      <c r="UC737"/>
      <c r="UD737"/>
      <c r="UE737"/>
      <c r="UF737"/>
      <c r="UG737"/>
      <c r="UH737"/>
      <c r="UI737"/>
      <c r="UJ737"/>
      <c r="UK737"/>
      <c r="UL737"/>
      <c r="UM737"/>
      <c r="UN737"/>
      <c r="UO737"/>
      <c r="UP737"/>
      <c r="UQ737"/>
      <c r="UR737"/>
      <c r="US737"/>
      <c r="UT737"/>
      <c r="UU737"/>
      <c r="UV737"/>
      <c r="UW737"/>
      <c r="UX737"/>
      <c r="UY737"/>
      <c r="UZ737"/>
      <c r="VA737"/>
      <c r="VB737"/>
      <c r="VC737"/>
      <c r="VD737"/>
      <c r="VE737"/>
      <c r="VF737"/>
      <c r="VG737"/>
      <c r="VH737"/>
      <c r="VI737"/>
      <c r="VJ737"/>
      <c r="VK737"/>
      <c r="VL737"/>
      <c r="VM737"/>
      <c r="VN737"/>
      <c r="VO737"/>
      <c r="VP737"/>
      <c r="VQ737"/>
      <c r="VR737"/>
      <c r="VS737"/>
      <c r="VT737"/>
      <c r="VU737"/>
      <c r="VV737"/>
      <c r="VW737"/>
      <c r="VX737"/>
      <c r="VY737"/>
      <c r="VZ737"/>
      <c r="WA737"/>
      <c r="WB737"/>
      <c r="WC737"/>
      <c r="WD737"/>
      <c r="WE737"/>
      <c r="WF737"/>
      <c r="WG737"/>
      <c r="WH737"/>
      <c r="WI737"/>
      <c r="WJ737"/>
      <c r="WK737"/>
      <c r="WL737"/>
      <c r="WM737"/>
      <c r="WN737"/>
      <c r="WO737"/>
      <c r="WP737"/>
      <c r="WQ737"/>
      <c r="WR737"/>
      <c r="WS737"/>
      <c r="WT737"/>
      <c r="WU737"/>
      <c r="WV737"/>
      <c r="WW737"/>
      <c r="WX737"/>
      <c r="WY737"/>
      <c r="WZ737"/>
      <c r="XA737"/>
      <c r="XB737"/>
      <c r="XC737"/>
      <c r="XD737"/>
      <c r="XE737"/>
      <c r="XF737"/>
      <c r="XG737"/>
      <c r="XH737"/>
      <c r="XI737"/>
      <c r="XJ737"/>
      <c r="XK737"/>
      <c r="XL737"/>
      <c r="XM737"/>
      <c r="XN737"/>
      <c r="XO737"/>
      <c r="XP737"/>
      <c r="XQ737"/>
      <c r="XR737"/>
      <c r="XS737"/>
      <c r="XT737"/>
      <c r="XU737"/>
      <c r="XV737"/>
      <c r="XW737"/>
      <c r="XX737"/>
      <c r="XY737"/>
      <c r="XZ737"/>
      <c r="YA737"/>
      <c r="YB737"/>
      <c r="YC737"/>
      <c r="YD737"/>
      <c r="YE737"/>
      <c r="YF737"/>
      <c r="YG737"/>
      <c r="YH737"/>
      <c r="YI737"/>
      <c r="YJ737"/>
      <c r="YK737"/>
      <c r="YL737"/>
      <c r="YM737"/>
      <c r="YN737"/>
      <c r="YO737"/>
      <c r="YP737"/>
      <c r="YQ737"/>
      <c r="YR737"/>
      <c r="YS737"/>
      <c r="YT737"/>
      <c r="YU737"/>
      <c r="YV737"/>
      <c r="YW737"/>
      <c r="YX737"/>
      <c r="YY737"/>
      <c r="YZ737"/>
      <c r="ZA737"/>
      <c r="ZB737"/>
      <c r="ZC737"/>
      <c r="ZD737"/>
      <c r="ZE737"/>
      <c r="ZF737"/>
      <c r="ZG737"/>
      <c r="ZH737"/>
      <c r="ZI737"/>
      <c r="ZJ737"/>
      <c r="ZK737"/>
      <c r="ZL737"/>
      <c r="ZM737"/>
      <c r="ZN737"/>
      <c r="ZO737"/>
      <c r="ZP737"/>
      <c r="ZQ737"/>
      <c r="ZR737"/>
      <c r="ZS737"/>
      <c r="ZT737"/>
      <c r="ZU737"/>
      <c r="ZV737"/>
      <c r="ZW737"/>
      <c r="ZX737"/>
      <c r="ZY737"/>
      <c r="ZZ737" s="52"/>
      <c r="AAA737" s="192"/>
      <c r="AAD737" s="90"/>
      <c r="AAE737" s="519">
        <v>1</v>
      </c>
      <c r="AAF737" s="190" t="s">
        <v>52</v>
      </c>
      <c r="AAG737" s="84"/>
      <c r="AAH737" s="84"/>
      <c r="AAI737" s="72"/>
      <c r="AAJ737" s="74"/>
      <c r="AAK737" s="53"/>
      <c r="AAL737" s="90"/>
    </row>
    <row r="738" spans="1:714" s="23" customFormat="1" ht="15" customHeight="1" outlineLevel="1">
      <c r="A738" s="171"/>
      <c r="B738" s="289" t="s">
        <v>180</v>
      </c>
      <c r="C738" s="420"/>
      <c r="D738" s="434"/>
      <c r="E738" s="350"/>
      <c r="F738" s="350"/>
      <c r="G738" s="420"/>
      <c r="H738" s="420"/>
      <c r="I738" s="244"/>
      <c r="J738" s="194"/>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9"/>
      <c r="BN738" s="49"/>
      <c r="BO738" s="49"/>
      <c r="BP738" s="49"/>
      <c r="BQ738" s="49"/>
      <c r="BR738" s="49"/>
      <c r="BS738" s="49"/>
      <c r="BT738" s="49"/>
      <c r="BU738" s="49"/>
      <c r="BV738" s="49"/>
      <c r="BW738" s="49"/>
      <c r="BX738" s="49"/>
      <c r="BY738" s="49"/>
      <c r="BZ738" s="49"/>
      <c r="CA738" s="49"/>
      <c r="CB738" s="49"/>
      <c r="CC738" s="49"/>
      <c r="CD738" s="49"/>
      <c r="CE738" s="49"/>
      <c r="CF738" s="49"/>
      <c r="CG738" s="49"/>
      <c r="CH738" s="49"/>
      <c r="CI738" s="49"/>
      <c r="CJ738" s="49"/>
      <c r="CK738" s="49"/>
      <c r="CL738" s="49"/>
      <c r="CM738" s="49"/>
      <c r="CN738" s="49"/>
      <c r="CO738" s="49"/>
      <c r="CP738" s="49"/>
      <c r="CQ738" s="49"/>
      <c r="CR738" s="49"/>
      <c r="CS738" s="49"/>
      <c r="CT738" s="49"/>
      <c r="CU738" s="49"/>
      <c r="CV738" s="49"/>
      <c r="CW738" s="49"/>
      <c r="CX738" s="49"/>
      <c r="CY738" s="49"/>
      <c r="CZ738" s="49"/>
      <c r="DA738" s="49"/>
      <c r="DB738" s="49"/>
      <c r="DC738" s="49"/>
      <c r="DD738" s="49"/>
      <c r="DE738" s="49"/>
      <c r="DF738" s="49"/>
      <c r="DG738" s="49"/>
      <c r="DH738" s="49"/>
      <c r="DI738" s="49"/>
      <c r="DJ738" s="49"/>
      <c r="DK738" s="49"/>
      <c r="DL738" s="49"/>
      <c r="DM738" s="49"/>
      <c r="DN738" s="49"/>
      <c r="DO738" s="49"/>
      <c r="DP738" s="49"/>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c r="IW738"/>
      <c r="IX738"/>
      <c r="IY738"/>
      <c r="IZ738"/>
      <c r="JA738"/>
      <c r="JB738"/>
      <c r="JC738"/>
      <c r="JD738"/>
      <c r="JE738"/>
      <c r="JF738"/>
      <c r="JG738"/>
      <c r="JH738"/>
      <c r="JI738"/>
      <c r="JJ738"/>
      <c r="JK738"/>
      <c r="JL738"/>
      <c r="JM738"/>
      <c r="JN738"/>
      <c r="JO738"/>
      <c r="JP738"/>
      <c r="JQ738"/>
      <c r="JR738"/>
      <c r="JS738"/>
      <c r="JT738"/>
      <c r="JU738"/>
      <c r="JV738"/>
      <c r="JW738"/>
      <c r="JX738"/>
      <c r="JY738"/>
      <c r="JZ738"/>
      <c r="KA738"/>
      <c r="KB738"/>
      <c r="KC738"/>
      <c r="KD738"/>
      <c r="KE738"/>
      <c r="KF738"/>
      <c r="KG738"/>
      <c r="KH738"/>
      <c r="KI738"/>
      <c r="KJ738"/>
      <c r="KK738"/>
      <c r="KL738"/>
      <c r="KM738"/>
      <c r="KN738"/>
      <c r="KO738"/>
      <c r="KP738"/>
      <c r="KQ738"/>
      <c r="KR738"/>
      <c r="KS738"/>
      <c r="KT738"/>
      <c r="KU738"/>
      <c r="KV738"/>
      <c r="KW738"/>
      <c r="KX738"/>
      <c r="KY738"/>
      <c r="KZ738"/>
      <c r="LA738"/>
      <c r="LB738"/>
      <c r="LC738"/>
      <c r="LD738"/>
      <c r="LE738"/>
      <c r="LF738"/>
      <c r="LG738"/>
      <c r="LH738"/>
      <c r="LI738"/>
      <c r="LJ738"/>
      <c r="LK738"/>
      <c r="LL738"/>
      <c r="LM738"/>
      <c r="LN738"/>
      <c r="LO738"/>
      <c r="LP738"/>
      <c r="LQ738"/>
      <c r="LR738"/>
      <c r="LS738"/>
      <c r="LT738"/>
      <c r="LU738"/>
      <c r="LV738"/>
      <c r="LW738"/>
      <c r="LX738"/>
      <c r="LY738"/>
      <c r="LZ738"/>
      <c r="MA738"/>
      <c r="MB738"/>
      <c r="MC738"/>
      <c r="MD738"/>
      <c r="ME738"/>
      <c r="MF738"/>
      <c r="MG738"/>
      <c r="MH738"/>
      <c r="MI738"/>
      <c r="MJ738"/>
      <c r="MK738"/>
      <c r="ML738"/>
      <c r="MM738"/>
      <c r="MN738"/>
      <c r="MO738"/>
      <c r="MP738"/>
      <c r="MQ738"/>
      <c r="MR738"/>
      <c r="MS738"/>
      <c r="MT738"/>
      <c r="MU738"/>
      <c r="MV738"/>
      <c r="MW738"/>
      <c r="MX738"/>
      <c r="MY738"/>
      <c r="MZ738"/>
      <c r="NA738"/>
      <c r="NB738"/>
      <c r="NC738"/>
      <c r="ND738"/>
      <c r="NE738"/>
      <c r="NF738"/>
      <c r="NG738"/>
      <c r="NH738"/>
      <c r="NI738"/>
      <c r="NJ738"/>
      <c r="NK738"/>
      <c r="NL738"/>
      <c r="NM738"/>
      <c r="NN738"/>
      <c r="NO738"/>
      <c r="NP738"/>
      <c r="NQ738"/>
      <c r="NR738"/>
      <c r="NS738"/>
      <c r="NT738"/>
      <c r="NU738"/>
      <c r="NV738"/>
      <c r="NW738"/>
      <c r="NX738"/>
      <c r="NY738"/>
      <c r="NZ738"/>
      <c r="OA738"/>
      <c r="OB738"/>
      <c r="OC738"/>
      <c r="OD738"/>
      <c r="OE738"/>
      <c r="OF738"/>
      <c r="OG738"/>
      <c r="OH738"/>
      <c r="OI738"/>
      <c r="OJ738"/>
      <c r="OK738"/>
      <c r="OL738"/>
      <c r="OM738"/>
      <c r="ON738"/>
      <c r="OO738"/>
      <c r="OP738"/>
      <c r="OQ738"/>
      <c r="OR738"/>
      <c r="OS738"/>
      <c r="OT738"/>
      <c r="OU738"/>
      <c r="OV738"/>
      <c r="OW738"/>
      <c r="OX738"/>
      <c r="OY738"/>
      <c r="OZ738"/>
      <c r="PA738"/>
      <c r="PB738"/>
      <c r="PC738"/>
      <c r="PD738"/>
      <c r="PE738"/>
      <c r="PF738"/>
      <c r="PG738"/>
      <c r="PH738"/>
      <c r="PI738"/>
      <c r="PJ738"/>
      <c r="PK738"/>
      <c r="PL738"/>
      <c r="PM738"/>
      <c r="PN738"/>
      <c r="PO738"/>
      <c r="PP738"/>
      <c r="PQ738"/>
      <c r="PR738"/>
      <c r="PS738"/>
      <c r="PT738"/>
      <c r="PU738"/>
      <c r="PV738"/>
      <c r="PW738"/>
      <c r="PX738"/>
      <c r="PY738"/>
      <c r="PZ738"/>
      <c r="QA738"/>
      <c r="QB738"/>
      <c r="QC738"/>
      <c r="QD738"/>
      <c r="QE738"/>
      <c r="QF738"/>
      <c r="QG738"/>
      <c r="QH738"/>
      <c r="QI738"/>
      <c r="QJ738"/>
      <c r="QK738"/>
      <c r="QL738"/>
      <c r="QM738"/>
      <c r="QN738"/>
      <c r="QO738"/>
      <c r="QP738"/>
      <c r="QQ738"/>
      <c r="QR738"/>
      <c r="QS738"/>
      <c r="QT738"/>
      <c r="QU738"/>
      <c r="QV738"/>
      <c r="QW738"/>
      <c r="QX738"/>
      <c r="QY738"/>
      <c r="QZ738"/>
      <c r="RA738"/>
      <c r="RB738"/>
      <c r="RC738"/>
      <c r="RD738"/>
      <c r="RE738"/>
      <c r="RF738"/>
      <c r="RG738"/>
      <c r="RH738"/>
      <c r="RI738"/>
      <c r="RJ738"/>
      <c r="RK738"/>
      <c r="RL738"/>
      <c r="RM738"/>
      <c r="RN738"/>
      <c r="RO738"/>
      <c r="RP738"/>
      <c r="RQ738"/>
      <c r="RR738"/>
      <c r="RS738"/>
      <c r="RT738"/>
      <c r="RU738"/>
      <c r="RV738"/>
      <c r="RW738"/>
      <c r="RX738"/>
      <c r="RY738"/>
      <c r="RZ738"/>
      <c r="SA738"/>
      <c r="SB738"/>
      <c r="SC738"/>
      <c r="SD738"/>
      <c r="SE738"/>
      <c r="SF738"/>
      <c r="SG738"/>
      <c r="SH738"/>
      <c r="SI738"/>
      <c r="SJ738"/>
      <c r="SK738"/>
      <c r="SL738"/>
      <c r="SM738"/>
      <c r="SN738"/>
      <c r="SO738"/>
      <c r="SP738"/>
      <c r="SQ738"/>
      <c r="SR738"/>
      <c r="SS738"/>
      <c r="ST738"/>
      <c r="SU738"/>
      <c r="SV738"/>
      <c r="SW738"/>
      <c r="SX738"/>
      <c r="SY738"/>
      <c r="SZ738"/>
      <c r="TA738"/>
      <c r="TB738"/>
      <c r="TC738"/>
      <c r="TD738"/>
      <c r="TE738"/>
      <c r="TF738"/>
      <c r="TG738"/>
      <c r="TH738"/>
      <c r="TI738"/>
      <c r="TJ738"/>
      <c r="TK738"/>
      <c r="TL738"/>
      <c r="TM738"/>
      <c r="TN738"/>
      <c r="TO738"/>
      <c r="TP738"/>
      <c r="TQ738"/>
      <c r="TR738"/>
      <c r="TS738"/>
      <c r="TT738"/>
      <c r="TU738"/>
      <c r="TV738"/>
      <c r="TW738"/>
      <c r="TX738"/>
      <c r="TY738"/>
      <c r="TZ738"/>
      <c r="UA738"/>
      <c r="UB738"/>
      <c r="UC738"/>
      <c r="UD738"/>
      <c r="UE738"/>
      <c r="UF738"/>
      <c r="UG738"/>
      <c r="UH738"/>
      <c r="UI738"/>
      <c r="UJ738"/>
      <c r="UK738"/>
      <c r="UL738"/>
      <c r="UM738"/>
      <c r="UN738"/>
      <c r="UO738"/>
      <c r="UP738"/>
      <c r="UQ738"/>
      <c r="UR738"/>
      <c r="US738"/>
      <c r="UT738"/>
      <c r="UU738"/>
      <c r="UV738"/>
      <c r="UW738"/>
      <c r="UX738"/>
      <c r="UY738"/>
      <c r="UZ738"/>
      <c r="VA738"/>
      <c r="VB738"/>
      <c r="VC738"/>
      <c r="VD738"/>
      <c r="VE738"/>
      <c r="VF738"/>
      <c r="VG738"/>
      <c r="VH738"/>
      <c r="VI738"/>
      <c r="VJ738"/>
      <c r="VK738"/>
      <c r="VL738"/>
      <c r="VM738"/>
      <c r="VN738"/>
      <c r="VO738"/>
      <c r="VP738"/>
      <c r="VQ738"/>
      <c r="VR738"/>
      <c r="VS738"/>
      <c r="VT738"/>
      <c r="VU738"/>
      <c r="VV738"/>
      <c r="VW738"/>
      <c r="VX738"/>
      <c r="VY738"/>
      <c r="VZ738"/>
      <c r="WA738"/>
      <c r="WB738"/>
      <c r="WC738"/>
      <c r="WD738"/>
      <c r="WE738"/>
      <c r="WF738"/>
      <c r="WG738"/>
      <c r="WH738"/>
      <c r="WI738"/>
      <c r="WJ738"/>
      <c r="WK738"/>
      <c r="WL738"/>
      <c r="WM738"/>
      <c r="WN738"/>
      <c r="WO738"/>
      <c r="WP738"/>
      <c r="WQ738"/>
      <c r="WR738"/>
      <c r="WS738"/>
      <c r="WT738"/>
      <c r="WU738"/>
      <c r="WV738"/>
      <c r="WW738"/>
      <c r="WX738"/>
      <c r="WY738"/>
      <c r="WZ738"/>
      <c r="XA738"/>
      <c r="XB738"/>
      <c r="XC738"/>
      <c r="XD738"/>
      <c r="XE738"/>
      <c r="XF738"/>
      <c r="XG738"/>
      <c r="XH738"/>
      <c r="XI738"/>
      <c r="XJ738"/>
      <c r="XK738"/>
      <c r="XL738"/>
      <c r="XM738"/>
      <c r="XN738"/>
      <c r="XO738"/>
      <c r="XP738"/>
      <c r="XQ738"/>
      <c r="XR738"/>
      <c r="XS738"/>
      <c r="XT738"/>
      <c r="XU738"/>
      <c r="XV738"/>
      <c r="XW738"/>
      <c r="XX738"/>
      <c r="XY738"/>
      <c r="XZ738"/>
      <c r="YA738"/>
      <c r="YB738"/>
      <c r="YC738"/>
      <c r="YD738"/>
      <c r="YE738"/>
      <c r="YF738"/>
      <c r="YG738"/>
      <c r="YH738"/>
      <c r="YI738"/>
      <c r="YJ738"/>
      <c r="YK738"/>
      <c r="YL738"/>
      <c r="YM738"/>
      <c r="YN738"/>
      <c r="YO738"/>
      <c r="YP738"/>
      <c r="YQ738"/>
      <c r="YR738"/>
      <c r="YS738"/>
      <c r="YT738"/>
      <c r="YU738"/>
      <c r="YV738"/>
      <c r="YW738"/>
      <c r="YX738"/>
      <c r="YY738"/>
      <c r="YZ738"/>
      <c r="ZA738"/>
      <c r="ZB738"/>
      <c r="ZC738"/>
      <c r="ZD738"/>
      <c r="ZE738"/>
      <c r="ZF738"/>
      <c r="ZG738"/>
      <c r="ZH738"/>
      <c r="ZI738"/>
      <c r="ZJ738"/>
      <c r="ZK738"/>
      <c r="ZL738"/>
      <c r="ZM738"/>
      <c r="ZN738"/>
      <c r="ZO738"/>
      <c r="ZP738"/>
      <c r="ZQ738"/>
      <c r="ZR738"/>
      <c r="ZS738"/>
      <c r="ZT738"/>
      <c r="ZU738"/>
      <c r="ZV738"/>
      <c r="ZW738"/>
      <c r="ZX738"/>
      <c r="ZY738"/>
      <c r="ZZ738" s="52"/>
      <c r="AAA738" s="192"/>
      <c r="AAD738" s="90"/>
      <c r="AAE738" s="519">
        <v>1</v>
      </c>
      <c r="AAF738" s="190" t="s">
        <v>52</v>
      </c>
      <c r="AAG738" s="84"/>
      <c r="AAH738" s="84"/>
      <c r="AAI738" s="745"/>
      <c r="AAJ738" s="74"/>
      <c r="AAK738" s="53"/>
      <c r="AAL738" s="90"/>
    </row>
    <row r="739" spans="1:714" s="23" customFormat="1" ht="15" customHeight="1" outlineLevel="1">
      <c r="A739" s="171"/>
      <c r="B739" s="289" t="s">
        <v>181</v>
      </c>
      <c r="C739" s="420"/>
      <c r="D739" s="434"/>
      <c r="E739" s="350"/>
      <c r="F739" s="350"/>
      <c r="G739" s="420"/>
      <c r="H739" s="420"/>
      <c r="I739" s="244"/>
      <c r="J739" s="194"/>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c r="BG739" s="49"/>
      <c r="BH739" s="49"/>
      <c r="BI739" s="49"/>
      <c r="BJ739" s="49"/>
      <c r="BK739" s="49"/>
      <c r="BL739" s="49"/>
      <c r="BM739" s="49"/>
      <c r="BN739" s="49"/>
      <c r="BO739" s="49"/>
      <c r="BP739" s="49"/>
      <c r="BQ739" s="49"/>
      <c r="BR739" s="49"/>
      <c r="BS739" s="49"/>
      <c r="BT739" s="49"/>
      <c r="BU739" s="49"/>
      <c r="BV739" s="49"/>
      <c r="BW739" s="49"/>
      <c r="BX739" s="49"/>
      <c r="BY739" s="49"/>
      <c r="BZ739" s="49"/>
      <c r="CA739" s="49"/>
      <c r="CB739" s="49"/>
      <c r="CC739" s="49"/>
      <c r="CD739" s="49"/>
      <c r="CE739" s="49"/>
      <c r="CF739" s="49"/>
      <c r="CG739" s="49"/>
      <c r="CH739" s="49"/>
      <c r="CI739" s="49"/>
      <c r="CJ739" s="49"/>
      <c r="CK739" s="49"/>
      <c r="CL739" s="49"/>
      <c r="CM739" s="49"/>
      <c r="CN739" s="49"/>
      <c r="CO739" s="49"/>
      <c r="CP739" s="49"/>
      <c r="CQ739" s="49"/>
      <c r="CR739" s="49"/>
      <c r="CS739" s="49"/>
      <c r="CT739" s="49"/>
      <c r="CU739" s="49"/>
      <c r="CV739" s="49"/>
      <c r="CW739" s="49"/>
      <c r="CX739" s="49"/>
      <c r="CY739" s="49"/>
      <c r="CZ739" s="49"/>
      <c r="DA739" s="49"/>
      <c r="DB739" s="49"/>
      <c r="DC739" s="49"/>
      <c r="DD739" s="49"/>
      <c r="DE739" s="49"/>
      <c r="DF739" s="49"/>
      <c r="DG739" s="49"/>
      <c r="DH739" s="49"/>
      <c r="DI739" s="49"/>
      <c r="DJ739" s="49"/>
      <c r="DK739" s="49"/>
      <c r="DL739" s="49"/>
      <c r="DM739" s="49"/>
      <c r="DN739" s="49"/>
      <c r="DO739" s="49"/>
      <c r="DP739" s="4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c r="IW739"/>
      <c r="IX739"/>
      <c r="IY739"/>
      <c r="IZ739"/>
      <c r="JA739"/>
      <c r="JB739"/>
      <c r="JC739"/>
      <c r="JD739"/>
      <c r="JE739"/>
      <c r="JF739"/>
      <c r="JG739"/>
      <c r="JH739"/>
      <c r="JI739"/>
      <c r="JJ739"/>
      <c r="JK739"/>
      <c r="JL739"/>
      <c r="JM739"/>
      <c r="JN739"/>
      <c r="JO739"/>
      <c r="JP739"/>
      <c r="JQ739"/>
      <c r="JR739"/>
      <c r="JS739"/>
      <c r="JT739"/>
      <c r="JU739"/>
      <c r="JV739"/>
      <c r="JW739"/>
      <c r="JX739"/>
      <c r="JY739"/>
      <c r="JZ739"/>
      <c r="KA739"/>
      <c r="KB739"/>
      <c r="KC739"/>
      <c r="KD739"/>
      <c r="KE739"/>
      <c r="KF739"/>
      <c r="KG739"/>
      <c r="KH739"/>
      <c r="KI739"/>
      <c r="KJ739"/>
      <c r="KK739"/>
      <c r="KL739"/>
      <c r="KM739"/>
      <c r="KN739"/>
      <c r="KO739"/>
      <c r="KP739"/>
      <c r="KQ739"/>
      <c r="KR739"/>
      <c r="KS739"/>
      <c r="KT739"/>
      <c r="KU739"/>
      <c r="KV739"/>
      <c r="KW739"/>
      <c r="KX739"/>
      <c r="KY739"/>
      <c r="KZ739"/>
      <c r="LA739"/>
      <c r="LB739"/>
      <c r="LC739"/>
      <c r="LD739"/>
      <c r="LE739"/>
      <c r="LF739"/>
      <c r="LG739"/>
      <c r="LH739"/>
      <c r="LI739"/>
      <c r="LJ739"/>
      <c r="LK739"/>
      <c r="LL739"/>
      <c r="LM739"/>
      <c r="LN739"/>
      <c r="LO739"/>
      <c r="LP739"/>
      <c r="LQ739"/>
      <c r="LR739"/>
      <c r="LS739"/>
      <c r="LT739"/>
      <c r="LU739"/>
      <c r="LV739"/>
      <c r="LW739"/>
      <c r="LX739"/>
      <c r="LY739"/>
      <c r="LZ739"/>
      <c r="MA739"/>
      <c r="MB739"/>
      <c r="MC739"/>
      <c r="MD739"/>
      <c r="ME739"/>
      <c r="MF739"/>
      <c r="MG739"/>
      <c r="MH739"/>
      <c r="MI739"/>
      <c r="MJ739"/>
      <c r="MK739"/>
      <c r="ML739"/>
      <c r="MM739"/>
      <c r="MN739"/>
      <c r="MO739"/>
      <c r="MP739"/>
      <c r="MQ739"/>
      <c r="MR739"/>
      <c r="MS739"/>
      <c r="MT739"/>
      <c r="MU739"/>
      <c r="MV739"/>
      <c r="MW739"/>
      <c r="MX739"/>
      <c r="MY739"/>
      <c r="MZ739"/>
      <c r="NA739"/>
      <c r="NB739"/>
      <c r="NC739"/>
      <c r="ND739"/>
      <c r="NE739"/>
      <c r="NF739"/>
      <c r="NG739"/>
      <c r="NH739"/>
      <c r="NI739"/>
      <c r="NJ739"/>
      <c r="NK739"/>
      <c r="NL739"/>
      <c r="NM739"/>
      <c r="NN739"/>
      <c r="NO739"/>
      <c r="NP739"/>
      <c r="NQ739"/>
      <c r="NR739"/>
      <c r="NS739"/>
      <c r="NT739"/>
      <c r="NU739"/>
      <c r="NV739"/>
      <c r="NW739"/>
      <c r="NX739"/>
      <c r="NY739"/>
      <c r="NZ739"/>
      <c r="OA739"/>
      <c r="OB739"/>
      <c r="OC739"/>
      <c r="OD739"/>
      <c r="OE739"/>
      <c r="OF739"/>
      <c r="OG739"/>
      <c r="OH739"/>
      <c r="OI739"/>
      <c r="OJ739"/>
      <c r="OK739"/>
      <c r="OL739"/>
      <c r="OM739"/>
      <c r="ON739"/>
      <c r="OO739"/>
      <c r="OP739"/>
      <c r="OQ739"/>
      <c r="OR739"/>
      <c r="OS739"/>
      <c r="OT739"/>
      <c r="OU739"/>
      <c r="OV739"/>
      <c r="OW739"/>
      <c r="OX739"/>
      <c r="OY739"/>
      <c r="OZ739"/>
      <c r="PA739"/>
      <c r="PB739"/>
      <c r="PC739"/>
      <c r="PD739"/>
      <c r="PE739"/>
      <c r="PF739"/>
      <c r="PG739"/>
      <c r="PH739"/>
      <c r="PI739"/>
      <c r="PJ739"/>
      <c r="PK739"/>
      <c r="PL739"/>
      <c r="PM739"/>
      <c r="PN739"/>
      <c r="PO739"/>
      <c r="PP739"/>
      <c r="PQ739"/>
      <c r="PR739"/>
      <c r="PS739"/>
      <c r="PT739"/>
      <c r="PU739"/>
      <c r="PV739"/>
      <c r="PW739"/>
      <c r="PX739"/>
      <c r="PY739"/>
      <c r="PZ739"/>
      <c r="QA739"/>
      <c r="QB739"/>
      <c r="QC739"/>
      <c r="QD739"/>
      <c r="QE739"/>
      <c r="QF739"/>
      <c r="QG739"/>
      <c r="QH739"/>
      <c r="QI739"/>
      <c r="QJ739"/>
      <c r="QK739"/>
      <c r="QL739"/>
      <c r="QM739"/>
      <c r="QN739"/>
      <c r="QO739"/>
      <c r="QP739"/>
      <c r="QQ739"/>
      <c r="QR739"/>
      <c r="QS739"/>
      <c r="QT739"/>
      <c r="QU739"/>
      <c r="QV739"/>
      <c r="QW739"/>
      <c r="QX739"/>
      <c r="QY739"/>
      <c r="QZ739"/>
      <c r="RA739"/>
      <c r="RB739"/>
      <c r="RC739"/>
      <c r="RD739"/>
      <c r="RE739"/>
      <c r="RF739"/>
      <c r="RG739"/>
      <c r="RH739"/>
      <c r="RI739"/>
      <c r="RJ739"/>
      <c r="RK739"/>
      <c r="RL739"/>
      <c r="RM739"/>
      <c r="RN739"/>
      <c r="RO739"/>
      <c r="RP739"/>
      <c r="RQ739"/>
      <c r="RR739"/>
      <c r="RS739"/>
      <c r="RT739"/>
      <c r="RU739"/>
      <c r="RV739"/>
      <c r="RW739"/>
      <c r="RX739"/>
      <c r="RY739"/>
      <c r="RZ739"/>
      <c r="SA739"/>
      <c r="SB739"/>
      <c r="SC739"/>
      <c r="SD739"/>
      <c r="SE739"/>
      <c r="SF739"/>
      <c r="SG739"/>
      <c r="SH739"/>
      <c r="SI739"/>
      <c r="SJ739"/>
      <c r="SK739"/>
      <c r="SL739"/>
      <c r="SM739"/>
      <c r="SN739"/>
      <c r="SO739"/>
      <c r="SP739"/>
      <c r="SQ739"/>
      <c r="SR739"/>
      <c r="SS739"/>
      <c r="ST739"/>
      <c r="SU739"/>
      <c r="SV739"/>
      <c r="SW739"/>
      <c r="SX739"/>
      <c r="SY739"/>
      <c r="SZ739"/>
      <c r="TA739"/>
      <c r="TB739"/>
      <c r="TC739"/>
      <c r="TD739"/>
      <c r="TE739"/>
      <c r="TF739"/>
      <c r="TG739"/>
      <c r="TH739"/>
      <c r="TI739"/>
      <c r="TJ739"/>
      <c r="TK739"/>
      <c r="TL739"/>
      <c r="TM739"/>
      <c r="TN739"/>
      <c r="TO739"/>
      <c r="TP739"/>
      <c r="TQ739"/>
      <c r="TR739"/>
      <c r="TS739"/>
      <c r="TT739"/>
      <c r="TU739"/>
      <c r="TV739"/>
      <c r="TW739"/>
      <c r="TX739"/>
      <c r="TY739"/>
      <c r="TZ739"/>
      <c r="UA739"/>
      <c r="UB739"/>
      <c r="UC739"/>
      <c r="UD739"/>
      <c r="UE739"/>
      <c r="UF739"/>
      <c r="UG739"/>
      <c r="UH739"/>
      <c r="UI739"/>
      <c r="UJ739"/>
      <c r="UK739"/>
      <c r="UL739"/>
      <c r="UM739"/>
      <c r="UN739"/>
      <c r="UO739"/>
      <c r="UP739"/>
      <c r="UQ739"/>
      <c r="UR739"/>
      <c r="US739"/>
      <c r="UT739"/>
      <c r="UU739"/>
      <c r="UV739"/>
      <c r="UW739"/>
      <c r="UX739"/>
      <c r="UY739"/>
      <c r="UZ739"/>
      <c r="VA739"/>
      <c r="VB739"/>
      <c r="VC739"/>
      <c r="VD739"/>
      <c r="VE739"/>
      <c r="VF739"/>
      <c r="VG739"/>
      <c r="VH739"/>
      <c r="VI739"/>
      <c r="VJ739"/>
      <c r="VK739"/>
      <c r="VL739"/>
      <c r="VM739"/>
      <c r="VN739"/>
      <c r="VO739"/>
      <c r="VP739"/>
      <c r="VQ739"/>
      <c r="VR739"/>
      <c r="VS739"/>
      <c r="VT739"/>
      <c r="VU739"/>
      <c r="VV739"/>
      <c r="VW739"/>
      <c r="VX739"/>
      <c r="VY739"/>
      <c r="VZ739"/>
      <c r="WA739"/>
      <c r="WB739"/>
      <c r="WC739"/>
      <c r="WD739"/>
      <c r="WE739"/>
      <c r="WF739"/>
      <c r="WG739"/>
      <c r="WH739"/>
      <c r="WI739"/>
      <c r="WJ739"/>
      <c r="WK739"/>
      <c r="WL739"/>
      <c r="WM739"/>
      <c r="WN739"/>
      <c r="WO739"/>
      <c r="WP739"/>
      <c r="WQ739"/>
      <c r="WR739"/>
      <c r="WS739"/>
      <c r="WT739"/>
      <c r="WU739"/>
      <c r="WV739"/>
      <c r="WW739"/>
      <c r="WX739"/>
      <c r="WY739"/>
      <c r="WZ739"/>
      <c r="XA739"/>
      <c r="XB739"/>
      <c r="XC739"/>
      <c r="XD739"/>
      <c r="XE739"/>
      <c r="XF739"/>
      <c r="XG739"/>
      <c r="XH739"/>
      <c r="XI739"/>
      <c r="XJ739"/>
      <c r="XK739"/>
      <c r="XL739"/>
      <c r="XM739"/>
      <c r="XN739"/>
      <c r="XO739"/>
      <c r="XP739"/>
      <c r="XQ739"/>
      <c r="XR739"/>
      <c r="XS739"/>
      <c r="XT739"/>
      <c r="XU739"/>
      <c r="XV739"/>
      <c r="XW739"/>
      <c r="XX739"/>
      <c r="XY739"/>
      <c r="XZ739"/>
      <c r="YA739"/>
      <c r="YB739"/>
      <c r="YC739"/>
      <c r="YD739"/>
      <c r="YE739"/>
      <c r="YF739"/>
      <c r="YG739"/>
      <c r="YH739"/>
      <c r="YI739"/>
      <c r="YJ739"/>
      <c r="YK739"/>
      <c r="YL739"/>
      <c r="YM739"/>
      <c r="YN739"/>
      <c r="YO739"/>
      <c r="YP739"/>
      <c r="YQ739"/>
      <c r="YR739"/>
      <c r="YS739"/>
      <c r="YT739"/>
      <c r="YU739"/>
      <c r="YV739"/>
      <c r="YW739"/>
      <c r="YX739"/>
      <c r="YY739"/>
      <c r="YZ739"/>
      <c r="ZA739"/>
      <c r="ZB739"/>
      <c r="ZC739"/>
      <c r="ZD739"/>
      <c r="ZE739"/>
      <c r="ZF739"/>
      <c r="ZG739"/>
      <c r="ZH739"/>
      <c r="ZI739"/>
      <c r="ZJ739"/>
      <c r="ZK739"/>
      <c r="ZL739"/>
      <c r="ZM739"/>
      <c r="ZN739"/>
      <c r="ZO739"/>
      <c r="ZP739"/>
      <c r="ZQ739"/>
      <c r="ZR739"/>
      <c r="ZS739"/>
      <c r="ZT739"/>
      <c r="ZU739"/>
      <c r="ZV739"/>
      <c r="ZW739"/>
      <c r="ZX739"/>
      <c r="ZY739"/>
      <c r="ZZ739" s="52"/>
      <c r="AAA739" s="192"/>
      <c r="AAD739" s="90"/>
      <c r="AAE739" s="519">
        <v>1</v>
      </c>
      <c r="AAF739" s="190" t="s">
        <v>52</v>
      </c>
      <c r="AAG739" s="84"/>
      <c r="AAH739" s="84"/>
      <c r="AAI739" s="72"/>
      <c r="AAJ739" s="74"/>
      <c r="AAK739" s="53"/>
      <c r="AAL739" s="90"/>
    </row>
    <row r="740" spans="1:714" s="23" customFormat="1" ht="15" customHeight="1" outlineLevel="1">
      <c r="A740" s="171"/>
      <c r="B740" s="289" t="s">
        <v>182</v>
      </c>
      <c r="C740" s="420"/>
      <c r="D740" s="434"/>
      <c r="E740" s="350"/>
      <c r="F740" s="350"/>
      <c r="G740" s="420"/>
      <c r="H740" s="420"/>
      <c r="I740" s="244"/>
      <c r="J740" s="194"/>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c r="BG740" s="49"/>
      <c r="BH740" s="49"/>
      <c r="BI740" s="49"/>
      <c r="BJ740" s="49"/>
      <c r="BK740" s="49"/>
      <c r="BL740" s="49"/>
      <c r="BM740" s="49"/>
      <c r="BN740" s="49"/>
      <c r="BO740" s="49"/>
      <c r="BP740" s="49"/>
      <c r="BQ740" s="49"/>
      <c r="BR740" s="49"/>
      <c r="BS740" s="49"/>
      <c r="BT740" s="49"/>
      <c r="BU740" s="49"/>
      <c r="BV740" s="49"/>
      <c r="BW740" s="49"/>
      <c r="BX740" s="49"/>
      <c r="BY740" s="49"/>
      <c r="BZ740" s="49"/>
      <c r="CA740" s="49"/>
      <c r="CB740" s="49"/>
      <c r="CC740" s="49"/>
      <c r="CD740" s="49"/>
      <c r="CE740" s="49"/>
      <c r="CF740" s="49"/>
      <c r="CG740" s="49"/>
      <c r="CH740" s="49"/>
      <c r="CI740" s="49"/>
      <c r="CJ740" s="49"/>
      <c r="CK740" s="49"/>
      <c r="CL740" s="49"/>
      <c r="CM740" s="49"/>
      <c r="CN740" s="49"/>
      <c r="CO740" s="49"/>
      <c r="CP740" s="49"/>
      <c r="CQ740" s="49"/>
      <c r="CR740" s="49"/>
      <c r="CS740" s="49"/>
      <c r="CT740" s="49"/>
      <c r="CU740" s="49"/>
      <c r="CV740" s="49"/>
      <c r="CW740" s="49"/>
      <c r="CX740" s="49"/>
      <c r="CY740" s="49"/>
      <c r="CZ740" s="49"/>
      <c r="DA740" s="49"/>
      <c r="DB740" s="49"/>
      <c r="DC740" s="49"/>
      <c r="DD740" s="49"/>
      <c r="DE740" s="49"/>
      <c r="DF740" s="49"/>
      <c r="DG740" s="49"/>
      <c r="DH740" s="49"/>
      <c r="DI740" s="49"/>
      <c r="DJ740" s="49"/>
      <c r="DK740" s="49"/>
      <c r="DL740" s="49"/>
      <c r="DM740" s="49"/>
      <c r="DN740" s="49"/>
      <c r="DO740" s="49"/>
      <c r="DP740" s="49"/>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c r="IW740"/>
      <c r="IX740"/>
      <c r="IY740"/>
      <c r="IZ740"/>
      <c r="JA740"/>
      <c r="JB740"/>
      <c r="JC740"/>
      <c r="JD740"/>
      <c r="JE740"/>
      <c r="JF740"/>
      <c r="JG740"/>
      <c r="JH740"/>
      <c r="JI740"/>
      <c r="JJ740"/>
      <c r="JK740"/>
      <c r="JL740"/>
      <c r="JM740"/>
      <c r="JN740"/>
      <c r="JO740"/>
      <c r="JP740"/>
      <c r="JQ740"/>
      <c r="JR740"/>
      <c r="JS740"/>
      <c r="JT740"/>
      <c r="JU740"/>
      <c r="JV740"/>
      <c r="JW740"/>
      <c r="JX740"/>
      <c r="JY740"/>
      <c r="JZ740"/>
      <c r="KA740"/>
      <c r="KB740"/>
      <c r="KC740"/>
      <c r="KD740"/>
      <c r="KE740"/>
      <c r="KF740"/>
      <c r="KG740"/>
      <c r="KH740"/>
      <c r="KI740"/>
      <c r="KJ740"/>
      <c r="KK740"/>
      <c r="KL740"/>
      <c r="KM740"/>
      <c r="KN740"/>
      <c r="KO740"/>
      <c r="KP740"/>
      <c r="KQ740"/>
      <c r="KR740"/>
      <c r="KS740"/>
      <c r="KT740"/>
      <c r="KU740"/>
      <c r="KV740"/>
      <c r="KW740"/>
      <c r="KX740"/>
      <c r="KY740"/>
      <c r="KZ740"/>
      <c r="LA740"/>
      <c r="LB740"/>
      <c r="LC740"/>
      <c r="LD740"/>
      <c r="LE740"/>
      <c r="LF740"/>
      <c r="LG740"/>
      <c r="LH740"/>
      <c r="LI740"/>
      <c r="LJ740"/>
      <c r="LK740"/>
      <c r="LL740"/>
      <c r="LM740"/>
      <c r="LN740"/>
      <c r="LO740"/>
      <c r="LP740"/>
      <c r="LQ740"/>
      <c r="LR740"/>
      <c r="LS740"/>
      <c r="LT740"/>
      <c r="LU740"/>
      <c r="LV740"/>
      <c r="LW740"/>
      <c r="LX740"/>
      <c r="LY740"/>
      <c r="LZ740"/>
      <c r="MA740"/>
      <c r="MB740"/>
      <c r="MC740"/>
      <c r="MD740"/>
      <c r="ME740"/>
      <c r="MF740"/>
      <c r="MG740"/>
      <c r="MH740"/>
      <c r="MI740"/>
      <c r="MJ740"/>
      <c r="MK740"/>
      <c r="ML740"/>
      <c r="MM740"/>
      <c r="MN740"/>
      <c r="MO740"/>
      <c r="MP740"/>
      <c r="MQ740"/>
      <c r="MR740"/>
      <c r="MS740"/>
      <c r="MT740"/>
      <c r="MU740"/>
      <c r="MV740"/>
      <c r="MW740"/>
      <c r="MX740"/>
      <c r="MY740"/>
      <c r="MZ740"/>
      <c r="NA740"/>
      <c r="NB740"/>
      <c r="NC740"/>
      <c r="ND740"/>
      <c r="NE740"/>
      <c r="NF740"/>
      <c r="NG740"/>
      <c r="NH740"/>
      <c r="NI740"/>
      <c r="NJ740"/>
      <c r="NK740"/>
      <c r="NL740"/>
      <c r="NM740"/>
      <c r="NN740"/>
      <c r="NO740"/>
      <c r="NP740"/>
      <c r="NQ740"/>
      <c r="NR740"/>
      <c r="NS740"/>
      <c r="NT740"/>
      <c r="NU740"/>
      <c r="NV740"/>
      <c r="NW740"/>
      <c r="NX740"/>
      <c r="NY740"/>
      <c r="NZ740"/>
      <c r="OA740"/>
      <c r="OB740"/>
      <c r="OC740"/>
      <c r="OD740"/>
      <c r="OE740"/>
      <c r="OF740"/>
      <c r="OG740"/>
      <c r="OH740"/>
      <c r="OI740"/>
      <c r="OJ740"/>
      <c r="OK740"/>
      <c r="OL740"/>
      <c r="OM740"/>
      <c r="ON740"/>
      <c r="OO740"/>
      <c r="OP740"/>
      <c r="OQ740"/>
      <c r="OR740"/>
      <c r="OS740"/>
      <c r="OT740"/>
      <c r="OU740"/>
      <c r="OV740"/>
      <c r="OW740"/>
      <c r="OX740"/>
      <c r="OY740"/>
      <c r="OZ740"/>
      <c r="PA740"/>
      <c r="PB740"/>
      <c r="PC740"/>
      <c r="PD740"/>
      <c r="PE740"/>
      <c r="PF740"/>
      <c r="PG740"/>
      <c r="PH740"/>
      <c r="PI740"/>
      <c r="PJ740"/>
      <c r="PK740"/>
      <c r="PL740"/>
      <c r="PM740"/>
      <c r="PN740"/>
      <c r="PO740"/>
      <c r="PP740"/>
      <c r="PQ740"/>
      <c r="PR740"/>
      <c r="PS740"/>
      <c r="PT740"/>
      <c r="PU740"/>
      <c r="PV740"/>
      <c r="PW740"/>
      <c r="PX740"/>
      <c r="PY740"/>
      <c r="PZ740"/>
      <c r="QA740"/>
      <c r="QB740"/>
      <c r="QC740"/>
      <c r="QD740"/>
      <c r="QE740"/>
      <c r="QF740"/>
      <c r="QG740"/>
      <c r="QH740"/>
      <c r="QI740"/>
      <c r="QJ740"/>
      <c r="QK740"/>
      <c r="QL740"/>
      <c r="QM740"/>
      <c r="QN740"/>
      <c r="QO740"/>
      <c r="QP740"/>
      <c r="QQ740"/>
      <c r="QR740"/>
      <c r="QS740"/>
      <c r="QT740"/>
      <c r="QU740"/>
      <c r="QV740"/>
      <c r="QW740"/>
      <c r="QX740"/>
      <c r="QY740"/>
      <c r="QZ740"/>
      <c r="RA740"/>
      <c r="RB740"/>
      <c r="RC740"/>
      <c r="RD740"/>
      <c r="RE740"/>
      <c r="RF740"/>
      <c r="RG740"/>
      <c r="RH740"/>
      <c r="RI740"/>
      <c r="RJ740"/>
      <c r="RK740"/>
      <c r="RL740"/>
      <c r="RM740"/>
      <c r="RN740"/>
      <c r="RO740"/>
      <c r="RP740"/>
      <c r="RQ740"/>
      <c r="RR740"/>
      <c r="RS740"/>
      <c r="RT740"/>
      <c r="RU740"/>
      <c r="RV740"/>
      <c r="RW740"/>
      <c r="RX740"/>
      <c r="RY740"/>
      <c r="RZ740"/>
      <c r="SA740"/>
      <c r="SB740"/>
      <c r="SC740"/>
      <c r="SD740"/>
      <c r="SE740"/>
      <c r="SF740"/>
      <c r="SG740"/>
      <c r="SH740"/>
      <c r="SI740"/>
      <c r="SJ740"/>
      <c r="SK740"/>
      <c r="SL740"/>
      <c r="SM740"/>
      <c r="SN740"/>
      <c r="SO740"/>
      <c r="SP740"/>
      <c r="SQ740"/>
      <c r="SR740"/>
      <c r="SS740"/>
      <c r="ST740"/>
      <c r="SU740"/>
      <c r="SV740"/>
      <c r="SW740"/>
      <c r="SX740"/>
      <c r="SY740"/>
      <c r="SZ740"/>
      <c r="TA740"/>
      <c r="TB740"/>
      <c r="TC740"/>
      <c r="TD740"/>
      <c r="TE740"/>
      <c r="TF740"/>
      <c r="TG740"/>
      <c r="TH740"/>
      <c r="TI740"/>
      <c r="TJ740"/>
      <c r="TK740"/>
      <c r="TL740"/>
      <c r="TM740"/>
      <c r="TN740"/>
      <c r="TO740"/>
      <c r="TP740"/>
      <c r="TQ740"/>
      <c r="TR740"/>
      <c r="TS740"/>
      <c r="TT740"/>
      <c r="TU740"/>
      <c r="TV740"/>
      <c r="TW740"/>
      <c r="TX740"/>
      <c r="TY740"/>
      <c r="TZ740"/>
      <c r="UA740"/>
      <c r="UB740"/>
      <c r="UC740"/>
      <c r="UD740"/>
      <c r="UE740"/>
      <c r="UF740"/>
      <c r="UG740"/>
      <c r="UH740"/>
      <c r="UI740"/>
      <c r="UJ740"/>
      <c r="UK740"/>
      <c r="UL740"/>
      <c r="UM740"/>
      <c r="UN740"/>
      <c r="UO740"/>
      <c r="UP740"/>
      <c r="UQ740"/>
      <c r="UR740"/>
      <c r="US740"/>
      <c r="UT740"/>
      <c r="UU740"/>
      <c r="UV740"/>
      <c r="UW740"/>
      <c r="UX740"/>
      <c r="UY740"/>
      <c r="UZ740"/>
      <c r="VA740"/>
      <c r="VB740"/>
      <c r="VC740"/>
      <c r="VD740"/>
      <c r="VE740"/>
      <c r="VF740"/>
      <c r="VG740"/>
      <c r="VH740"/>
      <c r="VI740"/>
      <c r="VJ740"/>
      <c r="VK740"/>
      <c r="VL740"/>
      <c r="VM740"/>
      <c r="VN740"/>
      <c r="VO740"/>
      <c r="VP740"/>
      <c r="VQ740"/>
      <c r="VR740"/>
      <c r="VS740"/>
      <c r="VT740"/>
      <c r="VU740"/>
      <c r="VV740"/>
      <c r="VW740"/>
      <c r="VX740"/>
      <c r="VY740"/>
      <c r="VZ740"/>
      <c r="WA740"/>
      <c r="WB740"/>
      <c r="WC740"/>
      <c r="WD740"/>
      <c r="WE740"/>
      <c r="WF740"/>
      <c r="WG740"/>
      <c r="WH740"/>
      <c r="WI740"/>
      <c r="WJ740"/>
      <c r="WK740"/>
      <c r="WL740"/>
      <c r="WM740"/>
      <c r="WN740"/>
      <c r="WO740"/>
      <c r="WP740"/>
      <c r="WQ740"/>
      <c r="WR740"/>
      <c r="WS740"/>
      <c r="WT740"/>
      <c r="WU740"/>
      <c r="WV740"/>
      <c r="WW740"/>
      <c r="WX740"/>
      <c r="WY740"/>
      <c r="WZ740"/>
      <c r="XA740"/>
      <c r="XB740"/>
      <c r="XC740"/>
      <c r="XD740"/>
      <c r="XE740"/>
      <c r="XF740"/>
      <c r="XG740"/>
      <c r="XH740"/>
      <c r="XI740"/>
      <c r="XJ740"/>
      <c r="XK740"/>
      <c r="XL740"/>
      <c r="XM740"/>
      <c r="XN740"/>
      <c r="XO740"/>
      <c r="XP740"/>
      <c r="XQ740"/>
      <c r="XR740"/>
      <c r="XS740"/>
      <c r="XT740"/>
      <c r="XU740"/>
      <c r="XV740"/>
      <c r="XW740"/>
      <c r="XX740"/>
      <c r="XY740"/>
      <c r="XZ740"/>
      <c r="YA740"/>
      <c r="YB740"/>
      <c r="YC740"/>
      <c r="YD740"/>
      <c r="YE740"/>
      <c r="YF740"/>
      <c r="YG740"/>
      <c r="YH740"/>
      <c r="YI740"/>
      <c r="YJ740"/>
      <c r="YK740"/>
      <c r="YL740"/>
      <c r="YM740"/>
      <c r="YN740"/>
      <c r="YO740"/>
      <c r="YP740"/>
      <c r="YQ740"/>
      <c r="YR740"/>
      <c r="YS740"/>
      <c r="YT740"/>
      <c r="YU740"/>
      <c r="YV740"/>
      <c r="YW740"/>
      <c r="YX740"/>
      <c r="YY740"/>
      <c r="YZ740"/>
      <c r="ZA740"/>
      <c r="ZB740"/>
      <c r="ZC740"/>
      <c r="ZD740"/>
      <c r="ZE740"/>
      <c r="ZF740"/>
      <c r="ZG740"/>
      <c r="ZH740"/>
      <c r="ZI740"/>
      <c r="ZJ740"/>
      <c r="ZK740"/>
      <c r="ZL740"/>
      <c r="ZM740"/>
      <c r="ZN740"/>
      <c r="ZO740"/>
      <c r="ZP740"/>
      <c r="ZQ740"/>
      <c r="ZR740"/>
      <c r="ZS740"/>
      <c r="ZT740"/>
      <c r="ZU740"/>
      <c r="ZV740"/>
      <c r="ZW740"/>
      <c r="ZX740"/>
      <c r="ZY740"/>
      <c r="ZZ740" s="52"/>
      <c r="AAA740" s="192"/>
      <c r="AAD740" s="90"/>
      <c r="AAE740" s="519">
        <v>1</v>
      </c>
      <c r="AAF740" s="190" t="s">
        <v>52</v>
      </c>
      <c r="AAG740" s="84"/>
      <c r="AAH740" s="84"/>
      <c r="AAI740" s="72"/>
      <c r="AAJ740" s="74"/>
      <c r="AAK740" s="53"/>
      <c r="AAL740" s="90"/>
    </row>
    <row r="741" spans="1:714" s="23" customFormat="1" ht="15" customHeight="1" outlineLevel="1">
      <c r="A741" s="171" t="s">
        <v>0</v>
      </c>
      <c r="B741" s="304" t="s">
        <v>493</v>
      </c>
      <c r="C741" s="420"/>
      <c r="D741" s="433"/>
      <c r="E741"/>
      <c r="F741" s="457">
        <f ca="1">IF(YEAR(H741)&gt;2000,NETWORKDAYS(TODAY(),H741,S.DDL_DEQClosed),0)</f>
        <v>99</v>
      </c>
      <c r="G741"/>
      <c r="H741" s="343">
        <f t="shared" ref="H741" si="611">AAH741</f>
        <v>41719</v>
      </c>
      <c r="I741" s="244"/>
      <c r="J741" s="194"/>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c r="BG741" s="49"/>
      <c r="BH741" s="49"/>
      <c r="BI741" s="49"/>
      <c r="BJ741" s="49"/>
      <c r="BK741" s="49"/>
      <c r="BL741" s="49"/>
      <c r="BM741" s="49"/>
      <c r="BN741" s="49"/>
      <c r="BO741" s="49"/>
      <c r="BP741" s="49"/>
      <c r="BQ741" s="49"/>
      <c r="BR741" s="49"/>
      <c r="BS741" s="49"/>
      <c r="BT741" s="49"/>
      <c r="BU741" s="49"/>
      <c r="BV741" s="49"/>
      <c r="BW741" s="49"/>
      <c r="BX741" s="49"/>
      <c r="BY741" s="49"/>
      <c r="BZ741" s="49"/>
      <c r="CA741" s="49"/>
      <c r="CB741" s="49"/>
      <c r="CC741" s="49"/>
      <c r="CD741" s="49"/>
      <c r="CE741" s="49"/>
      <c r="CF741" s="49"/>
      <c r="CG741" s="49"/>
      <c r="CH741" s="49"/>
      <c r="CI741" s="49"/>
      <c r="CJ741" s="49"/>
      <c r="CK741" s="49"/>
      <c r="CL741" s="49"/>
      <c r="CM741" s="49"/>
      <c r="CN741" s="49"/>
      <c r="CO741" s="49"/>
      <c r="CP741" s="49"/>
      <c r="CQ741" s="49"/>
      <c r="CR741" s="49"/>
      <c r="CS741" s="49"/>
      <c r="CT741" s="49"/>
      <c r="CU741" s="49"/>
      <c r="CV741" s="49"/>
      <c r="CW741" s="49"/>
      <c r="CX741" s="49"/>
      <c r="CY741" s="49"/>
      <c r="CZ741" s="49"/>
      <c r="DA741" s="49"/>
      <c r="DB741" s="49"/>
      <c r="DC741" s="49"/>
      <c r="DD741" s="49"/>
      <c r="DE741" s="49"/>
      <c r="DF741" s="49"/>
      <c r="DG741" s="49"/>
      <c r="DH741" s="49"/>
      <c r="DI741" s="49"/>
      <c r="DJ741" s="49"/>
      <c r="DK741" s="49"/>
      <c r="DL741" s="49"/>
      <c r="DM741" s="49"/>
      <c r="DN741" s="49"/>
      <c r="DO741" s="49"/>
      <c r="DP741" s="49"/>
      <c r="ZZ741" s="52"/>
      <c r="AAA741" s="192"/>
      <c r="AAD741" s="90"/>
      <c r="AAE741" s="519">
        <v>1</v>
      </c>
      <c r="AAF741" s="90"/>
      <c r="AAG741" s="94"/>
      <c r="AAH741" s="73">
        <f>S.PostEQC.FileRuleWithSOS</f>
        <v>41719</v>
      </c>
      <c r="AAI741" s="72"/>
      <c r="AAJ741" s="74"/>
      <c r="AAK741" s="53"/>
      <c r="AAL741" s="90"/>
    </row>
    <row r="742" spans="1:714" s="23" customFormat="1" ht="15" customHeight="1" outlineLevel="1">
      <c r="A742" s="171" t="s">
        <v>0</v>
      </c>
      <c r="B742" s="780" t="str">
        <f>AAK742</f>
        <v xml:space="preserve"> that includes version history and coordination with  AndreaRW</v>
      </c>
      <c r="C742" s="420"/>
      <c r="D742" s="421"/>
      <c r="E742" s="350"/>
      <c r="F742" s="350"/>
      <c r="G742" s="420"/>
      <c r="H742" s="420"/>
      <c r="I742" s="244"/>
      <c r="J742" s="194"/>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c r="BG742" s="49"/>
      <c r="BH742" s="49"/>
      <c r="BI742" s="49"/>
      <c r="BJ742" s="49"/>
      <c r="BK742" s="49"/>
      <c r="BL742" s="49"/>
      <c r="BM742" s="49"/>
      <c r="BN742" s="49"/>
      <c r="BO742" s="49"/>
      <c r="BP742" s="49"/>
      <c r="BQ742" s="49"/>
      <c r="BR742" s="49"/>
      <c r="BS742" s="49"/>
      <c r="BT742" s="49"/>
      <c r="BU742" s="49"/>
      <c r="BV742" s="49"/>
      <c r="BW742" s="49"/>
      <c r="BX742" s="49"/>
      <c r="BY742" s="49"/>
      <c r="BZ742" s="49"/>
      <c r="CA742" s="49"/>
      <c r="CB742" s="49"/>
      <c r="CC742" s="49"/>
      <c r="CD742" s="49"/>
      <c r="CE742" s="49"/>
      <c r="CF742" s="49"/>
      <c r="CG742" s="49"/>
      <c r="CH742" s="49"/>
      <c r="CI742" s="49"/>
      <c r="CJ742" s="49"/>
      <c r="CK742" s="49"/>
      <c r="CL742" s="49"/>
      <c r="CM742" s="49"/>
      <c r="CN742" s="49"/>
      <c r="CO742" s="49"/>
      <c r="CP742" s="49"/>
      <c r="CQ742" s="49"/>
      <c r="CR742" s="49"/>
      <c r="CS742" s="49"/>
      <c r="CT742" s="49"/>
      <c r="CU742" s="49"/>
      <c r="CV742" s="49"/>
      <c r="CW742" s="49"/>
      <c r="CX742" s="49"/>
      <c r="CY742" s="49"/>
      <c r="CZ742" s="49"/>
      <c r="DA742" s="49"/>
      <c r="DB742" s="49"/>
      <c r="DC742" s="49"/>
      <c r="DD742" s="49"/>
      <c r="DE742" s="49"/>
      <c r="DF742" s="49"/>
      <c r="DG742" s="49"/>
      <c r="DH742" s="49"/>
      <c r="DI742" s="49"/>
      <c r="DJ742" s="49"/>
      <c r="DK742" s="49"/>
      <c r="DL742" s="49"/>
      <c r="DM742" s="49"/>
      <c r="DN742" s="49"/>
      <c r="DO742" s="49"/>
      <c r="DP742" s="49"/>
      <c r="ZZ742" s="52"/>
      <c r="AAA742" s="192" t="s">
        <v>0</v>
      </c>
      <c r="AAD742" s="90"/>
      <c r="AAE742" s="519">
        <v>1</v>
      </c>
      <c r="AAF742" s="190" t="s">
        <v>52</v>
      </c>
      <c r="AAG742" s="94"/>
      <c r="AAH742" s="94"/>
      <c r="AAI742" s="72"/>
      <c r="AAJ742" s="185"/>
      <c r="AAK742" s="80" t="str">
        <f>" that includes version history and coordination with  "&amp;S.Staff.Lead</f>
        <v xml:space="preserve"> that includes version history and coordination with  AndreaRW</v>
      </c>
      <c r="AAL742" s="90"/>
    </row>
    <row r="743" spans="1:714" s="23" customFormat="1" ht="15" customHeight="1" outlineLevel="1">
      <c r="A743" s="171"/>
      <c r="B743" s="414" t="str">
        <f>AAK743</f>
        <v>AndreaRW:</v>
      </c>
      <c r="C743" s="420"/>
      <c r="D743" s="421"/>
      <c r="E743" s="350"/>
      <c r="F743" s="350"/>
      <c r="G743" s="420"/>
      <c r="H743" s="420"/>
      <c r="I743" s="244"/>
      <c r="J743" s="194"/>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c r="BG743" s="49"/>
      <c r="BH743" s="49"/>
      <c r="BI743" s="49"/>
      <c r="BJ743" s="49"/>
      <c r="BK743" s="49"/>
      <c r="BL743" s="49"/>
      <c r="BM743" s="49"/>
      <c r="BN743" s="49"/>
      <c r="BO743" s="49"/>
      <c r="BP743" s="49"/>
      <c r="BQ743" s="49"/>
      <c r="BR743" s="49"/>
      <c r="BS743" s="49"/>
      <c r="BT743" s="49"/>
      <c r="BU743" s="49"/>
      <c r="BV743" s="49"/>
      <c r="BW743" s="49"/>
      <c r="BX743" s="49"/>
      <c r="BY743" s="49"/>
      <c r="BZ743" s="49"/>
      <c r="CA743" s="49"/>
      <c r="CB743" s="49"/>
      <c r="CC743" s="49"/>
      <c r="CD743" s="49"/>
      <c r="CE743" s="49"/>
      <c r="CF743" s="49"/>
      <c r="CG743" s="49"/>
      <c r="CH743" s="49"/>
      <c r="CI743" s="49"/>
      <c r="CJ743" s="49"/>
      <c r="CK743" s="49"/>
      <c r="CL743" s="49"/>
      <c r="CM743" s="49"/>
      <c r="CN743" s="49"/>
      <c r="CO743" s="49"/>
      <c r="CP743" s="49"/>
      <c r="CQ743" s="49"/>
      <c r="CR743" s="49"/>
      <c r="CS743" s="49"/>
      <c r="CT743" s="49"/>
      <c r="CU743" s="49"/>
      <c r="CV743" s="49"/>
      <c r="CW743" s="49"/>
      <c r="CX743" s="49"/>
      <c r="CY743" s="49"/>
      <c r="CZ743" s="49"/>
      <c r="DA743" s="49"/>
      <c r="DB743" s="49"/>
      <c r="DC743" s="49"/>
      <c r="DD743" s="49"/>
      <c r="DE743" s="49"/>
      <c r="DF743" s="49"/>
      <c r="DG743" s="49"/>
      <c r="DH743" s="49"/>
      <c r="DI743" s="49"/>
      <c r="DJ743" s="49"/>
      <c r="DK743" s="49"/>
      <c r="DL743" s="49"/>
      <c r="DM743" s="49"/>
      <c r="DN743" s="49"/>
      <c r="DO743" s="49"/>
      <c r="DP743" s="49"/>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c r="IW743"/>
      <c r="IX743"/>
      <c r="IY743"/>
      <c r="IZ743"/>
      <c r="JA743"/>
      <c r="JB743"/>
      <c r="JC743"/>
      <c r="JD743"/>
      <c r="JE743"/>
      <c r="JF743"/>
      <c r="JG743"/>
      <c r="JH743"/>
      <c r="JI743"/>
      <c r="JJ743"/>
      <c r="JK743"/>
      <c r="JL743"/>
      <c r="JM743"/>
      <c r="JN743"/>
      <c r="JO743"/>
      <c r="JP743"/>
      <c r="JQ743"/>
      <c r="JR743"/>
      <c r="JS743"/>
      <c r="JT743"/>
      <c r="JU743"/>
      <c r="JV743"/>
      <c r="JW743"/>
      <c r="JX743"/>
      <c r="JY743"/>
      <c r="JZ743"/>
      <c r="KA743"/>
      <c r="KB743"/>
      <c r="KC743"/>
      <c r="KD743"/>
      <c r="KE743"/>
      <c r="KF743"/>
      <c r="KG743"/>
      <c r="KH743"/>
      <c r="KI743"/>
      <c r="KJ743"/>
      <c r="KK743"/>
      <c r="KL743"/>
      <c r="KM743"/>
      <c r="KN743"/>
      <c r="KO743"/>
      <c r="KP743"/>
      <c r="KQ743"/>
      <c r="KR743"/>
      <c r="KS743"/>
      <c r="KT743"/>
      <c r="KU743"/>
      <c r="KV743"/>
      <c r="KW743"/>
      <c r="KX743"/>
      <c r="KY743"/>
      <c r="KZ743"/>
      <c r="LA743"/>
      <c r="LB743"/>
      <c r="LC743"/>
      <c r="LD743"/>
      <c r="LE743"/>
      <c r="LF743"/>
      <c r="LG743"/>
      <c r="LH743"/>
      <c r="LI743"/>
      <c r="LJ743"/>
      <c r="LK743"/>
      <c r="LL743"/>
      <c r="LM743"/>
      <c r="LN743"/>
      <c r="LO743"/>
      <c r="LP743"/>
      <c r="LQ743"/>
      <c r="LR743"/>
      <c r="LS743"/>
      <c r="LT743"/>
      <c r="LU743"/>
      <c r="LV743"/>
      <c r="LW743"/>
      <c r="LX743"/>
      <c r="LY743"/>
      <c r="LZ743"/>
      <c r="MA743"/>
      <c r="MB743"/>
      <c r="MC743"/>
      <c r="MD743"/>
      <c r="ME743"/>
      <c r="MF743"/>
      <c r="MG743"/>
      <c r="MH743"/>
      <c r="MI743"/>
      <c r="MJ743"/>
      <c r="MK743"/>
      <c r="ML743"/>
      <c r="MM743"/>
      <c r="MN743"/>
      <c r="MO743"/>
      <c r="MP743"/>
      <c r="MQ743"/>
      <c r="MR743"/>
      <c r="MS743"/>
      <c r="MT743"/>
      <c r="MU743"/>
      <c r="MV743"/>
      <c r="MW743"/>
      <c r="MX743"/>
      <c r="MY743"/>
      <c r="MZ743"/>
      <c r="NA743"/>
      <c r="NB743"/>
      <c r="NC743"/>
      <c r="ND743"/>
      <c r="NE743"/>
      <c r="NF743"/>
      <c r="NG743"/>
      <c r="NH743"/>
      <c r="NI743"/>
      <c r="NJ743"/>
      <c r="NK743"/>
      <c r="NL743"/>
      <c r="NM743"/>
      <c r="NN743"/>
      <c r="NO743"/>
      <c r="NP743"/>
      <c r="NQ743"/>
      <c r="NR743"/>
      <c r="NS743"/>
      <c r="NT743"/>
      <c r="NU743"/>
      <c r="NV743"/>
      <c r="NW743"/>
      <c r="NX743"/>
      <c r="NY743"/>
      <c r="NZ743"/>
      <c r="OA743"/>
      <c r="OB743"/>
      <c r="OC743"/>
      <c r="OD743"/>
      <c r="OE743"/>
      <c r="OF743"/>
      <c r="OG743"/>
      <c r="OH743"/>
      <c r="OI743"/>
      <c r="OJ743"/>
      <c r="OK743"/>
      <c r="OL743"/>
      <c r="OM743"/>
      <c r="ON743"/>
      <c r="OO743"/>
      <c r="OP743"/>
      <c r="OQ743"/>
      <c r="OR743"/>
      <c r="OS743"/>
      <c r="OT743"/>
      <c r="OU743"/>
      <c r="OV743"/>
      <c r="OW743"/>
      <c r="OX743"/>
      <c r="OY743"/>
      <c r="OZ743"/>
      <c r="PA743"/>
      <c r="PB743"/>
      <c r="PC743"/>
      <c r="PD743"/>
      <c r="PE743"/>
      <c r="PF743"/>
      <c r="PG743"/>
      <c r="PH743"/>
      <c r="PI743"/>
      <c r="PJ743"/>
      <c r="PK743"/>
      <c r="PL743"/>
      <c r="PM743"/>
      <c r="PN743"/>
      <c r="PO743"/>
      <c r="PP743"/>
      <c r="PQ743"/>
      <c r="PR743"/>
      <c r="PS743"/>
      <c r="PT743"/>
      <c r="PU743"/>
      <c r="PV743"/>
      <c r="PW743"/>
      <c r="PX743"/>
      <c r="PY743"/>
      <c r="PZ743"/>
      <c r="QA743"/>
      <c r="QB743"/>
      <c r="QC743"/>
      <c r="QD743"/>
      <c r="QE743"/>
      <c r="QF743"/>
      <c r="QG743"/>
      <c r="QH743"/>
      <c r="QI743"/>
      <c r="QJ743"/>
      <c r="QK743"/>
      <c r="QL743"/>
      <c r="QM743"/>
      <c r="QN743"/>
      <c r="QO743"/>
      <c r="QP743"/>
      <c r="QQ743"/>
      <c r="QR743"/>
      <c r="QS743"/>
      <c r="QT743"/>
      <c r="QU743"/>
      <c r="QV743"/>
      <c r="QW743"/>
      <c r="QX743"/>
      <c r="QY743"/>
      <c r="QZ743"/>
      <c r="RA743"/>
      <c r="RB743"/>
      <c r="RC743"/>
      <c r="RD743"/>
      <c r="RE743"/>
      <c r="RF743"/>
      <c r="RG743"/>
      <c r="RH743"/>
      <c r="RI743"/>
      <c r="RJ743"/>
      <c r="RK743"/>
      <c r="RL743"/>
      <c r="RM743"/>
      <c r="RN743"/>
      <c r="RO743"/>
      <c r="RP743"/>
      <c r="RQ743"/>
      <c r="RR743"/>
      <c r="RS743"/>
      <c r="RT743"/>
      <c r="RU743"/>
      <c r="RV743"/>
      <c r="RW743"/>
      <c r="RX743"/>
      <c r="RY743"/>
      <c r="RZ743"/>
      <c r="SA743"/>
      <c r="SB743"/>
      <c r="SC743"/>
      <c r="SD743"/>
      <c r="SE743"/>
      <c r="SF743"/>
      <c r="SG743"/>
      <c r="SH743"/>
      <c r="SI743"/>
      <c r="SJ743"/>
      <c r="SK743"/>
      <c r="SL743"/>
      <c r="SM743"/>
      <c r="SN743"/>
      <c r="SO743"/>
      <c r="SP743"/>
      <c r="SQ743"/>
      <c r="SR743"/>
      <c r="SS743"/>
      <c r="ST743"/>
      <c r="SU743"/>
      <c r="SV743"/>
      <c r="SW743"/>
      <c r="SX743"/>
      <c r="SY743"/>
      <c r="SZ743"/>
      <c r="TA743"/>
      <c r="TB743"/>
      <c r="TC743"/>
      <c r="TD743"/>
      <c r="TE743"/>
      <c r="TF743"/>
      <c r="TG743"/>
      <c r="TH743"/>
      <c r="TI743"/>
      <c r="TJ743"/>
      <c r="TK743"/>
      <c r="TL743"/>
      <c r="TM743"/>
      <c r="TN743"/>
      <c r="TO743"/>
      <c r="TP743"/>
      <c r="TQ743"/>
      <c r="TR743"/>
      <c r="TS743"/>
      <c r="TT743"/>
      <c r="TU743"/>
      <c r="TV743"/>
      <c r="TW743"/>
      <c r="TX743"/>
      <c r="TY743"/>
      <c r="TZ743"/>
      <c r="UA743"/>
      <c r="UB743"/>
      <c r="UC743"/>
      <c r="UD743"/>
      <c r="UE743"/>
      <c r="UF743"/>
      <c r="UG743"/>
      <c r="UH743"/>
      <c r="UI743"/>
      <c r="UJ743"/>
      <c r="UK743"/>
      <c r="UL743"/>
      <c r="UM743"/>
      <c r="UN743"/>
      <c r="UO743"/>
      <c r="UP743"/>
      <c r="UQ743"/>
      <c r="UR743"/>
      <c r="US743"/>
      <c r="UT743"/>
      <c r="UU743"/>
      <c r="UV743"/>
      <c r="UW743"/>
      <c r="UX743"/>
      <c r="UY743"/>
      <c r="UZ743"/>
      <c r="VA743"/>
      <c r="VB743"/>
      <c r="VC743"/>
      <c r="VD743"/>
      <c r="VE743"/>
      <c r="VF743"/>
      <c r="VG743"/>
      <c r="VH743"/>
      <c r="VI743"/>
      <c r="VJ743"/>
      <c r="VK743"/>
      <c r="VL743"/>
      <c r="VM743"/>
      <c r="VN743"/>
      <c r="VO743"/>
      <c r="VP743"/>
      <c r="VQ743"/>
      <c r="VR743"/>
      <c r="VS743"/>
      <c r="VT743"/>
      <c r="VU743"/>
      <c r="VV743"/>
      <c r="VW743"/>
      <c r="VX743"/>
      <c r="VY743"/>
      <c r="VZ743"/>
      <c r="WA743"/>
      <c r="WB743"/>
      <c r="WC743"/>
      <c r="WD743"/>
      <c r="WE743"/>
      <c r="WF743"/>
      <c r="WG743"/>
      <c r="WH743"/>
      <c r="WI743"/>
      <c r="WJ743"/>
      <c r="WK743"/>
      <c r="WL743"/>
      <c r="WM743"/>
      <c r="WN743"/>
      <c r="WO743"/>
      <c r="WP743"/>
      <c r="WQ743"/>
      <c r="WR743"/>
      <c r="WS743"/>
      <c r="WT743"/>
      <c r="WU743"/>
      <c r="WV743"/>
      <c r="WW743"/>
      <c r="WX743"/>
      <c r="WY743"/>
      <c r="WZ743"/>
      <c r="XA743"/>
      <c r="XB743"/>
      <c r="XC743"/>
      <c r="XD743"/>
      <c r="XE743"/>
      <c r="XF743"/>
      <c r="XG743"/>
      <c r="XH743"/>
      <c r="XI743"/>
      <c r="XJ743"/>
      <c r="XK743"/>
      <c r="XL743"/>
      <c r="XM743"/>
      <c r="XN743"/>
      <c r="XO743"/>
      <c r="XP743"/>
      <c r="XQ743"/>
      <c r="XR743"/>
      <c r="XS743"/>
      <c r="XT743"/>
      <c r="XU743"/>
      <c r="XV743"/>
      <c r="XW743"/>
      <c r="XX743"/>
      <c r="XY743"/>
      <c r="XZ743"/>
      <c r="YA743"/>
      <c r="YB743"/>
      <c r="YC743"/>
      <c r="YD743"/>
      <c r="YE743"/>
      <c r="YF743"/>
      <c r="YG743"/>
      <c r="YH743"/>
      <c r="YI743"/>
      <c r="YJ743"/>
      <c r="YK743"/>
      <c r="YL743"/>
      <c r="YM743"/>
      <c r="YN743"/>
      <c r="YO743"/>
      <c r="YP743"/>
      <c r="YQ743"/>
      <c r="YR743"/>
      <c r="YS743"/>
      <c r="YT743"/>
      <c r="YU743"/>
      <c r="YV743"/>
      <c r="YW743"/>
      <c r="YX743"/>
      <c r="YY743"/>
      <c r="YZ743"/>
      <c r="ZA743"/>
      <c r="ZB743"/>
      <c r="ZC743"/>
      <c r="ZD743"/>
      <c r="ZE743"/>
      <c r="ZF743"/>
      <c r="ZG743"/>
      <c r="ZH743"/>
      <c r="ZI743"/>
      <c r="ZJ743"/>
      <c r="ZK743"/>
      <c r="ZL743"/>
      <c r="ZM743"/>
      <c r="ZN743"/>
      <c r="ZO743"/>
      <c r="ZP743"/>
      <c r="ZQ743"/>
      <c r="ZR743"/>
      <c r="ZS743"/>
      <c r="ZT743"/>
      <c r="ZU743"/>
      <c r="ZV743"/>
      <c r="ZW743"/>
      <c r="ZX743"/>
      <c r="ZY743"/>
      <c r="ZZ743" s="52"/>
      <c r="AAA743" s="192" t="s">
        <v>0</v>
      </c>
      <c r="AAD743" s="90"/>
      <c r="AAE743" s="519">
        <v>1</v>
      </c>
      <c r="AAF743" s="190" t="s">
        <v>52</v>
      </c>
      <c r="AAG743" s="94"/>
      <c r="AAH743" s="94"/>
      <c r="AAI743" s="72"/>
      <c r="AAJ743" s="185"/>
      <c r="AAK743" s="80" t="str">
        <f>S.Staff.Lead&amp;":"</f>
        <v>AndreaRW:</v>
      </c>
      <c r="AAL743" s="90"/>
    </row>
    <row r="744" spans="1:714" s="23" customFormat="1" ht="15" customHeight="1" outlineLevel="1">
      <c r="A744" s="171"/>
      <c r="B744" s="363" t="s">
        <v>364</v>
      </c>
      <c r="C744"/>
      <c r="D744" s="380"/>
      <c r="E744" s="432">
        <f>NETWORKDAYS(G744,H744,S.DDL_DEQClosed)</f>
        <v>1</v>
      </c>
      <c r="F744" s="457">
        <f ca="1">IF(YEAR(H744)&gt;2000,NETWORKDAYS(TODAY(),H744,S.DDL_DEQClosed),0)</f>
        <v>99</v>
      </c>
      <c r="G744" s="351">
        <f>AAG744</f>
        <v>41719</v>
      </c>
      <c r="H744" s="351">
        <f>AAH744</f>
        <v>41719</v>
      </c>
      <c r="I744" s="244"/>
      <c r="J744" s="194"/>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c r="DL744" s="49"/>
      <c r="DM744" s="49"/>
      <c r="DN744" s="49"/>
      <c r="DO744" s="49"/>
      <c r="DP744" s="49"/>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c r="IW744"/>
      <c r="IX744"/>
      <c r="IY744"/>
      <c r="IZ744"/>
      <c r="JA744"/>
      <c r="JB744"/>
      <c r="JC744"/>
      <c r="JD744"/>
      <c r="JE744"/>
      <c r="JF744"/>
      <c r="JG744"/>
      <c r="JH744"/>
      <c r="JI744"/>
      <c r="JJ744"/>
      <c r="JK744"/>
      <c r="JL744"/>
      <c r="JM744"/>
      <c r="JN744"/>
      <c r="JO744"/>
      <c r="JP744"/>
      <c r="JQ744"/>
      <c r="JR744"/>
      <c r="JS744"/>
      <c r="JT744"/>
      <c r="JU744"/>
      <c r="JV744"/>
      <c r="JW744"/>
      <c r="JX744"/>
      <c r="JY744"/>
      <c r="JZ744"/>
      <c r="KA744"/>
      <c r="KB744"/>
      <c r="KC744"/>
      <c r="KD744"/>
      <c r="KE744"/>
      <c r="KF744"/>
      <c r="KG744"/>
      <c r="KH744"/>
      <c r="KI744"/>
      <c r="KJ744"/>
      <c r="KK744"/>
      <c r="KL744"/>
      <c r="KM744"/>
      <c r="KN744"/>
      <c r="KO744"/>
      <c r="KP744"/>
      <c r="KQ744"/>
      <c r="KR744"/>
      <c r="KS744"/>
      <c r="KT744"/>
      <c r="KU744"/>
      <c r="KV744"/>
      <c r="KW744"/>
      <c r="KX744"/>
      <c r="KY744"/>
      <c r="KZ744"/>
      <c r="LA744"/>
      <c r="LB744"/>
      <c r="LC744"/>
      <c r="LD744"/>
      <c r="LE744"/>
      <c r="LF744"/>
      <c r="LG744"/>
      <c r="LH744"/>
      <c r="LI744"/>
      <c r="LJ744"/>
      <c r="LK744"/>
      <c r="LL744"/>
      <c r="LM744"/>
      <c r="LN744"/>
      <c r="LO744"/>
      <c r="LP744"/>
      <c r="LQ744"/>
      <c r="LR744"/>
      <c r="LS744"/>
      <c r="LT744"/>
      <c r="LU744"/>
      <c r="LV744"/>
      <c r="LW744"/>
      <c r="LX744"/>
      <c r="LY744"/>
      <c r="LZ744"/>
      <c r="MA744"/>
      <c r="MB744"/>
      <c r="MC744"/>
      <c r="MD744"/>
      <c r="ME744"/>
      <c r="MF744"/>
      <c r="MG744"/>
      <c r="MH744"/>
      <c r="MI744"/>
      <c r="MJ744"/>
      <c r="MK744"/>
      <c r="ML744"/>
      <c r="MM744"/>
      <c r="MN744"/>
      <c r="MO744"/>
      <c r="MP744"/>
      <c r="MQ744"/>
      <c r="MR744"/>
      <c r="MS744"/>
      <c r="MT744"/>
      <c r="MU744"/>
      <c r="MV744"/>
      <c r="MW744"/>
      <c r="MX744"/>
      <c r="MY744"/>
      <c r="MZ744"/>
      <c r="NA744"/>
      <c r="NB744"/>
      <c r="NC744"/>
      <c r="ND744"/>
      <c r="NE744"/>
      <c r="NF744"/>
      <c r="NG744"/>
      <c r="NH744"/>
      <c r="NI744"/>
      <c r="NJ744"/>
      <c r="NK744"/>
      <c r="NL744"/>
      <c r="NM744"/>
      <c r="NN744"/>
      <c r="NO744"/>
      <c r="NP744"/>
      <c r="NQ744"/>
      <c r="NR744"/>
      <c r="NS744"/>
      <c r="NT744"/>
      <c r="NU744"/>
      <c r="NV744"/>
      <c r="NW744"/>
      <c r="NX744"/>
      <c r="NY744"/>
      <c r="NZ744"/>
      <c r="OA744"/>
      <c r="OB744"/>
      <c r="OC744"/>
      <c r="OD744"/>
      <c r="OE744"/>
      <c r="OF744"/>
      <c r="OG744"/>
      <c r="OH744"/>
      <c r="OI744"/>
      <c r="OJ744"/>
      <c r="OK744"/>
      <c r="OL744"/>
      <c r="OM744"/>
      <c r="ON744"/>
      <c r="OO744"/>
      <c r="OP744"/>
      <c r="OQ744"/>
      <c r="OR744"/>
      <c r="OS744"/>
      <c r="OT744"/>
      <c r="OU744"/>
      <c r="OV744"/>
      <c r="OW744"/>
      <c r="OX744"/>
      <c r="OY744"/>
      <c r="OZ744"/>
      <c r="PA744"/>
      <c r="PB744"/>
      <c r="PC744"/>
      <c r="PD744"/>
      <c r="PE744"/>
      <c r="PF744"/>
      <c r="PG744"/>
      <c r="PH744"/>
      <c r="PI744"/>
      <c r="PJ744"/>
      <c r="PK744"/>
      <c r="PL744"/>
      <c r="PM744"/>
      <c r="PN744"/>
      <c r="PO744"/>
      <c r="PP744"/>
      <c r="PQ744"/>
      <c r="PR744"/>
      <c r="PS744"/>
      <c r="PT744"/>
      <c r="PU744"/>
      <c r="PV744"/>
      <c r="PW744"/>
      <c r="PX744"/>
      <c r="PY744"/>
      <c r="PZ744"/>
      <c r="QA744"/>
      <c r="QB744"/>
      <c r="QC744"/>
      <c r="QD744"/>
      <c r="QE744"/>
      <c r="QF744"/>
      <c r="QG744"/>
      <c r="QH744"/>
      <c r="QI744"/>
      <c r="QJ744"/>
      <c r="QK744"/>
      <c r="QL744"/>
      <c r="QM744"/>
      <c r="QN744"/>
      <c r="QO744"/>
      <c r="QP744"/>
      <c r="QQ744"/>
      <c r="QR744"/>
      <c r="QS744"/>
      <c r="QT744"/>
      <c r="QU744"/>
      <c r="QV744"/>
      <c r="QW744"/>
      <c r="QX744"/>
      <c r="QY744"/>
      <c r="QZ744"/>
      <c r="RA744"/>
      <c r="RB744"/>
      <c r="RC744"/>
      <c r="RD744"/>
      <c r="RE744"/>
      <c r="RF744"/>
      <c r="RG744"/>
      <c r="RH744"/>
      <c r="RI744"/>
      <c r="RJ744"/>
      <c r="RK744"/>
      <c r="RL744"/>
      <c r="RM744"/>
      <c r="RN744"/>
      <c r="RO744"/>
      <c r="RP744"/>
      <c r="RQ744"/>
      <c r="RR744"/>
      <c r="RS744"/>
      <c r="RT744"/>
      <c r="RU744"/>
      <c r="RV744"/>
      <c r="RW744"/>
      <c r="RX744"/>
      <c r="RY744"/>
      <c r="RZ744"/>
      <c r="SA744"/>
      <c r="SB744"/>
      <c r="SC744"/>
      <c r="SD744"/>
      <c r="SE744"/>
      <c r="SF744"/>
      <c r="SG744"/>
      <c r="SH744"/>
      <c r="SI744"/>
      <c r="SJ744"/>
      <c r="SK744"/>
      <c r="SL744"/>
      <c r="SM744"/>
      <c r="SN744"/>
      <c r="SO744"/>
      <c r="SP744"/>
      <c r="SQ744"/>
      <c r="SR744"/>
      <c r="SS744"/>
      <c r="ST744"/>
      <c r="SU744"/>
      <c r="SV744"/>
      <c r="SW744"/>
      <c r="SX744"/>
      <c r="SY744"/>
      <c r="SZ744"/>
      <c r="TA744"/>
      <c r="TB744"/>
      <c r="TC744"/>
      <c r="TD744"/>
      <c r="TE744"/>
      <c r="TF744"/>
      <c r="TG744"/>
      <c r="TH744"/>
      <c r="TI744"/>
      <c r="TJ744"/>
      <c r="TK744"/>
      <c r="TL744"/>
      <c r="TM744"/>
      <c r="TN744"/>
      <c r="TO744"/>
      <c r="TP744"/>
      <c r="TQ744"/>
      <c r="TR744"/>
      <c r="TS744"/>
      <c r="TT744"/>
      <c r="TU744"/>
      <c r="TV744"/>
      <c r="TW744"/>
      <c r="TX744"/>
      <c r="TY744"/>
      <c r="TZ744"/>
      <c r="UA744"/>
      <c r="UB744"/>
      <c r="UC744"/>
      <c r="UD744"/>
      <c r="UE744"/>
      <c r="UF744"/>
      <c r="UG744"/>
      <c r="UH744"/>
      <c r="UI744"/>
      <c r="UJ744"/>
      <c r="UK744"/>
      <c r="UL744"/>
      <c r="UM744"/>
      <c r="UN744"/>
      <c r="UO744"/>
      <c r="UP744"/>
      <c r="UQ744"/>
      <c r="UR744"/>
      <c r="US744"/>
      <c r="UT744"/>
      <c r="UU744"/>
      <c r="UV744"/>
      <c r="UW744"/>
      <c r="UX744"/>
      <c r="UY744"/>
      <c r="UZ744"/>
      <c r="VA744"/>
      <c r="VB744"/>
      <c r="VC744"/>
      <c r="VD744"/>
      <c r="VE744"/>
      <c r="VF744"/>
      <c r="VG744"/>
      <c r="VH744"/>
      <c r="VI744"/>
      <c r="VJ744"/>
      <c r="VK744"/>
      <c r="VL744"/>
      <c r="VM744"/>
      <c r="VN744"/>
      <c r="VO744"/>
      <c r="VP744"/>
      <c r="VQ744"/>
      <c r="VR744"/>
      <c r="VS744"/>
      <c r="VT744"/>
      <c r="VU744"/>
      <c r="VV744"/>
      <c r="VW744"/>
      <c r="VX744"/>
      <c r="VY744"/>
      <c r="VZ744"/>
      <c r="WA744"/>
      <c r="WB744"/>
      <c r="WC744"/>
      <c r="WD744"/>
      <c r="WE744"/>
      <c r="WF744"/>
      <c r="WG744"/>
      <c r="WH744"/>
      <c r="WI744"/>
      <c r="WJ744"/>
      <c r="WK744"/>
      <c r="WL744"/>
      <c r="WM744"/>
      <c r="WN744"/>
      <c r="WO744"/>
      <c r="WP744"/>
      <c r="WQ744"/>
      <c r="WR744"/>
      <c r="WS744"/>
      <c r="WT744"/>
      <c r="WU744"/>
      <c r="WV744"/>
      <c r="WW744"/>
      <c r="WX744"/>
      <c r="WY744"/>
      <c r="WZ744"/>
      <c r="XA744"/>
      <c r="XB744"/>
      <c r="XC744"/>
      <c r="XD744"/>
      <c r="XE744"/>
      <c r="XF744"/>
      <c r="XG744"/>
      <c r="XH744"/>
      <c r="XI744"/>
      <c r="XJ744"/>
      <c r="XK744"/>
      <c r="XL744"/>
      <c r="XM744"/>
      <c r="XN744"/>
      <c r="XO744"/>
      <c r="XP744"/>
      <c r="XQ744"/>
      <c r="XR744"/>
      <c r="XS744"/>
      <c r="XT744"/>
      <c r="XU744"/>
      <c r="XV744"/>
      <c r="XW744"/>
      <c r="XX744"/>
      <c r="XY744"/>
      <c r="XZ744"/>
      <c r="YA744"/>
      <c r="YB744"/>
      <c r="YC744"/>
      <c r="YD744"/>
      <c r="YE744"/>
      <c r="YF744"/>
      <c r="YG744"/>
      <c r="YH744"/>
      <c r="YI744"/>
      <c r="YJ744"/>
      <c r="YK744"/>
      <c r="YL744"/>
      <c r="YM744"/>
      <c r="YN744"/>
      <c r="YO744"/>
      <c r="YP744"/>
      <c r="YQ744"/>
      <c r="YR744"/>
      <c r="YS744"/>
      <c r="YT744"/>
      <c r="YU744"/>
      <c r="YV744"/>
      <c r="YW744"/>
      <c r="YX744"/>
      <c r="YY744"/>
      <c r="YZ744"/>
      <c r="ZA744"/>
      <c r="ZB744"/>
      <c r="ZC744"/>
      <c r="ZD744"/>
      <c r="ZE744"/>
      <c r="ZF744"/>
      <c r="ZG744"/>
      <c r="ZH744"/>
      <c r="ZI744"/>
      <c r="ZJ744"/>
      <c r="ZK744"/>
      <c r="ZL744"/>
      <c r="ZM744"/>
      <c r="ZN744"/>
      <c r="ZO744"/>
      <c r="ZP744"/>
      <c r="ZQ744"/>
      <c r="ZR744"/>
      <c r="ZS744"/>
      <c r="ZT744"/>
      <c r="ZU744"/>
      <c r="ZV744"/>
      <c r="ZW744"/>
      <c r="ZX744"/>
      <c r="ZY744"/>
      <c r="ZZ744" s="52"/>
      <c r="AAA744" s="192"/>
      <c r="AAD744" s="90"/>
      <c r="AAE744" s="519">
        <v>1</v>
      </c>
      <c r="AAF744" s="90"/>
      <c r="AAG744" s="73">
        <f>S.PostEQC.FileRuleWithSOS</f>
        <v>41719</v>
      </c>
      <c r="AAH744" s="73">
        <f>G744</f>
        <v>41719</v>
      </c>
      <c r="AAI744" s="72"/>
      <c r="AAJ744" s="72"/>
      <c r="AAK744" s="71" t="s">
        <v>0</v>
      </c>
      <c r="AAL744" s="90"/>
    </row>
    <row r="745" spans="1:714" s="23" customFormat="1" ht="15.75" customHeight="1" outlineLevel="1">
      <c r="A745" s="171"/>
      <c r="B745" s="372" t="s">
        <v>173</v>
      </c>
      <c r="C745" s="362"/>
      <c r="D745" s="373"/>
      <c r="E745" s="350"/>
      <c r="F745" s="350"/>
      <c r="G745" s="346"/>
      <c r="H745" s="346"/>
      <c r="I745" s="244"/>
      <c r="J745" s="194"/>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c r="BG745" s="49"/>
      <c r="BH745" s="49"/>
      <c r="BI745" s="49"/>
      <c r="BJ745" s="49"/>
      <c r="BK745" s="49"/>
      <c r="BL745" s="49"/>
      <c r="BM745" s="49"/>
      <c r="BN745" s="49"/>
      <c r="BO745" s="49"/>
      <c r="BP745" s="49"/>
      <c r="BQ745" s="49"/>
      <c r="BR745" s="49"/>
      <c r="BS745" s="49"/>
      <c r="BT745" s="49"/>
      <c r="BU745" s="49"/>
      <c r="BV745" s="49"/>
      <c r="BW745" s="49"/>
      <c r="BX745" s="49"/>
      <c r="BY745" s="49"/>
      <c r="BZ745" s="49"/>
      <c r="CA745" s="49"/>
      <c r="CB745" s="49"/>
      <c r="CC745" s="49"/>
      <c r="CD745" s="49"/>
      <c r="CE745" s="49"/>
      <c r="CF745" s="49"/>
      <c r="CG745" s="49"/>
      <c r="CH745" s="49"/>
      <c r="CI745" s="49"/>
      <c r="CJ745" s="49"/>
      <c r="CK745" s="49"/>
      <c r="CL745" s="49"/>
      <c r="CM745" s="49"/>
      <c r="CN745" s="49"/>
      <c r="CO745" s="49"/>
      <c r="CP745" s="49"/>
      <c r="CQ745" s="49"/>
      <c r="CR745" s="49"/>
      <c r="CS745" s="49"/>
      <c r="CT745" s="49"/>
      <c r="CU745" s="49"/>
      <c r="CV745" s="49"/>
      <c r="CW745" s="49"/>
      <c r="CX745" s="49"/>
      <c r="CY745" s="49"/>
      <c r="CZ745" s="49"/>
      <c r="DA745" s="49"/>
      <c r="DB745" s="49"/>
      <c r="DC745" s="49"/>
      <c r="DD745" s="49"/>
      <c r="DE745" s="49"/>
      <c r="DF745" s="49"/>
      <c r="DG745" s="49"/>
      <c r="DH745" s="49"/>
      <c r="DI745" s="49"/>
      <c r="DJ745" s="49"/>
      <c r="DK745" s="49"/>
      <c r="DL745" s="49"/>
      <c r="DM745" s="49"/>
      <c r="DN745" s="49"/>
      <c r="DO745" s="49"/>
      <c r="DP745" s="49"/>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c r="IW745"/>
      <c r="IX745"/>
      <c r="IY745"/>
      <c r="IZ745"/>
      <c r="JA745"/>
      <c r="JB745"/>
      <c r="JC745"/>
      <c r="JD745"/>
      <c r="JE745"/>
      <c r="JF745"/>
      <c r="JG745"/>
      <c r="JH745"/>
      <c r="JI745"/>
      <c r="JJ745"/>
      <c r="JK745"/>
      <c r="JL745"/>
      <c r="JM745"/>
      <c r="JN745"/>
      <c r="JO745"/>
      <c r="JP745"/>
      <c r="JQ745"/>
      <c r="JR745"/>
      <c r="JS745"/>
      <c r="JT745"/>
      <c r="JU745"/>
      <c r="JV745"/>
      <c r="JW745"/>
      <c r="JX745"/>
      <c r="JY745"/>
      <c r="JZ745"/>
      <c r="KA745"/>
      <c r="KB745"/>
      <c r="KC745"/>
      <c r="KD745"/>
      <c r="KE745"/>
      <c r="KF745"/>
      <c r="KG745"/>
      <c r="KH745"/>
      <c r="KI745"/>
      <c r="KJ745"/>
      <c r="KK745"/>
      <c r="KL745"/>
      <c r="KM745"/>
      <c r="KN745"/>
      <c r="KO745"/>
      <c r="KP745"/>
      <c r="KQ745"/>
      <c r="KR745"/>
      <c r="KS745"/>
      <c r="KT745"/>
      <c r="KU745"/>
      <c r="KV745"/>
      <c r="KW745"/>
      <c r="KX745"/>
      <c r="KY745"/>
      <c r="KZ745"/>
      <c r="LA745"/>
      <c r="LB745"/>
      <c r="LC745"/>
      <c r="LD745"/>
      <c r="LE745"/>
      <c r="LF745"/>
      <c r="LG745"/>
      <c r="LH745"/>
      <c r="LI745"/>
      <c r="LJ745"/>
      <c r="LK745"/>
      <c r="LL745"/>
      <c r="LM745"/>
      <c r="LN745"/>
      <c r="LO745"/>
      <c r="LP745"/>
      <c r="LQ745"/>
      <c r="LR745"/>
      <c r="LS745"/>
      <c r="LT745"/>
      <c r="LU745"/>
      <c r="LV745"/>
      <c r="LW745"/>
      <c r="LX745"/>
      <c r="LY745"/>
      <c r="LZ745"/>
      <c r="MA745"/>
      <c r="MB745"/>
      <c r="MC745"/>
      <c r="MD745"/>
      <c r="ME745"/>
      <c r="MF745"/>
      <c r="MG745"/>
      <c r="MH745"/>
      <c r="MI745"/>
      <c r="MJ745"/>
      <c r="MK745"/>
      <c r="ML745"/>
      <c r="MM745"/>
      <c r="MN745"/>
      <c r="MO745"/>
      <c r="MP745"/>
      <c r="MQ745"/>
      <c r="MR745"/>
      <c r="MS745"/>
      <c r="MT745"/>
      <c r="MU745"/>
      <c r="MV745"/>
      <c r="MW745"/>
      <c r="MX745"/>
      <c r="MY745"/>
      <c r="MZ745"/>
      <c r="NA745"/>
      <c r="NB745"/>
      <c r="NC745"/>
      <c r="ND745"/>
      <c r="NE745"/>
      <c r="NF745"/>
      <c r="NG745"/>
      <c r="NH745"/>
      <c r="NI745"/>
      <c r="NJ745"/>
      <c r="NK745"/>
      <c r="NL745"/>
      <c r="NM745"/>
      <c r="NN745"/>
      <c r="NO745"/>
      <c r="NP745"/>
      <c r="NQ745"/>
      <c r="NR745"/>
      <c r="NS745"/>
      <c r="NT745"/>
      <c r="NU745"/>
      <c r="NV745"/>
      <c r="NW745"/>
      <c r="NX745"/>
      <c r="NY745"/>
      <c r="NZ745"/>
      <c r="OA745"/>
      <c r="OB745"/>
      <c r="OC745"/>
      <c r="OD745"/>
      <c r="OE745"/>
      <c r="OF745"/>
      <c r="OG745"/>
      <c r="OH745"/>
      <c r="OI745"/>
      <c r="OJ745"/>
      <c r="OK745"/>
      <c r="OL745"/>
      <c r="OM745"/>
      <c r="ON745"/>
      <c r="OO745"/>
      <c r="OP745"/>
      <c r="OQ745"/>
      <c r="OR745"/>
      <c r="OS745"/>
      <c r="OT745"/>
      <c r="OU745"/>
      <c r="OV745"/>
      <c r="OW745"/>
      <c r="OX745"/>
      <c r="OY745"/>
      <c r="OZ745"/>
      <c r="PA745"/>
      <c r="PB745"/>
      <c r="PC745"/>
      <c r="PD745"/>
      <c r="PE745"/>
      <c r="PF745"/>
      <c r="PG745"/>
      <c r="PH745"/>
      <c r="PI745"/>
      <c r="PJ745"/>
      <c r="PK745"/>
      <c r="PL745"/>
      <c r="PM745"/>
      <c r="PN745"/>
      <c r="PO745"/>
      <c r="PP745"/>
      <c r="PQ745"/>
      <c r="PR745"/>
      <c r="PS745"/>
      <c r="PT745"/>
      <c r="PU745"/>
      <c r="PV745"/>
      <c r="PW745"/>
      <c r="PX745"/>
      <c r="PY745"/>
      <c r="PZ745"/>
      <c r="QA745"/>
      <c r="QB745"/>
      <c r="QC745"/>
      <c r="QD745"/>
      <c r="QE745"/>
      <c r="QF745"/>
      <c r="QG745"/>
      <c r="QH745"/>
      <c r="QI745"/>
      <c r="QJ745"/>
      <c r="QK745"/>
      <c r="QL745"/>
      <c r="QM745"/>
      <c r="QN745"/>
      <c r="QO745"/>
      <c r="QP745"/>
      <c r="QQ745"/>
      <c r="QR745"/>
      <c r="QS745"/>
      <c r="QT745"/>
      <c r="QU745"/>
      <c r="QV745"/>
      <c r="QW745"/>
      <c r="QX745"/>
      <c r="QY745"/>
      <c r="QZ745"/>
      <c r="RA745"/>
      <c r="RB745"/>
      <c r="RC745"/>
      <c r="RD745"/>
      <c r="RE745"/>
      <c r="RF745"/>
      <c r="RG745"/>
      <c r="RH745"/>
      <c r="RI745"/>
      <c r="RJ745"/>
      <c r="RK745"/>
      <c r="RL745"/>
      <c r="RM745"/>
      <c r="RN745"/>
      <c r="RO745"/>
      <c r="RP745"/>
      <c r="RQ745"/>
      <c r="RR745"/>
      <c r="RS745"/>
      <c r="RT745"/>
      <c r="RU745"/>
      <c r="RV745"/>
      <c r="RW745"/>
      <c r="RX745"/>
      <c r="RY745"/>
      <c r="RZ745"/>
      <c r="SA745"/>
      <c r="SB745"/>
      <c r="SC745"/>
      <c r="SD745"/>
      <c r="SE745"/>
      <c r="SF745"/>
      <c r="SG745"/>
      <c r="SH745"/>
      <c r="SI745"/>
      <c r="SJ745"/>
      <c r="SK745"/>
      <c r="SL745"/>
      <c r="SM745"/>
      <c r="SN745"/>
      <c r="SO745"/>
      <c r="SP745"/>
      <c r="SQ745"/>
      <c r="SR745"/>
      <c r="SS745"/>
      <c r="ST745"/>
      <c r="SU745"/>
      <c r="SV745"/>
      <c r="SW745"/>
      <c r="SX745"/>
      <c r="SY745"/>
      <c r="SZ745"/>
      <c r="TA745"/>
      <c r="TB745"/>
      <c r="TC745"/>
      <c r="TD745"/>
      <c r="TE745"/>
      <c r="TF745"/>
      <c r="TG745"/>
      <c r="TH745"/>
      <c r="TI745"/>
      <c r="TJ745"/>
      <c r="TK745"/>
      <c r="TL745"/>
      <c r="TM745"/>
      <c r="TN745"/>
      <c r="TO745"/>
      <c r="TP745"/>
      <c r="TQ745"/>
      <c r="TR745"/>
      <c r="TS745"/>
      <c r="TT745"/>
      <c r="TU745"/>
      <c r="TV745"/>
      <c r="TW745"/>
      <c r="TX745"/>
      <c r="TY745"/>
      <c r="TZ745"/>
      <c r="UA745"/>
      <c r="UB745"/>
      <c r="UC745"/>
      <c r="UD745"/>
      <c r="UE745"/>
      <c r="UF745"/>
      <c r="UG745"/>
      <c r="UH745"/>
      <c r="UI745"/>
      <c r="UJ745"/>
      <c r="UK745"/>
      <c r="UL745"/>
      <c r="UM745"/>
      <c r="UN745"/>
      <c r="UO745"/>
      <c r="UP745"/>
      <c r="UQ745"/>
      <c r="UR745"/>
      <c r="US745"/>
      <c r="UT745"/>
      <c r="UU745"/>
      <c r="UV745"/>
      <c r="UW745"/>
      <c r="UX745"/>
      <c r="UY745"/>
      <c r="UZ745"/>
      <c r="VA745"/>
      <c r="VB745"/>
      <c r="VC745"/>
      <c r="VD745"/>
      <c r="VE745"/>
      <c r="VF745"/>
      <c r="VG745"/>
      <c r="VH745"/>
      <c r="VI745"/>
      <c r="VJ745"/>
      <c r="VK745"/>
      <c r="VL745"/>
      <c r="VM745"/>
      <c r="VN745"/>
      <c r="VO745"/>
      <c r="VP745"/>
      <c r="VQ745"/>
      <c r="VR745"/>
      <c r="VS745"/>
      <c r="VT745"/>
      <c r="VU745"/>
      <c r="VV745"/>
      <c r="VW745"/>
      <c r="VX745"/>
      <c r="VY745"/>
      <c r="VZ745"/>
      <c r="WA745"/>
      <c r="WB745"/>
      <c r="WC745"/>
      <c r="WD745"/>
      <c r="WE745"/>
      <c r="WF745"/>
      <c r="WG745"/>
      <c r="WH745"/>
      <c r="WI745"/>
      <c r="WJ745"/>
      <c r="WK745"/>
      <c r="WL745"/>
      <c r="WM745"/>
      <c r="WN745"/>
      <c r="WO745"/>
      <c r="WP745"/>
      <c r="WQ745"/>
      <c r="WR745"/>
      <c r="WS745"/>
      <c r="WT745"/>
      <c r="WU745"/>
      <c r="WV745"/>
      <c r="WW745"/>
      <c r="WX745"/>
      <c r="WY745"/>
      <c r="WZ745"/>
      <c r="XA745"/>
      <c r="XB745"/>
      <c r="XC745"/>
      <c r="XD745"/>
      <c r="XE745"/>
      <c r="XF745"/>
      <c r="XG745"/>
      <c r="XH745"/>
      <c r="XI745"/>
      <c r="XJ745"/>
      <c r="XK745"/>
      <c r="XL745"/>
      <c r="XM745"/>
      <c r="XN745"/>
      <c r="XO745"/>
      <c r="XP745"/>
      <c r="XQ745"/>
      <c r="XR745"/>
      <c r="XS745"/>
      <c r="XT745"/>
      <c r="XU745"/>
      <c r="XV745"/>
      <c r="XW745"/>
      <c r="XX745"/>
      <c r="XY745"/>
      <c r="XZ745"/>
      <c r="YA745"/>
      <c r="YB745"/>
      <c r="YC745"/>
      <c r="YD745"/>
      <c r="YE745"/>
      <c r="YF745"/>
      <c r="YG745"/>
      <c r="YH745"/>
      <c r="YI745"/>
      <c r="YJ745"/>
      <c r="YK745"/>
      <c r="YL745"/>
      <c r="YM745"/>
      <c r="YN745"/>
      <c r="YO745"/>
      <c r="YP745"/>
      <c r="YQ745"/>
      <c r="YR745"/>
      <c r="YS745"/>
      <c r="YT745"/>
      <c r="YU745"/>
      <c r="YV745"/>
      <c r="YW745"/>
      <c r="YX745"/>
      <c r="YY745"/>
      <c r="YZ745"/>
      <c r="ZA745"/>
      <c r="ZB745"/>
      <c r="ZC745"/>
      <c r="ZD745"/>
      <c r="ZE745"/>
      <c r="ZF745"/>
      <c r="ZG745"/>
      <c r="ZH745"/>
      <c r="ZI745"/>
      <c r="ZJ745"/>
      <c r="ZK745"/>
      <c r="ZL745"/>
      <c r="ZM745"/>
      <c r="ZN745"/>
      <c r="ZO745"/>
      <c r="ZP745"/>
      <c r="ZQ745"/>
      <c r="ZR745"/>
      <c r="ZS745"/>
      <c r="ZT745"/>
      <c r="ZU745"/>
      <c r="ZV745"/>
      <c r="ZW745"/>
      <c r="ZX745"/>
      <c r="ZY745"/>
      <c r="ZZ745" s="52"/>
      <c r="AAA745" s="192"/>
      <c r="AAD745" s="90"/>
      <c r="AAE745" s="519">
        <v>1</v>
      </c>
      <c r="AAF745" s="190" t="s">
        <v>52</v>
      </c>
      <c r="AAG745" s="71"/>
      <c r="AAH745" s="71"/>
      <c r="AAI745" s="71"/>
      <c r="AAJ745" s="56"/>
      <c r="AAK745" s="71" t="s">
        <v>0</v>
      </c>
      <c r="AAL745" s="90"/>
    </row>
    <row r="746" spans="1:714" s="23" customFormat="1" ht="15" customHeight="1" outlineLevel="1" thickBot="1">
      <c r="A746" s="171"/>
      <c r="B746" s="363" t="s">
        <v>265</v>
      </c>
      <c r="D746" s="380"/>
      <c r="E746" s="432">
        <f>NETWORKDAYS(G746,H746,S.DDL_DEQClosed)</f>
        <v>1</v>
      </c>
      <c r="F746" s="457">
        <f ca="1">IF(YEAR(H746)&gt;2000,NETWORKDAYS(TODAY(),H746,S.DDL_DEQClosed),0)</f>
        <v>110</v>
      </c>
      <c r="G746" s="487">
        <f t="shared" ref="G746:H748" si="612">AAG746</f>
        <v>41736</v>
      </c>
      <c r="H746" s="343">
        <f t="shared" si="612"/>
        <v>41736</v>
      </c>
      <c r="I746" s="244"/>
      <c r="J746" s="194"/>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c r="BG746" s="49"/>
      <c r="BH746" s="49"/>
      <c r="BI746" s="49"/>
      <c r="BJ746" s="49"/>
      <c r="BK746" s="49"/>
      <c r="BL746" s="49"/>
      <c r="BM746" s="49"/>
      <c r="BN746" s="49"/>
      <c r="BO746" s="49"/>
      <c r="BP746" s="49"/>
      <c r="BQ746" s="49"/>
      <c r="BR746" s="49"/>
      <c r="BS746" s="49"/>
      <c r="BT746" s="49"/>
      <c r="BU746" s="49"/>
      <c r="BV746" s="49"/>
      <c r="BW746" s="49"/>
      <c r="BX746" s="49"/>
      <c r="BY746" s="49"/>
      <c r="BZ746" s="49"/>
      <c r="CA746" s="49"/>
      <c r="CB746" s="49"/>
      <c r="CC746" s="49"/>
      <c r="CD746" s="49"/>
      <c r="CE746" s="49"/>
      <c r="CF746" s="49"/>
      <c r="CG746" s="49"/>
      <c r="CH746" s="49"/>
      <c r="CI746" s="49"/>
      <c r="CJ746" s="49"/>
      <c r="CK746" s="49"/>
      <c r="CL746" s="49"/>
      <c r="CM746" s="49"/>
      <c r="CN746" s="49"/>
      <c r="CO746" s="49"/>
      <c r="CP746" s="49"/>
      <c r="CQ746" s="49"/>
      <c r="CR746" s="49"/>
      <c r="CS746" s="49"/>
      <c r="CT746" s="49"/>
      <c r="CU746" s="49"/>
      <c r="CV746" s="49"/>
      <c r="CW746" s="49"/>
      <c r="CX746" s="49"/>
      <c r="CY746" s="49"/>
      <c r="CZ746" s="49"/>
      <c r="DA746" s="49"/>
      <c r="DB746" s="49"/>
      <c r="DC746" s="49"/>
      <c r="DD746" s="49"/>
      <c r="DE746" s="49"/>
      <c r="DF746" s="49"/>
      <c r="DG746" s="49"/>
      <c r="DH746" s="49"/>
      <c r="DI746" s="49"/>
      <c r="DJ746" s="49"/>
      <c r="DK746" s="49"/>
      <c r="DL746" s="49"/>
      <c r="DM746" s="49"/>
      <c r="DN746" s="49"/>
      <c r="DO746" s="49"/>
      <c r="DP746" s="49"/>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c r="IW746"/>
      <c r="IX746"/>
      <c r="IY746"/>
      <c r="IZ746"/>
      <c r="JA746"/>
      <c r="JB746"/>
      <c r="JC746"/>
      <c r="JD746"/>
      <c r="JE746"/>
      <c r="JF746"/>
      <c r="JG746"/>
      <c r="JH746"/>
      <c r="JI746"/>
      <c r="JJ746"/>
      <c r="JK746"/>
      <c r="JL746"/>
      <c r="JM746"/>
      <c r="JN746"/>
      <c r="JO746"/>
      <c r="JP746"/>
      <c r="JQ746"/>
      <c r="JR746"/>
      <c r="JS746"/>
      <c r="JT746"/>
      <c r="JU746"/>
      <c r="JV746"/>
      <c r="JW746"/>
      <c r="JX746"/>
      <c r="JY746"/>
      <c r="JZ746"/>
      <c r="KA746"/>
      <c r="KB746"/>
      <c r="KC746"/>
      <c r="KD746"/>
      <c r="KE746"/>
      <c r="KF746"/>
      <c r="KG746"/>
      <c r="KH746"/>
      <c r="KI746"/>
      <c r="KJ746"/>
      <c r="KK746"/>
      <c r="KL746"/>
      <c r="KM746"/>
      <c r="KN746"/>
      <c r="KO746"/>
      <c r="KP746"/>
      <c r="KQ746"/>
      <c r="KR746"/>
      <c r="KS746"/>
      <c r="KT746"/>
      <c r="KU746"/>
      <c r="KV746"/>
      <c r="KW746"/>
      <c r="KX746"/>
      <c r="KY746"/>
      <c r="KZ746"/>
      <c r="LA746"/>
      <c r="LB746"/>
      <c r="LC746"/>
      <c r="LD746"/>
      <c r="LE746"/>
      <c r="LF746"/>
      <c r="LG746"/>
      <c r="LH746"/>
      <c r="LI746"/>
      <c r="LJ746"/>
      <c r="LK746"/>
      <c r="LL746"/>
      <c r="LM746"/>
      <c r="LN746"/>
      <c r="LO746"/>
      <c r="LP746"/>
      <c r="LQ746"/>
      <c r="LR746"/>
      <c r="LS746"/>
      <c r="LT746"/>
      <c r="LU746"/>
      <c r="LV746"/>
      <c r="LW746"/>
      <c r="LX746"/>
      <c r="LY746"/>
      <c r="LZ746"/>
      <c r="MA746"/>
      <c r="MB746"/>
      <c r="MC746"/>
      <c r="MD746"/>
      <c r="ME746"/>
      <c r="MF746"/>
      <c r="MG746"/>
      <c r="MH746"/>
      <c r="MI746"/>
      <c r="MJ746"/>
      <c r="MK746"/>
      <c r="ML746"/>
      <c r="MM746"/>
      <c r="MN746"/>
      <c r="MO746"/>
      <c r="MP746"/>
      <c r="MQ746"/>
      <c r="MR746"/>
      <c r="MS746"/>
      <c r="MT746"/>
      <c r="MU746"/>
      <c r="MV746"/>
      <c r="MW746"/>
      <c r="MX746"/>
      <c r="MY746"/>
      <c r="MZ746"/>
      <c r="NA746"/>
      <c r="NB746"/>
      <c r="NC746"/>
      <c r="ND746"/>
      <c r="NE746"/>
      <c r="NF746"/>
      <c r="NG746"/>
      <c r="NH746"/>
      <c r="NI746"/>
      <c r="NJ746"/>
      <c r="NK746"/>
      <c r="NL746"/>
      <c r="NM746"/>
      <c r="NN746"/>
      <c r="NO746"/>
      <c r="NP746"/>
      <c r="NQ746"/>
      <c r="NR746"/>
      <c r="NS746"/>
      <c r="NT746"/>
      <c r="NU746"/>
      <c r="NV746"/>
      <c r="NW746"/>
      <c r="NX746"/>
      <c r="NY746"/>
      <c r="NZ746"/>
      <c r="OA746"/>
      <c r="OB746"/>
      <c r="OC746"/>
      <c r="OD746"/>
      <c r="OE746"/>
      <c r="OF746"/>
      <c r="OG746"/>
      <c r="OH746"/>
      <c r="OI746"/>
      <c r="OJ746"/>
      <c r="OK746"/>
      <c r="OL746"/>
      <c r="OM746"/>
      <c r="ON746"/>
      <c r="OO746"/>
      <c r="OP746"/>
      <c r="OQ746"/>
      <c r="OR746"/>
      <c r="OS746"/>
      <c r="OT746"/>
      <c r="OU746"/>
      <c r="OV746"/>
      <c r="OW746"/>
      <c r="OX746"/>
      <c r="OY746"/>
      <c r="OZ746"/>
      <c r="PA746"/>
      <c r="PB746"/>
      <c r="PC746"/>
      <c r="PD746"/>
      <c r="PE746"/>
      <c r="PF746"/>
      <c r="PG746"/>
      <c r="PH746"/>
      <c r="PI746"/>
      <c r="PJ746"/>
      <c r="PK746"/>
      <c r="PL746"/>
      <c r="PM746"/>
      <c r="PN746"/>
      <c r="PO746"/>
      <c r="PP746"/>
      <c r="PQ746"/>
      <c r="PR746"/>
      <c r="PS746"/>
      <c r="PT746"/>
      <c r="PU746"/>
      <c r="PV746"/>
      <c r="PW746"/>
      <c r="PX746"/>
      <c r="PY746"/>
      <c r="PZ746"/>
      <c r="QA746"/>
      <c r="QB746"/>
      <c r="QC746"/>
      <c r="QD746"/>
      <c r="QE746"/>
      <c r="QF746"/>
      <c r="QG746"/>
      <c r="QH746"/>
      <c r="QI746"/>
      <c r="QJ746"/>
      <c r="QK746"/>
      <c r="QL746"/>
      <c r="QM746"/>
      <c r="QN746"/>
      <c r="QO746"/>
      <c r="QP746"/>
      <c r="QQ746"/>
      <c r="QR746"/>
      <c r="QS746"/>
      <c r="QT746"/>
      <c r="QU746"/>
      <c r="QV746"/>
      <c r="QW746"/>
      <c r="QX746"/>
      <c r="QY746"/>
      <c r="QZ746"/>
      <c r="RA746"/>
      <c r="RB746"/>
      <c r="RC746"/>
      <c r="RD746"/>
      <c r="RE746"/>
      <c r="RF746"/>
      <c r="RG746"/>
      <c r="RH746"/>
      <c r="RI746"/>
      <c r="RJ746"/>
      <c r="RK746"/>
      <c r="RL746"/>
      <c r="RM746"/>
      <c r="RN746"/>
      <c r="RO746"/>
      <c r="RP746"/>
      <c r="RQ746"/>
      <c r="RR746"/>
      <c r="RS746"/>
      <c r="RT746"/>
      <c r="RU746"/>
      <c r="RV746"/>
      <c r="RW746"/>
      <c r="RX746"/>
      <c r="RY746"/>
      <c r="RZ746"/>
      <c r="SA746"/>
      <c r="SB746"/>
      <c r="SC746"/>
      <c r="SD746"/>
      <c r="SE746"/>
      <c r="SF746"/>
      <c r="SG746"/>
      <c r="SH746"/>
      <c r="SI746"/>
      <c r="SJ746"/>
      <c r="SK746"/>
      <c r="SL746"/>
      <c r="SM746"/>
      <c r="SN746"/>
      <c r="SO746"/>
      <c r="SP746"/>
      <c r="SQ746"/>
      <c r="SR746"/>
      <c r="SS746"/>
      <c r="ST746"/>
      <c r="SU746"/>
      <c r="SV746"/>
      <c r="SW746"/>
      <c r="SX746"/>
      <c r="SY746"/>
      <c r="SZ746"/>
      <c r="TA746"/>
      <c r="TB746"/>
      <c r="TC746"/>
      <c r="TD746"/>
      <c r="TE746"/>
      <c r="TF746"/>
      <c r="TG746"/>
      <c r="TH746"/>
      <c r="TI746"/>
      <c r="TJ746"/>
      <c r="TK746"/>
      <c r="TL746"/>
      <c r="TM746"/>
      <c r="TN746"/>
      <c r="TO746"/>
      <c r="TP746"/>
      <c r="TQ746"/>
      <c r="TR746"/>
      <c r="TS746"/>
      <c r="TT746"/>
      <c r="TU746"/>
      <c r="TV746"/>
      <c r="TW746"/>
      <c r="TX746"/>
      <c r="TY746"/>
      <c r="TZ746"/>
      <c r="UA746"/>
      <c r="UB746"/>
      <c r="UC746"/>
      <c r="UD746"/>
      <c r="UE746"/>
      <c r="UF746"/>
      <c r="UG746"/>
      <c r="UH746"/>
      <c r="UI746"/>
      <c r="UJ746"/>
      <c r="UK746"/>
      <c r="UL746"/>
      <c r="UM746"/>
      <c r="UN746"/>
      <c r="UO746"/>
      <c r="UP746"/>
      <c r="UQ746"/>
      <c r="UR746"/>
      <c r="US746"/>
      <c r="UT746"/>
      <c r="UU746"/>
      <c r="UV746"/>
      <c r="UW746"/>
      <c r="UX746"/>
      <c r="UY746"/>
      <c r="UZ746"/>
      <c r="VA746"/>
      <c r="VB746"/>
      <c r="VC746"/>
      <c r="VD746"/>
      <c r="VE746"/>
      <c r="VF746"/>
      <c r="VG746"/>
      <c r="VH746"/>
      <c r="VI746"/>
      <c r="VJ746"/>
      <c r="VK746"/>
      <c r="VL746"/>
      <c r="VM746"/>
      <c r="VN746"/>
      <c r="VO746"/>
      <c r="VP746"/>
      <c r="VQ746"/>
      <c r="VR746"/>
      <c r="VS746"/>
      <c r="VT746"/>
      <c r="VU746"/>
      <c r="VV746"/>
      <c r="VW746"/>
      <c r="VX746"/>
      <c r="VY746"/>
      <c r="VZ746"/>
      <c r="WA746"/>
      <c r="WB746"/>
      <c r="WC746"/>
      <c r="WD746"/>
      <c r="WE746"/>
      <c r="WF746"/>
      <c r="WG746"/>
      <c r="WH746"/>
      <c r="WI746"/>
      <c r="WJ746"/>
      <c r="WK746"/>
      <c r="WL746"/>
      <c r="WM746"/>
      <c r="WN746"/>
      <c r="WO746"/>
      <c r="WP746"/>
      <c r="WQ746"/>
      <c r="WR746"/>
      <c r="WS746"/>
      <c r="WT746"/>
      <c r="WU746"/>
      <c r="WV746"/>
      <c r="WW746"/>
      <c r="WX746"/>
      <c r="WY746"/>
      <c r="WZ746"/>
      <c r="XA746"/>
      <c r="XB746"/>
      <c r="XC746"/>
      <c r="XD746"/>
      <c r="XE746"/>
      <c r="XF746"/>
      <c r="XG746"/>
      <c r="XH746"/>
      <c r="XI746"/>
      <c r="XJ746"/>
      <c r="XK746"/>
      <c r="XL746"/>
      <c r="XM746"/>
      <c r="XN746"/>
      <c r="XO746"/>
      <c r="XP746"/>
      <c r="XQ746"/>
      <c r="XR746"/>
      <c r="XS746"/>
      <c r="XT746"/>
      <c r="XU746"/>
      <c r="XV746"/>
      <c r="XW746"/>
      <c r="XX746"/>
      <c r="XY746"/>
      <c r="XZ746"/>
      <c r="YA746"/>
      <c r="YB746"/>
      <c r="YC746"/>
      <c r="YD746"/>
      <c r="YE746"/>
      <c r="YF746"/>
      <c r="YG746"/>
      <c r="YH746"/>
      <c r="YI746"/>
      <c r="YJ746"/>
      <c r="YK746"/>
      <c r="YL746"/>
      <c r="YM746"/>
      <c r="YN746"/>
      <c r="YO746"/>
      <c r="YP746"/>
      <c r="YQ746"/>
      <c r="YR746"/>
      <c r="YS746"/>
      <c r="YT746"/>
      <c r="YU746"/>
      <c r="YV746"/>
      <c r="YW746"/>
      <c r="YX746"/>
      <c r="YY746"/>
      <c r="YZ746"/>
      <c r="ZA746"/>
      <c r="ZB746"/>
      <c r="ZC746"/>
      <c r="ZD746"/>
      <c r="ZE746"/>
      <c r="ZF746"/>
      <c r="ZG746"/>
      <c r="ZH746"/>
      <c r="ZI746"/>
      <c r="ZJ746"/>
      <c r="ZK746"/>
      <c r="ZL746"/>
      <c r="ZM746"/>
      <c r="ZN746"/>
      <c r="ZO746"/>
      <c r="ZP746"/>
      <c r="ZQ746"/>
      <c r="ZR746"/>
      <c r="ZS746"/>
      <c r="ZT746"/>
      <c r="ZU746"/>
      <c r="ZV746"/>
      <c r="ZW746"/>
      <c r="ZX746"/>
      <c r="ZY746"/>
      <c r="ZZ746" s="52"/>
      <c r="AAA746" s="192"/>
      <c r="AAD746" s="90"/>
      <c r="AAE746" s="519">
        <v>1</v>
      </c>
      <c r="AAF746" s="90"/>
      <c r="AAG746" s="73">
        <f>AAH746</f>
        <v>41736</v>
      </c>
      <c r="AAH746" s="73">
        <f>WORKDAY(S.PostEQC.FileRuleWithSOS+14,1,S.DDL_DEQClosed)</f>
        <v>41736</v>
      </c>
      <c r="AAI746" s="72"/>
      <c r="AAJ746" s="72"/>
      <c r="AAK746" s="71" t="s">
        <v>0</v>
      </c>
      <c r="AAL746" s="90"/>
    </row>
    <row r="747" spans="1:714" s="23" customFormat="1" ht="15" customHeight="1" outlineLevel="1" thickBot="1">
      <c r="A747" s="171"/>
      <c r="B747" s="483" t="str">
        <f>AAK747</f>
        <v>If errors, AndreaRW works with Maggie to correct and selects 'Y'  &gt;</v>
      </c>
      <c r="C747" s="377" t="s">
        <v>17</v>
      </c>
      <c r="D747" s="511"/>
      <c r="E747" s="342">
        <f>NETWORKDAYS(G747,H747,S.DDL_DEQClosed)</f>
        <v>1</v>
      </c>
      <c r="F747" s="457">
        <f ca="1">IF(YEAR(H747)&gt;2000,NETWORKDAYS(TODAY(),H747,S.DDL_DEQClosed),0)</f>
        <v>110</v>
      </c>
      <c r="G747" s="351">
        <f t="shared" si="612"/>
        <v>41736</v>
      </c>
      <c r="H747" s="351">
        <f t="shared" si="612"/>
        <v>41736</v>
      </c>
      <c r="I747" s="244"/>
      <c r="J747" s="194"/>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c r="DL747" s="49"/>
      <c r="DM747" s="49"/>
      <c r="DN747" s="49"/>
      <c r="DO747" s="49"/>
      <c r="DP747" s="49"/>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c r="IW747"/>
      <c r="IX747"/>
      <c r="IY747"/>
      <c r="IZ747"/>
      <c r="JA747"/>
      <c r="JB747"/>
      <c r="JC747"/>
      <c r="JD747"/>
      <c r="JE747"/>
      <c r="JF747"/>
      <c r="JG747"/>
      <c r="JH747"/>
      <c r="JI747"/>
      <c r="JJ747"/>
      <c r="JK747"/>
      <c r="JL747"/>
      <c r="JM747"/>
      <c r="JN747"/>
      <c r="JO747"/>
      <c r="JP747"/>
      <c r="JQ747"/>
      <c r="JR747"/>
      <c r="JS747"/>
      <c r="JT747"/>
      <c r="JU747"/>
      <c r="JV747"/>
      <c r="JW747"/>
      <c r="JX747"/>
      <c r="JY747"/>
      <c r="JZ747"/>
      <c r="KA747"/>
      <c r="KB747"/>
      <c r="KC747"/>
      <c r="KD747"/>
      <c r="KE747"/>
      <c r="KF747"/>
      <c r="KG747"/>
      <c r="KH747"/>
      <c r="KI747"/>
      <c r="KJ747"/>
      <c r="KK747"/>
      <c r="KL747"/>
      <c r="KM747"/>
      <c r="KN747"/>
      <c r="KO747"/>
      <c r="KP747"/>
      <c r="KQ747"/>
      <c r="KR747"/>
      <c r="KS747"/>
      <c r="KT747"/>
      <c r="KU747"/>
      <c r="KV747"/>
      <c r="KW747"/>
      <c r="KX747"/>
      <c r="KY747"/>
      <c r="KZ747"/>
      <c r="LA747"/>
      <c r="LB747"/>
      <c r="LC747"/>
      <c r="LD747"/>
      <c r="LE747"/>
      <c r="LF747"/>
      <c r="LG747"/>
      <c r="LH747"/>
      <c r="LI747"/>
      <c r="LJ747"/>
      <c r="LK747"/>
      <c r="LL747"/>
      <c r="LM747"/>
      <c r="LN747"/>
      <c r="LO747"/>
      <c r="LP747"/>
      <c r="LQ747"/>
      <c r="LR747"/>
      <c r="LS747"/>
      <c r="LT747"/>
      <c r="LU747"/>
      <c r="LV747"/>
      <c r="LW747"/>
      <c r="LX747"/>
      <c r="LY747"/>
      <c r="LZ747"/>
      <c r="MA747"/>
      <c r="MB747"/>
      <c r="MC747"/>
      <c r="MD747"/>
      <c r="ME747"/>
      <c r="MF747"/>
      <c r="MG747"/>
      <c r="MH747"/>
      <c r="MI747"/>
      <c r="MJ747"/>
      <c r="MK747"/>
      <c r="ML747"/>
      <c r="MM747"/>
      <c r="MN747"/>
      <c r="MO747"/>
      <c r="MP747"/>
      <c r="MQ747"/>
      <c r="MR747"/>
      <c r="MS747"/>
      <c r="MT747"/>
      <c r="MU747"/>
      <c r="MV747"/>
      <c r="MW747"/>
      <c r="MX747"/>
      <c r="MY747"/>
      <c r="MZ747"/>
      <c r="NA747"/>
      <c r="NB747"/>
      <c r="NC747"/>
      <c r="ND747"/>
      <c r="NE747"/>
      <c r="NF747"/>
      <c r="NG747"/>
      <c r="NH747"/>
      <c r="NI747"/>
      <c r="NJ747"/>
      <c r="NK747"/>
      <c r="NL747"/>
      <c r="NM747"/>
      <c r="NN747"/>
      <c r="NO747"/>
      <c r="NP747"/>
      <c r="NQ747"/>
      <c r="NR747"/>
      <c r="NS747"/>
      <c r="NT747"/>
      <c r="NU747"/>
      <c r="NV747"/>
      <c r="NW747"/>
      <c r="NX747"/>
      <c r="NY747"/>
      <c r="NZ747"/>
      <c r="OA747"/>
      <c r="OB747"/>
      <c r="OC747"/>
      <c r="OD747"/>
      <c r="OE747"/>
      <c r="OF747"/>
      <c r="OG747"/>
      <c r="OH747"/>
      <c r="OI747"/>
      <c r="OJ747"/>
      <c r="OK747"/>
      <c r="OL747"/>
      <c r="OM747"/>
      <c r="ON747"/>
      <c r="OO747"/>
      <c r="OP747"/>
      <c r="OQ747"/>
      <c r="OR747"/>
      <c r="OS747"/>
      <c r="OT747"/>
      <c r="OU747"/>
      <c r="OV747"/>
      <c r="OW747"/>
      <c r="OX747"/>
      <c r="OY747"/>
      <c r="OZ747"/>
      <c r="PA747"/>
      <c r="PB747"/>
      <c r="PC747"/>
      <c r="PD747"/>
      <c r="PE747"/>
      <c r="PF747"/>
      <c r="PG747"/>
      <c r="PH747"/>
      <c r="PI747"/>
      <c r="PJ747"/>
      <c r="PK747"/>
      <c r="PL747"/>
      <c r="PM747"/>
      <c r="PN747"/>
      <c r="PO747"/>
      <c r="PP747"/>
      <c r="PQ747"/>
      <c r="PR747"/>
      <c r="PS747"/>
      <c r="PT747"/>
      <c r="PU747"/>
      <c r="PV747"/>
      <c r="PW747"/>
      <c r="PX747"/>
      <c r="PY747"/>
      <c r="PZ747"/>
      <c r="QA747"/>
      <c r="QB747"/>
      <c r="QC747"/>
      <c r="QD747"/>
      <c r="QE747"/>
      <c r="QF747"/>
      <c r="QG747"/>
      <c r="QH747"/>
      <c r="QI747"/>
      <c r="QJ747"/>
      <c r="QK747"/>
      <c r="QL747"/>
      <c r="QM747"/>
      <c r="QN747"/>
      <c r="QO747"/>
      <c r="QP747"/>
      <c r="QQ747"/>
      <c r="QR747"/>
      <c r="QS747"/>
      <c r="QT747"/>
      <c r="QU747"/>
      <c r="QV747"/>
      <c r="QW747"/>
      <c r="QX747"/>
      <c r="QY747"/>
      <c r="QZ747"/>
      <c r="RA747"/>
      <c r="RB747"/>
      <c r="RC747"/>
      <c r="RD747"/>
      <c r="RE747"/>
      <c r="RF747"/>
      <c r="RG747"/>
      <c r="RH747"/>
      <c r="RI747"/>
      <c r="RJ747"/>
      <c r="RK747"/>
      <c r="RL747"/>
      <c r="RM747"/>
      <c r="RN747"/>
      <c r="RO747"/>
      <c r="RP747"/>
      <c r="RQ747"/>
      <c r="RR747"/>
      <c r="RS747"/>
      <c r="RT747"/>
      <c r="RU747"/>
      <c r="RV747"/>
      <c r="RW747"/>
      <c r="RX747"/>
      <c r="RY747"/>
      <c r="RZ747"/>
      <c r="SA747"/>
      <c r="SB747"/>
      <c r="SC747"/>
      <c r="SD747"/>
      <c r="SE747"/>
      <c r="SF747"/>
      <c r="SG747"/>
      <c r="SH747"/>
      <c r="SI747"/>
      <c r="SJ747"/>
      <c r="SK747"/>
      <c r="SL747"/>
      <c r="SM747"/>
      <c r="SN747"/>
      <c r="SO747"/>
      <c r="SP747"/>
      <c r="SQ747"/>
      <c r="SR747"/>
      <c r="SS747"/>
      <c r="ST747"/>
      <c r="SU747"/>
      <c r="SV747"/>
      <c r="SW747"/>
      <c r="SX747"/>
      <c r="SY747"/>
      <c r="SZ747"/>
      <c r="TA747"/>
      <c r="TB747"/>
      <c r="TC747"/>
      <c r="TD747"/>
      <c r="TE747"/>
      <c r="TF747"/>
      <c r="TG747"/>
      <c r="TH747"/>
      <c r="TI747"/>
      <c r="TJ747"/>
      <c r="TK747"/>
      <c r="TL747"/>
      <c r="TM747"/>
      <c r="TN747"/>
      <c r="TO747"/>
      <c r="TP747"/>
      <c r="TQ747"/>
      <c r="TR747"/>
      <c r="TS747"/>
      <c r="TT747"/>
      <c r="TU747"/>
      <c r="TV747"/>
      <c r="TW747"/>
      <c r="TX747"/>
      <c r="TY747"/>
      <c r="TZ747"/>
      <c r="UA747"/>
      <c r="UB747"/>
      <c r="UC747"/>
      <c r="UD747"/>
      <c r="UE747"/>
      <c r="UF747"/>
      <c r="UG747"/>
      <c r="UH747"/>
      <c r="UI747"/>
      <c r="UJ747"/>
      <c r="UK747"/>
      <c r="UL747"/>
      <c r="UM747"/>
      <c r="UN747"/>
      <c r="UO747"/>
      <c r="UP747"/>
      <c r="UQ747"/>
      <c r="UR747"/>
      <c r="US747"/>
      <c r="UT747"/>
      <c r="UU747"/>
      <c r="UV747"/>
      <c r="UW747"/>
      <c r="UX747"/>
      <c r="UY747"/>
      <c r="UZ747"/>
      <c r="VA747"/>
      <c r="VB747"/>
      <c r="VC747"/>
      <c r="VD747"/>
      <c r="VE747"/>
      <c r="VF747"/>
      <c r="VG747"/>
      <c r="VH747"/>
      <c r="VI747"/>
      <c r="VJ747"/>
      <c r="VK747"/>
      <c r="VL747"/>
      <c r="VM747"/>
      <c r="VN747"/>
      <c r="VO747"/>
      <c r="VP747"/>
      <c r="VQ747"/>
      <c r="VR747"/>
      <c r="VS747"/>
      <c r="VT747"/>
      <c r="VU747"/>
      <c r="VV747"/>
      <c r="VW747"/>
      <c r="VX747"/>
      <c r="VY747"/>
      <c r="VZ747"/>
      <c r="WA747"/>
      <c r="WB747"/>
      <c r="WC747"/>
      <c r="WD747"/>
      <c r="WE747"/>
      <c r="WF747"/>
      <c r="WG747"/>
      <c r="WH747"/>
      <c r="WI747"/>
      <c r="WJ747"/>
      <c r="WK747"/>
      <c r="WL747"/>
      <c r="WM747"/>
      <c r="WN747"/>
      <c r="WO747"/>
      <c r="WP747"/>
      <c r="WQ747"/>
      <c r="WR747"/>
      <c r="WS747"/>
      <c r="WT747"/>
      <c r="WU747"/>
      <c r="WV747"/>
      <c r="WW747"/>
      <c r="WX747"/>
      <c r="WY747"/>
      <c r="WZ747"/>
      <c r="XA747"/>
      <c r="XB747"/>
      <c r="XC747"/>
      <c r="XD747"/>
      <c r="XE747"/>
      <c r="XF747"/>
      <c r="XG747"/>
      <c r="XH747"/>
      <c r="XI747"/>
      <c r="XJ747"/>
      <c r="XK747"/>
      <c r="XL747"/>
      <c r="XM747"/>
      <c r="XN747"/>
      <c r="XO747"/>
      <c r="XP747"/>
      <c r="XQ747"/>
      <c r="XR747"/>
      <c r="XS747"/>
      <c r="XT747"/>
      <c r="XU747"/>
      <c r="XV747"/>
      <c r="XW747"/>
      <c r="XX747"/>
      <c r="XY747"/>
      <c r="XZ747"/>
      <c r="YA747"/>
      <c r="YB747"/>
      <c r="YC747"/>
      <c r="YD747"/>
      <c r="YE747"/>
      <c r="YF747"/>
      <c r="YG747"/>
      <c r="YH747"/>
      <c r="YI747"/>
      <c r="YJ747"/>
      <c r="YK747"/>
      <c r="YL747"/>
      <c r="YM747"/>
      <c r="YN747"/>
      <c r="YO747"/>
      <c r="YP747"/>
      <c r="YQ747"/>
      <c r="YR747"/>
      <c r="YS747"/>
      <c r="YT747"/>
      <c r="YU747"/>
      <c r="YV747"/>
      <c r="YW747"/>
      <c r="YX747"/>
      <c r="YY747"/>
      <c r="YZ747"/>
      <c r="ZA747"/>
      <c r="ZB747"/>
      <c r="ZC747"/>
      <c r="ZD747"/>
      <c r="ZE747"/>
      <c r="ZF747"/>
      <c r="ZG747"/>
      <c r="ZH747"/>
      <c r="ZI747"/>
      <c r="ZJ747"/>
      <c r="ZK747"/>
      <c r="ZL747"/>
      <c r="ZM747"/>
      <c r="ZN747"/>
      <c r="ZO747"/>
      <c r="ZP747"/>
      <c r="ZQ747"/>
      <c r="ZR747"/>
      <c r="ZS747"/>
      <c r="ZT747"/>
      <c r="ZU747"/>
      <c r="ZV747"/>
      <c r="ZW747"/>
      <c r="ZX747"/>
      <c r="ZY747"/>
      <c r="ZZ747" s="52"/>
      <c r="AAA747" s="192"/>
      <c r="AAD747" s="90"/>
      <c r="AAE747" s="519">
        <f>IF(C747="Y",1,0)</f>
        <v>1</v>
      </c>
      <c r="AAF747" s="90"/>
      <c r="AAG747" s="73">
        <f>IF(C747="Y",H746,)</f>
        <v>41736</v>
      </c>
      <c r="AAH747" s="73">
        <f>G747</f>
        <v>41736</v>
      </c>
      <c r="AAI747" s="72"/>
      <c r="AAJ747" s="72"/>
      <c r="AAK747" s="92" t="str">
        <f>"If errors, "&amp;S.Staff.Lead&amp;" works with "&amp;S.Staff.AgencyRulesCoordinator&amp;" to correct and selects 'Y'  &gt;"</f>
        <v>If errors, AndreaRW works with Maggie to correct and selects 'Y'  &gt;</v>
      </c>
      <c r="AAL747" s="90"/>
    </row>
    <row r="748" spans="1:714" s="23" customFormat="1" ht="15" customHeight="1" outlineLevel="1">
      <c r="A748" s="171"/>
      <c r="B748" s="361" t="str">
        <f>AAK748</f>
        <v>AndreaSIP submits SIP to EPA within 60 days AFTER adoption</v>
      </c>
      <c r="D748" s="380"/>
      <c r="E748" s="432">
        <f>NETWORKDAYS(G748,H748,S.DDL_DEQClosed)</f>
        <v>34</v>
      </c>
      <c r="F748" s="457">
        <f ca="1">IF(YEAR(H748)&gt;2000,NETWORKDAYS(TODAY(),H748,S.DDL_DEQClosed),0)</f>
        <v>130</v>
      </c>
      <c r="G748" s="351">
        <f t="shared" si="612"/>
        <v>41717</v>
      </c>
      <c r="H748" s="343">
        <f t="shared" si="612"/>
        <v>41764</v>
      </c>
      <c r="I748" s="244"/>
      <c r="J748" s="194"/>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c r="BG748" s="49"/>
      <c r="BH748" s="49"/>
      <c r="BI748" s="49"/>
      <c r="BJ748" s="49"/>
      <c r="BK748" s="49"/>
      <c r="BL748" s="49"/>
      <c r="BM748" s="49"/>
      <c r="BN748" s="49"/>
      <c r="BO748" s="49"/>
      <c r="BP748" s="49"/>
      <c r="BQ748" s="49"/>
      <c r="BR748" s="49"/>
      <c r="BS748" s="49"/>
      <c r="BT748" s="49"/>
      <c r="BU748" s="49"/>
      <c r="BV748" s="49"/>
      <c r="BW748" s="49"/>
      <c r="BX748" s="49"/>
      <c r="BY748" s="49"/>
      <c r="BZ748" s="49"/>
      <c r="CA748" s="49"/>
      <c r="CB748" s="49"/>
      <c r="CC748" s="49"/>
      <c r="CD748" s="49"/>
      <c r="CE748" s="49"/>
      <c r="CF748" s="49"/>
      <c r="CG748" s="49"/>
      <c r="CH748" s="49"/>
      <c r="CI748" s="49"/>
      <c r="CJ748" s="49"/>
      <c r="CK748" s="49"/>
      <c r="CL748" s="49"/>
      <c r="CM748" s="49"/>
      <c r="CN748" s="49"/>
      <c r="CO748" s="49"/>
      <c r="CP748" s="49"/>
      <c r="CQ748" s="49"/>
      <c r="CR748" s="49"/>
      <c r="CS748" s="49"/>
      <c r="CT748" s="49"/>
      <c r="CU748" s="49"/>
      <c r="CV748" s="49"/>
      <c r="CW748" s="49"/>
      <c r="CX748" s="49"/>
      <c r="CY748" s="49"/>
      <c r="CZ748" s="49"/>
      <c r="DA748" s="49"/>
      <c r="DB748" s="49"/>
      <c r="DC748" s="49"/>
      <c r="DD748" s="49"/>
      <c r="DE748" s="49"/>
      <c r="DF748" s="49"/>
      <c r="DG748" s="49"/>
      <c r="DH748" s="49"/>
      <c r="DI748" s="49"/>
      <c r="DJ748" s="49"/>
      <c r="DK748" s="49"/>
      <c r="DL748" s="49"/>
      <c r="DM748" s="49"/>
      <c r="DN748" s="49"/>
      <c r="DO748" s="49"/>
      <c r="DP748" s="49"/>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c r="IW748"/>
      <c r="IX748"/>
      <c r="IY748"/>
      <c r="IZ748"/>
      <c r="JA748"/>
      <c r="JB748"/>
      <c r="JC748"/>
      <c r="JD748"/>
      <c r="JE748"/>
      <c r="JF748"/>
      <c r="JG748"/>
      <c r="JH748"/>
      <c r="JI748"/>
      <c r="JJ748"/>
      <c r="JK748"/>
      <c r="JL748"/>
      <c r="JM748"/>
      <c r="JN748"/>
      <c r="JO748"/>
      <c r="JP748"/>
      <c r="JQ748"/>
      <c r="JR748"/>
      <c r="JS748"/>
      <c r="JT748"/>
      <c r="JU748"/>
      <c r="JV748"/>
      <c r="JW748"/>
      <c r="JX748"/>
      <c r="JY748"/>
      <c r="JZ748"/>
      <c r="KA748"/>
      <c r="KB748"/>
      <c r="KC748"/>
      <c r="KD748"/>
      <c r="KE748"/>
      <c r="KF748"/>
      <c r="KG748"/>
      <c r="KH748"/>
      <c r="KI748"/>
      <c r="KJ748"/>
      <c r="KK748"/>
      <c r="KL748"/>
      <c r="KM748"/>
      <c r="KN748"/>
      <c r="KO748"/>
      <c r="KP748"/>
      <c r="KQ748"/>
      <c r="KR748"/>
      <c r="KS748"/>
      <c r="KT748"/>
      <c r="KU748"/>
      <c r="KV748"/>
      <c r="KW748"/>
      <c r="KX748"/>
      <c r="KY748"/>
      <c r="KZ748"/>
      <c r="LA748"/>
      <c r="LB748"/>
      <c r="LC748"/>
      <c r="LD748"/>
      <c r="LE748"/>
      <c r="LF748"/>
      <c r="LG748"/>
      <c r="LH748"/>
      <c r="LI748"/>
      <c r="LJ748"/>
      <c r="LK748"/>
      <c r="LL748"/>
      <c r="LM748"/>
      <c r="LN748"/>
      <c r="LO748"/>
      <c r="LP748"/>
      <c r="LQ748"/>
      <c r="LR748"/>
      <c r="LS748"/>
      <c r="LT748"/>
      <c r="LU748"/>
      <c r="LV748"/>
      <c r="LW748"/>
      <c r="LX748"/>
      <c r="LY748"/>
      <c r="LZ748"/>
      <c r="MA748"/>
      <c r="MB748"/>
      <c r="MC748"/>
      <c r="MD748"/>
      <c r="ME748"/>
      <c r="MF748"/>
      <c r="MG748"/>
      <c r="MH748"/>
      <c r="MI748"/>
      <c r="MJ748"/>
      <c r="MK748"/>
      <c r="ML748"/>
      <c r="MM748"/>
      <c r="MN748"/>
      <c r="MO748"/>
      <c r="MP748"/>
      <c r="MQ748"/>
      <c r="MR748"/>
      <c r="MS748"/>
      <c r="MT748"/>
      <c r="MU748"/>
      <c r="MV748"/>
      <c r="MW748"/>
      <c r="MX748"/>
      <c r="MY748"/>
      <c r="MZ748"/>
      <c r="NA748"/>
      <c r="NB748"/>
      <c r="NC748"/>
      <c r="ND748"/>
      <c r="NE748"/>
      <c r="NF748"/>
      <c r="NG748"/>
      <c r="NH748"/>
      <c r="NI748"/>
      <c r="NJ748"/>
      <c r="NK748"/>
      <c r="NL748"/>
      <c r="NM748"/>
      <c r="NN748"/>
      <c r="NO748"/>
      <c r="NP748"/>
      <c r="NQ748"/>
      <c r="NR748"/>
      <c r="NS748"/>
      <c r="NT748"/>
      <c r="NU748"/>
      <c r="NV748"/>
      <c r="NW748"/>
      <c r="NX748"/>
      <c r="NY748"/>
      <c r="NZ748"/>
      <c r="OA748"/>
      <c r="OB748"/>
      <c r="OC748"/>
      <c r="OD748"/>
      <c r="OE748"/>
      <c r="OF748"/>
      <c r="OG748"/>
      <c r="OH748"/>
      <c r="OI748"/>
      <c r="OJ748"/>
      <c r="OK748"/>
      <c r="OL748"/>
      <c r="OM748"/>
      <c r="ON748"/>
      <c r="OO748"/>
      <c r="OP748"/>
      <c r="OQ748"/>
      <c r="OR748"/>
      <c r="OS748"/>
      <c r="OT748"/>
      <c r="OU748"/>
      <c r="OV748"/>
      <c r="OW748"/>
      <c r="OX748"/>
      <c r="OY748"/>
      <c r="OZ748"/>
      <c r="PA748"/>
      <c r="PB748"/>
      <c r="PC748"/>
      <c r="PD748"/>
      <c r="PE748"/>
      <c r="PF748"/>
      <c r="PG748"/>
      <c r="PH748"/>
      <c r="PI748"/>
      <c r="PJ748"/>
      <c r="PK748"/>
      <c r="PL748"/>
      <c r="PM748"/>
      <c r="PN748"/>
      <c r="PO748"/>
      <c r="PP748"/>
      <c r="PQ748"/>
      <c r="PR748"/>
      <c r="PS748"/>
      <c r="PT748"/>
      <c r="PU748"/>
      <c r="PV748"/>
      <c r="PW748"/>
      <c r="PX748"/>
      <c r="PY748"/>
      <c r="PZ748"/>
      <c r="QA748"/>
      <c r="QB748"/>
      <c r="QC748"/>
      <c r="QD748"/>
      <c r="QE748"/>
      <c r="QF748"/>
      <c r="QG748"/>
      <c r="QH748"/>
      <c r="QI748"/>
      <c r="QJ748"/>
      <c r="QK748"/>
      <c r="QL748"/>
      <c r="QM748"/>
      <c r="QN748"/>
      <c r="QO748"/>
      <c r="QP748"/>
      <c r="QQ748"/>
      <c r="QR748"/>
      <c r="QS748"/>
      <c r="QT748"/>
      <c r="QU748"/>
      <c r="QV748"/>
      <c r="QW748"/>
      <c r="QX748"/>
      <c r="QY748"/>
      <c r="QZ748"/>
      <c r="RA748"/>
      <c r="RB748"/>
      <c r="RC748"/>
      <c r="RD748"/>
      <c r="RE748"/>
      <c r="RF748"/>
      <c r="RG748"/>
      <c r="RH748"/>
      <c r="RI748"/>
      <c r="RJ748"/>
      <c r="RK748"/>
      <c r="RL748"/>
      <c r="RM748"/>
      <c r="RN748"/>
      <c r="RO748"/>
      <c r="RP748"/>
      <c r="RQ748"/>
      <c r="RR748"/>
      <c r="RS748"/>
      <c r="RT748"/>
      <c r="RU748"/>
      <c r="RV748"/>
      <c r="RW748"/>
      <c r="RX748"/>
      <c r="RY748"/>
      <c r="RZ748"/>
      <c r="SA748"/>
      <c r="SB748"/>
      <c r="SC748"/>
      <c r="SD748"/>
      <c r="SE748"/>
      <c r="SF748"/>
      <c r="SG748"/>
      <c r="SH748"/>
      <c r="SI748"/>
      <c r="SJ748"/>
      <c r="SK748"/>
      <c r="SL748"/>
      <c r="SM748"/>
      <c r="SN748"/>
      <c r="SO748"/>
      <c r="SP748"/>
      <c r="SQ748"/>
      <c r="SR748"/>
      <c r="SS748"/>
      <c r="ST748"/>
      <c r="SU748"/>
      <c r="SV748"/>
      <c r="SW748"/>
      <c r="SX748"/>
      <c r="SY748"/>
      <c r="SZ748"/>
      <c r="TA748"/>
      <c r="TB748"/>
      <c r="TC748"/>
      <c r="TD748"/>
      <c r="TE748"/>
      <c r="TF748"/>
      <c r="TG748"/>
      <c r="TH748"/>
      <c r="TI748"/>
      <c r="TJ748"/>
      <c r="TK748"/>
      <c r="TL748"/>
      <c r="TM748"/>
      <c r="TN748"/>
      <c r="TO748"/>
      <c r="TP748"/>
      <c r="TQ748"/>
      <c r="TR748"/>
      <c r="TS748"/>
      <c r="TT748"/>
      <c r="TU748"/>
      <c r="TV748"/>
      <c r="TW748"/>
      <c r="TX748"/>
      <c r="TY748"/>
      <c r="TZ748"/>
      <c r="UA748"/>
      <c r="UB748"/>
      <c r="UC748"/>
      <c r="UD748"/>
      <c r="UE748"/>
      <c r="UF748"/>
      <c r="UG748"/>
      <c r="UH748"/>
      <c r="UI748"/>
      <c r="UJ748"/>
      <c r="UK748"/>
      <c r="UL748"/>
      <c r="UM748"/>
      <c r="UN748"/>
      <c r="UO748"/>
      <c r="UP748"/>
      <c r="UQ748"/>
      <c r="UR748"/>
      <c r="US748"/>
      <c r="UT748"/>
      <c r="UU748"/>
      <c r="UV748"/>
      <c r="UW748"/>
      <c r="UX748"/>
      <c r="UY748"/>
      <c r="UZ748"/>
      <c r="VA748"/>
      <c r="VB748"/>
      <c r="VC748"/>
      <c r="VD748"/>
      <c r="VE748"/>
      <c r="VF748"/>
      <c r="VG748"/>
      <c r="VH748"/>
      <c r="VI748"/>
      <c r="VJ748"/>
      <c r="VK748"/>
      <c r="VL748"/>
      <c r="VM748"/>
      <c r="VN748"/>
      <c r="VO748"/>
      <c r="VP748"/>
      <c r="VQ748"/>
      <c r="VR748"/>
      <c r="VS748"/>
      <c r="VT748"/>
      <c r="VU748"/>
      <c r="VV748"/>
      <c r="VW748"/>
      <c r="VX748"/>
      <c r="VY748"/>
      <c r="VZ748"/>
      <c r="WA748"/>
      <c r="WB748"/>
      <c r="WC748"/>
      <c r="WD748"/>
      <c r="WE748"/>
      <c r="WF748"/>
      <c r="WG748"/>
      <c r="WH748"/>
      <c r="WI748"/>
      <c r="WJ748"/>
      <c r="WK748"/>
      <c r="WL748"/>
      <c r="WM748"/>
      <c r="WN748"/>
      <c r="WO748"/>
      <c r="WP748"/>
      <c r="WQ748"/>
      <c r="WR748"/>
      <c r="WS748"/>
      <c r="WT748"/>
      <c r="WU748"/>
      <c r="WV748"/>
      <c r="WW748"/>
      <c r="WX748"/>
      <c r="WY748"/>
      <c r="WZ748"/>
      <c r="XA748"/>
      <c r="XB748"/>
      <c r="XC748"/>
      <c r="XD748"/>
      <c r="XE748"/>
      <c r="XF748"/>
      <c r="XG748"/>
      <c r="XH748"/>
      <c r="XI748"/>
      <c r="XJ748"/>
      <c r="XK748"/>
      <c r="XL748"/>
      <c r="XM748"/>
      <c r="XN748"/>
      <c r="XO748"/>
      <c r="XP748"/>
      <c r="XQ748"/>
      <c r="XR748"/>
      <c r="XS748"/>
      <c r="XT748"/>
      <c r="XU748"/>
      <c r="XV748"/>
      <c r="XW748"/>
      <c r="XX748"/>
      <c r="XY748"/>
      <c r="XZ748"/>
      <c r="YA748"/>
      <c r="YB748"/>
      <c r="YC748"/>
      <c r="YD748"/>
      <c r="YE748"/>
      <c r="YF748"/>
      <c r="YG748"/>
      <c r="YH748"/>
      <c r="YI748"/>
      <c r="YJ748"/>
      <c r="YK748"/>
      <c r="YL748"/>
      <c r="YM748"/>
      <c r="YN748"/>
      <c r="YO748"/>
      <c r="YP748"/>
      <c r="YQ748"/>
      <c r="YR748"/>
      <c r="YS748"/>
      <c r="YT748"/>
      <c r="YU748"/>
      <c r="YV748"/>
      <c r="YW748"/>
      <c r="YX748"/>
      <c r="YY748"/>
      <c r="YZ748"/>
      <c r="ZA748"/>
      <c r="ZB748"/>
      <c r="ZC748"/>
      <c r="ZD748"/>
      <c r="ZE748"/>
      <c r="ZF748"/>
      <c r="ZG748"/>
      <c r="ZH748"/>
      <c r="ZI748"/>
      <c r="ZJ748"/>
      <c r="ZK748"/>
      <c r="ZL748"/>
      <c r="ZM748"/>
      <c r="ZN748"/>
      <c r="ZO748"/>
      <c r="ZP748"/>
      <c r="ZQ748"/>
      <c r="ZR748"/>
      <c r="ZS748"/>
      <c r="ZT748"/>
      <c r="ZU748"/>
      <c r="ZV748"/>
      <c r="ZW748"/>
      <c r="ZX748"/>
      <c r="ZY748"/>
      <c r="ZZ748" s="52"/>
      <c r="AAA748" s="192" t="s">
        <v>0</v>
      </c>
      <c r="AAD748" s="90"/>
      <c r="AAE748" s="519">
        <v>1</v>
      </c>
      <c r="AAF748" s="90"/>
      <c r="AAG748" s="73">
        <f>S.EQC.Meeting</f>
        <v>41717</v>
      </c>
      <c r="AAH748" s="73">
        <f>WORKDAY(S.EQC.Meeting+44,1,S.DDL_DEQClosed)</f>
        <v>41764</v>
      </c>
      <c r="AAI748" s="72"/>
      <c r="AAJ748" s="72"/>
      <c r="AAK748" s="92" t="str">
        <f>S.Staff.SIPCo&amp;" submits SIP to EPA within 60 days AFTER adoption"</f>
        <v>AndreaSIP submits SIP to EPA within 60 days AFTER adoption</v>
      </c>
      <c r="AAL748" s="90"/>
    </row>
    <row r="749" spans="1:714" s="23" customFormat="1" ht="15" customHeight="1" outlineLevel="1">
      <c r="A749" s="171"/>
      <c r="B749" s="413" t="str">
        <f>AAK749</f>
        <v xml:space="preserve">Maggie moves rulemaking record to Rule_Development|Filed Rules </v>
      </c>
      <c r="C749" s="788" t="str">
        <f>HYPERLINK("\\deqhq1\Rule_Development\Filed Rules","i")</f>
        <v>i</v>
      </c>
      <c r="D749" s="380"/>
      <c r="E749" s="342">
        <f t="shared" ref="E749" si="613">NETWORKDAYS(G749,H749,S.DDL_DEQClosed)</f>
        <v>1</v>
      </c>
      <c r="F749" s="457">
        <f ca="1">IF(YEAR(H749)&gt;2000,NETWORKDAYS(TODAY(),H749,S.DDL_DEQClosed),0)</f>
        <v>99</v>
      </c>
      <c r="G749" s="343">
        <f t="shared" ref="G749" si="614">AAG749</f>
        <v>41719</v>
      </c>
      <c r="H749" s="343">
        <f t="shared" ref="H749" si="615">AAH749</f>
        <v>41719</v>
      </c>
      <c r="I749" s="244"/>
      <c r="J749" s="193"/>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46"/>
      <c r="CS749" s="46"/>
      <c r="CT749" s="46"/>
      <c r="CU749" s="46"/>
      <c r="CV749" s="46"/>
      <c r="CW749" s="46"/>
      <c r="CX749" s="46"/>
      <c r="CY749" s="46"/>
      <c r="CZ749" s="46"/>
      <c r="DA749" s="46"/>
      <c r="DB749" s="46"/>
      <c r="DC749" s="46"/>
      <c r="DD749" s="46"/>
      <c r="DE749" s="46"/>
      <c r="DF749" s="46"/>
      <c r="DG749" s="46"/>
      <c r="DH749" s="46"/>
      <c r="DI749" s="46"/>
      <c r="DJ749" s="46"/>
      <c r="DK749" s="46"/>
      <c r="DL749" s="46"/>
      <c r="DM749" s="46"/>
      <c r="DN749" s="46"/>
      <c r="DO749" s="46"/>
      <c r="DP749" s="46"/>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c r="IW749"/>
      <c r="IX749"/>
      <c r="IY749"/>
      <c r="IZ749"/>
      <c r="JA749"/>
      <c r="JB749"/>
      <c r="JC749"/>
      <c r="JD749"/>
      <c r="JE749"/>
      <c r="JF749"/>
      <c r="JG749"/>
      <c r="JH749"/>
      <c r="JI749"/>
      <c r="JJ749"/>
      <c r="JK749"/>
      <c r="JL749"/>
      <c r="JM749"/>
      <c r="JN749"/>
      <c r="JO749"/>
      <c r="JP749"/>
      <c r="JQ749"/>
      <c r="JR749"/>
      <c r="JS749"/>
      <c r="JT749"/>
      <c r="JU749"/>
      <c r="JV749"/>
      <c r="JW749"/>
      <c r="JX749"/>
      <c r="JY749"/>
      <c r="JZ749"/>
      <c r="KA749"/>
      <c r="KB749"/>
      <c r="KC749"/>
      <c r="KD749"/>
      <c r="KE749"/>
      <c r="KF749"/>
      <c r="KG749"/>
      <c r="KH749"/>
      <c r="KI749"/>
      <c r="KJ749"/>
      <c r="KK749"/>
      <c r="KL749"/>
      <c r="KM749"/>
      <c r="KN749"/>
      <c r="KO749"/>
      <c r="KP749"/>
      <c r="KQ749"/>
      <c r="KR749"/>
      <c r="KS749"/>
      <c r="KT749"/>
      <c r="KU749"/>
      <c r="KV749"/>
      <c r="KW749"/>
      <c r="KX749"/>
      <c r="KY749"/>
      <c r="KZ749"/>
      <c r="LA749"/>
      <c r="LB749"/>
      <c r="LC749"/>
      <c r="LD749"/>
      <c r="LE749"/>
      <c r="LF749"/>
      <c r="LG749"/>
      <c r="LH749"/>
      <c r="LI749"/>
      <c r="LJ749"/>
      <c r="LK749"/>
      <c r="LL749"/>
      <c r="LM749"/>
      <c r="LN749"/>
      <c r="LO749"/>
      <c r="LP749"/>
      <c r="LQ749"/>
      <c r="LR749"/>
      <c r="LS749"/>
      <c r="LT749"/>
      <c r="LU749"/>
      <c r="LV749"/>
      <c r="LW749"/>
      <c r="LX749"/>
      <c r="LY749"/>
      <c r="LZ749"/>
      <c r="MA749"/>
      <c r="MB749"/>
      <c r="MC749"/>
      <c r="MD749"/>
      <c r="ME749"/>
      <c r="MF749"/>
      <c r="MG749"/>
      <c r="MH749"/>
      <c r="MI749"/>
      <c r="MJ749"/>
      <c r="MK749"/>
      <c r="ML749"/>
      <c r="MM749"/>
      <c r="MN749"/>
      <c r="MO749"/>
      <c r="MP749"/>
      <c r="MQ749"/>
      <c r="MR749"/>
      <c r="MS749"/>
      <c r="MT749"/>
      <c r="MU749"/>
      <c r="MV749"/>
      <c r="MW749"/>
      <c r="MX749"/>
      <c r="MY749"/>
      <c r="MZ749"/>
      <c r="NA749"/>
      <c r="NB749"/>
      <c r="NC749"/>
      <c r="ND749"/>
      <c r="NE749"/>
      <c r="NF749"/>
      <c r="NG749"/>
      <c r="NH749"/>
      <c r="NI749"/>
      <c r="NJ749"/>
      <c r="NK749"/>
      <c r="NL749"/>
      <c r="NM749"/>
      <c r="NN749"/>
      <c r="NO749"/>
      <c r="NP749"/>
      <c r="NQ749"/>
      <c r="NR749"/>
      <c r="NS749"/>
      <c r="NT749"/>
      <c r="NU749"/>
      <c r="NV749"/>
      <c r="NW749"/>
      <c r="NX749"/>
      <c r="NY749"/>
      <c r="NZ749"/>
      <c r="OA749"/>
      <c r="OB749"/>
      <c r="OC749"/>
      <c r="OD749"/>
      <c r="OE749"/>
      <c r="OF749"/>
      <c r="OG749"/>
      <c r="OH749"/>
      <c r="OI749"/>
      <c r="OJ749"/>
      <c r="OK749"/>
      <c r="OL749"/>
      <c r="OM749"/>
      <c r="ON749"/>
      <c r="OO749"/>
      <c r="OP749"/>
      <c r="OQ749"/>
      <c r="OR749"/>
      <c r="OS749"/>
      <c r="OT749"/>
      <c r="OU749"/>
      <c r="OV749"/>
      <c r="OW749"/>
      <c r="OX749"/>
      <c r="OY749"/>
      <c r="OZ749"/>
      <c r="PA749"/>
      <c r="PB749"/>
      <c r="PC749"/>
      <c r="PD749"/>
      <c r="PE749"/>
      <c r="PF749"/>
      <c r="PG749"/>
      <c r="PH749"/>
      <c r="PI749"/>
      <c r="PJ749"/>
      <c r="PK749"/>
      <c r="PL749"/>
      <c r="PM749"/>
      <c r="PN749"/>
      <c r="PO749"/>
      <c r="PP749"/>
      <c r="PQ749"/>
      <c r="PR749"/>
      <c r="PS749"/>
      <c r="PT749"/>
      <c r="PU749"/>
      <c r="PV749"/>
      <c r="PW749"/>
      <c r="PX749"/>
      <c r="PY749"/>
      <c r="PZ749"/>
      <c r="QA749"/>
      <c r="QB749"/>
      <c r="QC749"/>
      <c r="QD749"/>
      <c r="QE749"/>
      <c r="QF749"/>
      <c r="QG749"/>
      <c r="QH749"/>
      <c r="QI749"/>
      <c r="QJ749"/>
      <c r="QK749"/>
      <c r="QL749"/>
      <c r="QM749"/>
      <c r="QN749"/>
      <c r="QO749"/>
      <c r="QP749"/>
      <c r="QQ749"/>
      <c r="QR749"/>
      <c r="QS749"/>
      <c r="QT749"/>
      <c r="QU749"/>
      <c r="QV749"/>
      <c r="QW749"/>
      <c r="QX749"/>
      <c r="QY749"/>
      <c r="QZ749"/>
      <c r="RA749"/>
      <c r="RB749"/>
      <c r="RC749"/>
      <c r="RD749"/>
      <c r="RE749"/>
      <c r="RF749"/>
      <c r="RG749"/>
      <c r="RH749"/>
      <c r="RI749"/>
      <c r="RJ749"/>
      <c r="RK749"/>
      <c r="RL749"/>
      <c r="RM749"/>
      <c r="RN749"/>
      <c r="RO749"/>
      <c r="RP749"/>
      <c r="RQ749"/>
      <c r="RR749"/>
      <c r="RS749"/>
      <c r="RT749"/>
      <c r="RU749"/>
      <c r="RV749"/>
      <c r="RW749"/>
      <c r="RX749"/>
      <c r="RY749"/>
      <c r="RZ749"/>
      <c r="SA749"/>
      <c r="SB749"/>
      <c r="SC749"/>
      <c r="SD749"/>
      <c r="SE749"/>
      <c r="SF749"/>
      <c r="SG749"/>
      <c r="SH749"/>
      <c r="SI749"/>
      <c r="SJ749"/>
      <c r="SK749"/>
      <c r="SL749"/>
      <c r="SM749"/>
      <c r="SN749"/>
      <c r="SO749"/>
      <c r="SP749"/>
      <c r="SQ749"/>
      <c r="SR749"/>
      <c r="SS749"/>
      <c r="ST749"/>
      <c r="SU749"/>
      <c r="SV749"/>
      <c r="SW749"/>
      <c r="SX749"/>
      <c r="SY749"/>
      <c r="SZ749"/>
      <c r="TA749"/>
      <c r="TB749"/>
      <c r="TC749"/>
      <c r="TD749"/>
      <c r="TE749"/>
      <c r="TF749"/>
      <c r="TG749"/>
      <c r="TH749"/>
      <c r="TI749"/>
      <c r="TJ749"/>
      <c r="TK749"/>
      <c r="TL749"/>
      <c r="TM749"/>
      <c r="TN749"/>
      <c r="TO749"/>
      <c r="TP749"/>
      <c r="TQ749"/>
      <c r="TR749"/>
      <c r="TS749"/>
      <c r="TT749"/>
      <c r="TU749"/>
      <c r="TV749"/>
      <c r="TW749"/>
      <c r="TX749"/>
      <c r="TY749"/>
      <c r="TZ749"/>
      <c r="UA749"/>
      <c r="UB749"/>
      <c r="UC749"/>
      <c r="UD749"/>
      <c r="UE749"/>
      <c r="UF749"/>
      <c r="UG749"/>
      <c r="UH749"/>
      <c r="UI749"/>
      <c r="UJ749"/>
      <c r="UK749"/>
      <c r="UL749"/>
      <c r="UM749"/>
      <c r="UN749"/>
      <c r="UO749"/>
      <c r="UP749"/>
      <c r="UQ749"/>
      <c r="UR749"/>
      <c r="US749"/>
      <c r="UT749"/>
      <c r="UU749"/>
      <c r="UV749"/>
      <c r="UW749"/>
      <c r="UX749"/>
      <c r="UY749"/>
      <c r="UZ749"/>
      <c r="VA749"/>
      <c r="VB749"/>
      <c r="VC749"/>
      <c r="VD749"/>
      <c r="VE749"/>
      <c r="VF749"/>
      <c r="VG749"/>
      <c r="VH749"/>
      <c r="VI749"/>
      <c r="VJ749"/>
      <c r="VK749"/>
      <c r="VL749"/>
      <c r="VM749"/>
      <c r="VN749"/>
      <c r="VO749"/>
      <c r="VP749"/>
      <c r="VQ749"/>
      <c r="VR749"/>
      <c r="VS749"/>
      <c r="VT749"/>
      <c r="VU749"/>
      <c r="VV749"/>
      <c r="VW749"/>
      <c r="VX749"/>
      <c r="VY749"/>
      <c r="VZ749"/>
      <c r="WA749"/>
      <c r="WB749"/>
      <c r="WC749"/>
      <c r="WD749"/>
      <c r="WE749"/>
      <c r="WF749"/>
      <c r="WG749"/>
      <c r="WH749"/>
      <c r="WI749"/>
      <c r="WJ749"/>
      <c r="WK749"/>
      <c r="WL749"/>
      <c r="WM749"/>
      <c r="WN749"/>
      <c r="WO749"/>
      <c r="WP749"/>
      <c r="WQ749"/>
      <c r="WR749"/>
      <c r="WS749"/>
      <c r="WT749"/>
      <c r="WU749"/>
      <c r="WV749"/>
      <c r="WW749"/>
      <c r="WX749"/>
      <c r="WY749"/>
      <c r="WZ749"/>
      <c r="XA749"/>
      <c r="XB749"/>
      <c r="XC749"/>
      <c r="XD749"/>
      <c r="XE749"/>
      <c r="XF749"/>
      <c r="XG749"/>
      <c r="XH749"/>
      <c r="XI749"/>
      <c r="XJ749"/>
      <c r="XK749"/>
      <c r="XL749"/>
      <c r="XM749"/>
      <c r="XN749"/>
      <c r="XO749"/>
      <c r="XP749"/>
      <c r="XQ749"/>
      <c r="XR749"/>
      <c r="XS749"/>
      <c r="XT749"/>
      <c r="XU749"/>
      <c r="XV749"/>
      <c r="XW749"/>
      <c r="XX749"/>
      <c r="XY749"/>
      <c r="XZ749"/>
      <c r="YA749"/>
      <c r="YB749"/>
      <c r="YC749"/>
      <c r="YD749"/>
      <c r="YE749"/>
      <c r="YF749"/>
      <c r="YG749"/>
      <c r="YH749"/>
      <c r="YI749"/>
      <c r="YJ749"/>
      <c r="YK749"/>
      <c r="YL749"/>
      <c r="YM749"/>
      <c r="YN749"/>
      <c r="YO749"/>
      <c r="YP749"/>
      <c r="YQ749"/>
      <c r="YR749"/>
      <c r="YS749"/>
      <c r="YT749"/>
      <c r="YU749"/>
      <c r="YV749"/>
      <c r="YW749"/>
      <c r="YX749"/>
      <c r="YY749"/>
      <c r="YZ749"/>
      <c r="ZA749"/>
      <c r="ZB749"/>
      <c r="ZC749"/>
      <c r="ZD749"/>
      <c r="ZE749"/>
      <c r="ZF749"/>
      <c r="ZG749"/>
      <c r="ZH749"/>
      <c r="ZI749"/>
      <c r="ZJ749"/>
      <c r="ZK749"/>
      <c r="ZL749"/>
      <c r="ZM749"/>
      <c r="ZN749"/>
      <c r="ZO749"/>
      <c r="ZP749"/>
      <c r="ZQ749"/>
      <c r="ZR749"/>
      <c r="ZS749"/>
      <c r="ZT749"/>
      <c r="ZU749"/>
      <c r="ZV749"/>
      <c r="ZW749"/>
      <c r="ZX749"/>
      <c r="ZY749"/>
      <c r="ZZ749" s="52"/>
      <c r="AAA749" s="192"/>
      <c r="AAD749" s="90"/>
      <c r="AAE749" s="519">
        <v>1</v>
      </c>
      <c r="AAF749" s="90" t="s">
        <v>0</v>
      </c>
      <c r="AAG749" s="73">
        <f>S.PostEQC.FileRuleWithSOS</f>
        <v>41719</v>
      </c>
      <c r="AAH749" s="73">
        <f t="shared" ref="AAH749" si="616">G749</f>
        <v>41719</v>
      </c>
      <c r="AAI749" s="72"/>
      <c r="AAJ749" s="55"/>
      <c r="AAK749" s="92" t="str">
        <f>S.Staff.AgencyRulesCoordinator&amp;" moves rulemaking record to Rule_Development|Filed Rules "</f>
        <v xml:space="preserve">Maggie moves rulemaking record to Rule_Development|Filed Rules </v>
      </c>
      <c r="AAL749" s="90"/>
    </row>
    <row r="750" spans="1:714" s="23" customFormat="1" ht="15" customHeight="1" outlineLevel="1">
      <c r="A750" s="171" t="s">
        <v>0</v>
      </c>
      <c r="B750" s="779" t="s">
        <v>501</v>
      </c>
      <c r="C750" s="374"/>
      <c r="D750" s="374"/>
      <c r="E750" s="374"/>
      <c r="F750" s="374"/>
      <c r="G750" s="374"/>
      <c r="H750" s="374"/>
      <c r="I750" s="244"/>
      <c r="J750" s="193"/>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G750" s="46"/>
      <c r="DH750" s="46"/>
      <c r="DI750" s="46"/>
      <c r="DJ750" s="46"/>
      <c r="DK750" s="46"/>
      <c r="DL750" s="46"/>
      <c r="DM750" s="46"/>
      <c r="DN750" s="46"/>
      <c r="DO750" s="46"/>
      <c r="DP750" s="46"/>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c r="IW750"/>
      <c r="IX750"/>
      <c r="IY750"/>
      <c r="IZ750"/>
      <c r="JA750"/>
      <c r="JB750"/>
      <c r="JC750"/>
      <c r="JD750"/>
      <c r="JE750"/>
      <c r="JF750"/>
      <c r="JG750"/>
      <c r="JH750"/>
      <c r="JI750"/>
      <c r="JJ750"/>
      <c r="JK750"/>
      <c r="JL750"/>
      <c r="JM750"/>
      <c r="JN750"/>
      <c r="JO750"/>
      <c r="JP750"/>
      <c r="JQ750"/>
      <c r="JR750"/>
      <c r="JS750"/>
      <c r="JT750"/>
      <c r="JU750"/>
      <c r="JV750"/>
      <c r="JW750"/>
      <c r="JX750"/>
      <c r="JY750"/>
      <c r="JZ750"/>
      <c r="KA750"/>
      <c r="KB750"/>
      <c r="KC750"/>
      <c r="KD750"/>
      <c r="KE750"/>
      <c r="KF750"/>
      <c r="KG750"/>
      <c r="KH750"/>
      <c r="KI750"/>
      <c r="KJ750"/>
      <c r="KK750"/>
      <c r="KL750"/>
      <c r="KM750"/>
      <c r="KN750"/>
      <c r="KO750"/>
      <c r="KP750"/>
      <c r="KQ750"/>
      <c r="KR750"/>
      <c r="KS750"/>
      <c r="KT750"/>
      <c r="KU750"/>
      <c r="KV750"/>
      <c r="KW750"/>
      <c r="KX750"/>
      <c r="KY750"/>
      <c r="KZ750"/>
      <c r="LA750"/>
      <c r="LB750"/>
      <c r="LC750"/>
      <c r="LD750"/>
      <c r="LE750"/>
      <c r="LF750"/>
      <c r="LG750"/>
      <c r="LH750"/>
      <c r="LI750"/>
      <c r="LJ750"/>
      <c r="LK750"/>
      <c r="LL750"/>
      <c r="LM750"/>
      <c r="LN750"/>
      <c r="LO750"/>
      <c r="LP750"/>
      <c r="LQ750"/>
      <c r="LR750"/>
      <c r="LS750"/>
      <c r="LT750"/>
      <c r="LU750"/>
      <c r="LV750"/>
      <c r="LW750"/>
      <c r="LX750"/>
      <c r="LY750"/>
      <c r="LZ750"/>
      <c r="MA750"/>
      <c r="MB750"/>
      <c r="MC750"/>
      <c r="MD750"/>
      <c r="ME750"/>
      <c r="MF750"/>
      <c r="MG750"/>
      <c r="MH750"/>
      <c r="MI750"/>
      <c r="MJ750"/>
      <c r="MK750"/>
      <c r="ML750"/>
      <c r="MM750"/>
      <c r="MN750"/>
      <c r="MO750"/>
      <c r="MP750"/>
      <c r="MQ750"/>
      <c r="MR750"/>
      <c r="MS750"/>
      <c r="MT750"/>
      <c r="MU750"/>
      <c r="MV750"/>
      <c r="MW750"/>
      <c r="MX750"/>
      <c r="MY750"/>
      <c r="MZ750"/>
      <c r="NA750"/>
      <c r="NB750"/>
      <c r="NC750"/>
      <c r="ND750"/>
      <c r="NE750"/>
      <c r="NF750"/>
      <c r="NG750"/>
      <c r="NH750"/>
      <c r="NI750"/>
      <c r="NJ750"/>
      <c r="NK750"/>
      <c r="NL750"/>
      <c r="NM750"/>
      <c r="NN750"/>
      <c r="NO750"/>
      <c r="NP750"/>
      <c r="NQ750"/>
      <c r="NR750"/>
      <c r="NS750"/>
      <c r="NT750"/>
      <c r="NU750"/>
      <c r="NV750"/>
      <c r="NW750"/>
      <c r="NX750"/>
      <c r="NY750"/>
      <c r="NZ750"/>
      <c r="OA750"/>
      <c r="OB750"/>
      <c r="OC750"/>
      <c r="OD750"/>
      <c r="OE750"/>
      <c r="OF750"/>
      <c r="OG750"/>
      <c r="OH750"/>
      <c r="OI750"/>
      <c r="OJ750"/>
      <c r="OK750"/>
      <c r="OL750"/>
      <c r="OM750"/>
      <c r="ON750"/>
      <c r="OO750"/>
      <c r="OP750"/>
      <c r="OQ750"/>
      <c r="OR750"/>
      <c r="OS750"/>
      <c r="OT750"/>
      <c r="OU750"/>
      <c r="OV750"/>
      <c r="OW750"/>
      <c r="OX750"/>
      <c r="OY750"/>
      <c r="OZ750"/>
      <c r="PA750"/>
      <c r="PB750"/>
      <c r="PC750"/>
      <c r="PD750"/>
      <c r="PE750"/>
      <c r="PF750"/>
      <c r="PG750"/>
      <c r="PH750"/>
      <c r="PI750"/>
      <c r="PJ750"/>
      <c r="PK750"/>
      <c r="PL750"/>
      <c r="PM750"/>
      <c r="PN750"/>
      <c r="PO750"/>
      <c r="PP750"/>
      <c r="PQ750"/>
      <c r="PR750"/>
      <c r="PS750"/>
      <c r="PT750"/>
      <c r="PU750"/>
      <c r="PV750"/>
      <c r="PW750"/>
      <c r="PX750"/>
      <c r="PY750"/>
      <c r="PZ750"/>
      <c r="QA750"/>
      <c r="QB750"/>
      <c r="QC750"/>
      <c r="QD750"/>
      <c r="QE750"/>
      <c r="QF750"/>
      <c r="QG750"/>
      <c r="QH750"/>
      <c r="QI750"/>
      <c r="QJ750"/>
      <c r="QK750"/>
      <c r="QL750"/>
      <c r="QM750"/>
      <c r="QN750"/>
      <c r="QO750"/>
      <c r="QP750"/>
      <c r="QQ750"/>
      <c r="QR750"/>
      <c r="QS750"/>
      <c r="QT750"/>
      <c r="QU750"/>
      <c r="QV750"/>
      <c r="QW750"/>
      <c r="QX750"/>
      <c r="QY750"/>
      <c r="QZ750"/>
      <c r="RA750"/>
      <c r="RB750"/>
      <c r="RC750"/>
      <c r="RD750"/>
      <c r="RE750"/>
      <c r="RF750"/>
      <c r="RG750"/>
      <c r="RH750"/>
      <c r="RI750"/>
      <c r="RJ750"/>
      <c r="RK750"/>
      <c r="RL750"/>
      <c r="RM750"/>
      <c r="RN750"/>
      <c r="RO750"/>
      <c r="RP750"/>
      <c r="RQ750"/>
      <c r="RR750"/>
      <c r="RS750"/>
      <c r="RT750"/>
      <c r="RU750"/>
      <c r="RV750"/>
      <c r="RW750"/>
      <c r="RX750"/>
      <c r="RY750"/>
      <c r="RZ750"/>
      <c r="SA750"/>
      <c r="SB750"/>
      <c r="SC750"/>
      <c r="SD750"/>
      <c r="SE750"/>
      <c r="SF750"/>
      <c r="SG750"/>
      <c r="SH750"/>
      <c r="SI750"/>
      <c r="SJ750"/>
      <c r="SK750"/>
      <c r="SL750"/>
      <c r="SM750"/>
      <c r="SN750"/>
      <c r="SO750"/>
      <c r="SP750"/>
      <c r="SQ750"/>
      <c r="SR750"/>
      <c r="SS750"/>
      <c r="ST750"/>
      <c r="SU750"/>
      <c r="SV750"/>
      <c r="SW750"/>
      <c r="SX750"/>
      <c r="SY750"/>
      <c r="SZ750"/>
      <c r="TA750"/>
      <c r="TB750"/>
      <c r="TC750"/>
      <c r="TD750"/>
      <c r="TE750"/>
      <c r="TF750"/>
      <c r="TG750"/>
      <c r="TH750"/>
      <c r="TI750"/>
      <c r="TJ750"/>
      <c r="TK750"/>
      <c r="TL750"/>
      <c r="TM750"/>
      <c r="TN750"/>
      <c r="TO750"/>
      <c r="TP750"/>
      <c r="TQ750"/>
      <c r="TR750"/>
      <c r="TS750"/>
      <c r="TT750"/>
      <c r="TU750"/>
      <c r="TV750"/>
      <c r="TW750"/>
      <c r="TX750"/>
      <c r="TY750"/>
      <c r="TZ750"/>
      <c r="UA750"/>
      <c r="UB750"/>
      <c r="UC750"/>
      <c r="UD750"/>
      <c r="UE750"/>
      <c r="UF750"/>
      <c r="UG750"/>
      <c r="UH750"/>
      <c r="UI750"/>
      <c r="UJ750"/>
      <c r="UK750"/>
      <c r="UL750"/>
      <c r="UM750"/>
      <c r="UN750"/>
      <c r="UO750"/>
      <c r="UP750"/>
      <c r="UQ750"/>
      <c r="UR750"/>
      <c r="US750"/>
      <c r="UT750"/>
      <c r="UU750"/>
      <c r="UV750"/>
      <c r="UW750"/>
      <c r="UX750"/>
      <c r="UY750"/>
      <c r="UZ750"/>
      <c r="VA750"/>
      <c r="VB750"/>
      <c r="VC750"/>
      <c r="VD750"/>
      <c r="VE750"/>
      <c r="VF750"/>
      <c r="VG750"/>
      <c r="VH750"/>
      <c r="VI750"/>
      <c r="VJ750"/>
      <c r="VK750"/>
      <c r="VL750"/>
      <c r="VM750"/>
      <c r="VN750"/>
      <c r="VO750"/>
      <c r="VP750"/>
      <c r="VQ750"/>
      <c r="VR750"/>
      <c r="VS750"/>
      <c r="VT750"/>
      <c r="VU750"/>
      <c r="VV750"/>
      <c r="VW750"/>
      <c r="VX750"/>
      <c r="VY750"/>
      <c r="VZ750"/>
      <c r="WA750"/>
      <c r="WB750"/>
      <c r="WC750"/>
      <c r="WD750"/>
      <c r="WE750"/>
      <c r="WF750"/>
      <c r="WG750"/>
      <c r="WH750"/>
      <c r="WI750"/>
      <c r="WJ750"/>
      <c r="WK750"/>
      <c r="WL750"/>
      <c r="WM750"/>
      <c r="WN750"/>
      <c r="WO750"/>
      <c r="WP750"/>
      <c r="WQ750"/>
      <c r="WR750"/>
      <c r="WS750"/>
      <c r="WT750"/>
      <c r="WU750"/>
      <c r="WV750"/>
      <c r="WW750"/>
      <c r="WX750"/>
      <c r="WY750"/>
      <c r="WZ750"/>
      <c r="XA750"/>
      <c r="XB750"/>
      <c r="XC750"/>
      <c r="XD750"/>
      <c r="XE750"/>
      <c r="XF750"/>
      <c r="XG750"/>
      <c r="XH750"/>
      <c r="XI750"/>
      <c r="XJ750"/>
      <c r="XK750"/>
      <c r="XL750"/>
      <c r="XM750"/>
      <c r="XN750"/>
      <c r="XO750"/>
      <c r="XP750"/>
      <c r="XQ750"/>
      <c r="XR750"/>
      <c r="XS750"/>
      <c r="XT750"/>
      <c r="XU750"/>
      <c r="XV750"/>
      <c r="XW750"/>
      <c r="XX750"/>
      <c r="XY750"/>
      <c r="XZ750"/>
      <c r="YA750"/>
      <c r="YB750"/>
      <c r="YC750"/>
      <c r="YD750"/>
      <c r="YE750"/>
      <c r="YF750"/>
      <c r="YG750"/>
      <c r="YH750"/>
      <c r="YI750"/>
      <c r="YJ750"/>
      <c r="YK750"/>
      <c r="YL750"/>
      <c r="YM750"/>
      <c r="YN750"/>
      <c r="YO750"/>
      <c r="YP750"/>
      <c r="YQ750"/>
      <c r="YR750"/>
      <c r="YS750"/>
      <c r="YT750"/>
      <c r="YU750"/>
      <c r="YV750"/>
      <c r="YW750"/>
      <c r="YX750"/>
      <c r="YY750"/>
      <c r="YZ750"/>
      <c r="ZA750"/>
      <c r="ZB750"/>
      <c r="ZC750"/>
      <c r="ZD750"/>
      <c r="ZE750"/>
      <c r="ZF750"/>
      <c r="ZG750"/>
      <c r="ZH750"/>
      <c r="ZI750"/>
      <c r="ZJ750"/>
      <c r="ZK750"/>
      <c r="ZL750"/>
      <c r="ZM750"/>
      <c r="ZN750"/>
      <c r="ZO750"/>
      <c r="ZP750"/>
      <c r="ZQ750"/>
      <c r="ZR750"/>
      <c r="ZS750"/>
      <c r="ZT750"/>
      <c r="ZU750"/>
      <c r="ZV750"/>
      <c r="ZW750"/>
      <c r="ZX750"/>
      <c r="ZY750"/>
      <c r="ZZ750" s="52"/>
      <c r="AAA750" s="192"/>
      <c r="AAD750" s="90"/>
      <c r="AAE750" s="519">
        <v>1</v>
      </c>
      <c r="AAF750" s="190" t="s">
        <v>52</v>
      </c>
      <c r="AAG750" s="71"/>
      <c r="AAH750" s="71"/>
      <c r="AAI750" s="72"/>
      <c r="AAJ750" s="55"/>
      <c r="AAK750" s="53"/>
      <c r="AAL750" s="90"/>
    </row>
    <row r="751" spans="1:714" s="23" customFormat="1" ht="15" customHeight="1" outlineLevel="1">
      <c r="A751" s="171" t="s">
        <v>0</v>
      </c>
      <c r="B751" s="632" t="str">
        <f t="shared" ref="B751" si="617">AAK751</f>
        <v>in coordination with  AndreaRW</v>
      </c>
      <c r="C751" s="374"/>
      <c r="D751" s="374"/>
      <c r="E751" s="374"/>
      <c r="F751" s="374"/>
      <c r="G751" s="374"/>
      <c r="H751" s="374"/>
      <c r="I751" s="244"/>
      <c r="J751" s="193"/>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G751" s="46"/>
      <c r="DH751" s="46"/>
      <c r="DI751" s="46"/>
      <c r="DJ751" s="46"/>
      <c r="DK751" s="46"/>
      <c r="DL751" s="46"/>
      <c r="DM751" s="46"/>
      <c r="DN751" s="46"/>
      <c r="DO751" s="46"/>
      <c r="DP751" s="46"/>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c r="IW751"/>
      <c r="IX751"/>
      <c r="IY751"/>
      <c r="IZ751"/>
      <c r="JA751"/>
      <c r="JB751"/>
      <c r="JC751"/>
      <c r="JD751"/>
      <c r="JE751"/>
      <c r="JF751"/>
      <c r="JG751"/>
      <c r="JH751"/>
      <c r="JI751"/>
      <c r="JJ751"/>
      <c r="JK751"/>
      <c r="JL751"/>
      <c r="JM751"/>
      <c r="JN751"/>
      <c r="JO751"/>
      <c r="JP751"/>
      <c r="JQ751"/>
      <c r="JR751"/>
      <c r="JS751"/>
      <c r="JT751"/>
      <c r="JU751"/>
      <c r="JV751"/>
      <c r="JW751"/>
      <c r="JX751"/>
      <c r="JY751"/>
      <c r="JZ751"/>
      <c r="KA751"/>
      <c r="KB751"/>
      <c r="KC751"/>
      <c r="KD751"/>
      <c r="KE751"/>
      <c r="KF751"/>
      <c r="KG751"/>
      <c r="KH751"/>
      <c r="KI751"/>
      <c r="KJ751"/>
      <c r="KK751"/>
      <c r="KL751"/>
      <c r="KM751"/>
      <c r="KN751"/>
      <c r="KO751"/>
      <c r="KP751"/>
      <c r="KQ751"/>
      <c r="KR751"/>
      <c r="KS751"/>
      <c r="KT751"/>
      <c r="KU751"/>
      <c r="KV751"/>
      <c r="KW751"/>
      <c r="KX751"/>
      <c r="KY751"/>
      <c r="KZ751"/>
      <c r="LA751"/>
      <c r="LB751"/>
      <c r="LC751"/>
      <c r="LD751"/>
      <c r="LE751"/>
      <c r="LF751"/>
      <c r="LG751"/>
      <c r="LH751"/>
      <c r="LI751"/>
      <c r="LJ751"/>
      <c r="LK751"/>
      <c r="LL751"/>
      <c r="LM751"/>
      <c r="LN751"/>
      <c r="LO751"/>
      <c r="LP751"/>
      <c r="LQ751"/>
      <c r="LR751"/>
      <c r="LS751"/>
      <c r="LT751"/>
      <c r="LU751"/>
      <c r="LV751"/>
      <c r="LW751"/>
      <c r="LX751"/>
      <c r="LY751"/>
      <c r="LZ751"/>
      <c r="MA751"/>
      <c r="MB751"/>
      <c r="MC751"/>
      <c r="MD751"/>
      <c r="ME751"/>
      <c r="MF751"/>
      <c r="MG751"/>
      <c r="MH751"/>
      <c r="MI751"/>
      <c r="MJ751"/>
      <c r="MK751"/>
      <c r="ML751"/>
      <c r="MM751"/>
      <c r="MN751"/>
      <c r="MO751"/>
      <c r="MP751"/>
      <c r="MQ751"/>
      <c r="MR751"/>
      <c r="MS751"/>
      <c r="MT751"/>
      <c r="MU751"/>
      <c r="MV751"/>
      <c r="MW751"/>
      <c r="MX751"/>
      <c r="MY751"/>
      <c r="MZ751"/>
      <c r="NA751"/>
      <c r="NB751"/>
      <c r="NC751"/>
      <c r="ND751"/>
      <c r="NE751"/>
      <c r="NF751"/>
      <c r="NG751"/>
      <c r="NH751"/>
      <c r="NI751"/>
      <c r="NJ751"/>
      <c r="NK751"/>
      <c r="NL751"/>
      <c r="NM751"/>
      <c r="NN751"/>
      <c r="NO751"/>
      <c r="NP751"/>
      <c r="NQ751"/>
      <c r="NR751"/>
      <c r="NS751"/>
      <c r="NT751"/>
      <c r="NU751"/>
      <c r="NV751"/>
      <c r="NW751"/>
      <c r="NX751"/>
      <c r="NY751"/>
      <c r="NZ751"/>
      <c r="OA751"/>
      <c r="OB751"/>
      <c r="OC751"/>
      <c r="OD751"/>
      <c r="OE751"/>
      <c r="OF751"/>
      <c r="OG751"/>
      <c r="OH751"/>
      <c r="OI751"/>
      <c r="OJ751"/>
      <c r="OK751"/>
      <c r="OL751"/>
      <c r="OM751"/>
      <c r="ON751"/>
      <c r="OO751"/>
      <c r="OP751"/>
      <c r="OQ751"/>
      <c r="OR751"/>
      <c r="OS751"/>
      <c r="OT751"/>
      <c r="OU751"/>
      <c r="OV751"/>
      <c r="OW751"/>
      <c r="OX751"/>
      <c r="OY751"/>
      <c r="OZ751"/>
      <c r="PA751"/>
      <c r="PB751"/>
      <c r="PC751"/>
      <c r="PD751"/>
      <c r="PE751"/>
      <c r="PF751"/>
      <c r="PG751"/>
      <c r="PH751"/>
      <c r="PI751"/>
      <c r="PJ751"/>
      <c r="PK751"/>
      <c r="PL751"/>
      <c r="PM751"/>
      <c r="PN751"/>
      <c r="PO751"/>
      <c r="PP751"/>
      <c r="PQ751"/>
      <c r="PR751"/>
      <c r="PS751"/>
      <c r="PT751"/>
      <c r="PU751"/>
      <c r="PV751"/>
      <c r="PW751"/>
      <c r="PX751"/>
      <c r="PY751"/>
      <c r="PZ751"/>
      <c r="QA751"/>
      <c r="QB751"/>
      <c r="QC751"/>
      <c r="QD751"/>
      <c r="QE751"/>
      <c r="QF751"/>
      <c r="QG751"/>
      <c r="QH751"/>
      <c r="QI751"/>
      <c r="QJ751"/>
      <c r="QK751"/>
      <c r="QL751"/>
      <c r="QM751"/>
      <c r="QN751"/>
      <c r="QO751"/>
      <c r="QP751"/>
      <c r="QQ751"/>
      <c r="QR751"/>
      <c r="QS751"/>
      <c r="QT751"/>
      <c r="QU751"/>
      <c r="QV751"/>
      <c r="QW751"/>
      <c r="QX751"/>
      <c r="QY751"/>
      <c r="QZ751"/>
      <c r="RA751"/>
      <c r="RB751"/>
      <c r="RC751"/>
      <c r="RD751"/>
      <c r="RE751"/>
      <c r="RF751"/>
      <c r="RG751"/>
      <c r="RH751"/>
      <c r="RI751"/>
      <c r="RJ751"/>
      <c r="RK751"/>
      <c r="RL751"/>
      <c r="RM751"/>
      <c r="RN751"/>
      <c r="RO751"/>
      <c r="RP751"/>
      <c r="RQ751"/>
      <c r="RR751"/>
      <c r="RS751"/>
      <c r="RT751"/>
      <c r="RU751"/>
      <c r="RV751"/>
      <c r="RW751"/>
      <c r="RX751"/>
      <c r="RY751"/>
      <c r="RZ751"/>
      <c r="SA751"/>
      <c r="SB751"/>
      <c r="SC751"/>
      <c r="SD751"/>
      <c r="SE751"/>
      <c r="SF751"/>
      <c r="SG751"/>
      <c r="SH751"/>
      <c r="SI751"/>
      <c r="SJ751"/>
      <c r="SK751"/>
      <c r="SL751"/>
      <c r="SM751"/>
      <c r="SN751"/>
      <c r="SO751"/>
      <c r="SP751"/>
      <c r="SQ751"/>
      <c r="SR751"/>
      <c r="SS751"/>
      <c r="ST751"/>
      <c r="SU751"/>
      <c r="SV751"/>
      <c r="SW751"/>
      <c r="SX751"/>
      <c r="SY751"/>
      <c r="SZ751"/>
      <c r="TA751"/>
      <c r="TB751"/>
      <c r="TC751"/>
      <c r="TD751"/>
      <c r="TE751"/>
      <c r="TF751"/>
      <c r="TG751"/>
      <c r="TH751"/>
      <c r="TI751"/>
      <c r="TJ751"/>
      <c r="TK751"/>
      <c r="TL751"/>
      <c r="TM751"/>
      <c r="TN751"/>
      <c r="TO751"/>
      <c r="TP751"/>
      <c r="TQ751"/>
      <c r="TR751"/>
      <c r="TS751"/>
      <c r="TT751"/>
      <c r="TU751"/>
      <c r="TV751"/>
      <c r="TW751"/>
      <c r="TX751"/>
      <c r="TY751"/>
      <c r="TZ751"/>
      <c r="UA751"/>
      <c r="UB751"/>
      <c r="UC751"/>
      <c r="UD751"/>
      <c r="UE751"/>
      <c r="UF751"/>
      <c r="UG751"/>
      <c r="UH751"/>
      <c r="UI751"/>
      <c r="UJ751"/>
      <c r="UK751"/>
      <c r="UL751"/>
      <c r="UM751"/>
      <c r="UN751"/>
      <c r="UO751"/>
      <c r="UP751"/>
      <c r="UQ751"/>
      <c r="UR751"/>
      <c r="US751"/>
      <c r="UT751"/>
      <c r="UU751"/>
      <c r="UV751"/>
      <c r="UW751"/>
      <c r="UX751"/>
      <c r="UY751"/>
      <c r="UZ751"/>
      <c r="VA751"/>
      <c r="VB751"/>
      <c r="VC751"/>
      <c r="VD751"/>
      <c r="VE751"/>
      <c r="VF751"/>
      <c r="VG751"/>
      <c r="VH751"/>
      <c r="VI751"/>
      <c r="VJ751"/>
      <c r="VK751"/>
      <c r="VL751"/>
      <c r="VM751"/>
      <c r="VN751"/>
      <c r="VO751"/>
      <c r="VP751"/>
      <c r="VQ751"/>
      <c r="VR751"/>
      <c r="VS751"/>
      <c r="VT751"/>
      <c r="VU751"/>
      <c r="VV751"/>
      <c r="VW751"/>
      <c r="VX751"/>
      <c r="VY751"/>
      <c r="VZ751"/>
      <c r="WA751"/>
      <c r="WB751"/>
      <c r="WC751"/>
      <c r="WD751"/>
      <c r="WE751"/>
      <c r="WF751"/>
      <c r="WG751"/>
      <c r="WH751"/>
      <c r="WI751"/>
      <c r="WJ751"/>
      <c r="WK751"/>
      <c r="WL751"/>
      <c r="WM751"/>
      <c r="WN751"/>
      <c r="WO751"/>
      <c r="WP751"/>
      <c r="WQ751"/>
      <c r="WR751"/>
      <c r="WS751"/>
      <c r="WT751"/>
      <c r="WU751"/>
      <c r="WV751"/>
      <c r="WW751"/>
      <c r="WX751"/>
      <c r="WY751"/>
      <c r="WZ751"/>
      <c r="XA751"/>
      <c r="XB751"/>
      <c r="XC751"/>
      <c r="XD751"/>
      <c r="XE751"/>
      <c r="XF751"/>
      <c r="XG751"/>
      <c r="XH751"/>
      <c r="XI751"/>
      <c r="XJ751"/>
      <c r="XK751"/>
      <c r="XL751"/>
      <c r="XM751"/>
      <c r="XN751"/>
      <c r="XO751"/>
      <c r="XP751"/>
      <c r="XQ751"/>
      <c r="XR751"/>
      <c r="XS751"/>
      <c r="XT751"/>
      <c r="XU751"/>
      <c r="XV751"/>
      <c r="XW751"/>
      <c r="XX751"/>
      <c r="XY751"/>
      <c r="XZ751"/>
      <c r="YA751"/>
      <c r="YB751"/>
      <c r="YC751"/>
      <c r="YD751"/>
      <c r="YE751"/>
      <c r="YF751"/>
      <c r="YG751"/>
      <c r="YH751"/>
      <c r="YI751"/>
      <c r="YJ751"/>
      <c r="YK751"/>
      <c r="YL751"/>
      <c r="YM751"/>
      <c r="YN751"/>
      <c r="YO751"/>
      <c r="YP751"/>
      <c r="YQ751"/>
      <c r="YR751"/>
      <c r="YS751"/>
      <c r="YT751"/>
      <c r="YU751"/>
      <c r="YV751"/>
      <c r="YW751"/>
      <c r="YX751"/>
      <c r="YY751"/>
      <c r="YZ751"/>
      <c r="ZA751"/>
      <c r="ZB751"/>
      <c r="ZC751"/>
      <c r="ZD751"/>
      <c r="ZE751"/>
      <c r="ZF751"/>
      <c r="ZG751"/>
      <c r="ZH751"/>
      <c r="ZI751"/>
      <c r="ZJ751"/>
      <c r="ZK751"/>
      <c r="ZL751"/>
      <c r="ZM751"/>
      <c r="ZN751"/>
      <c r="ZO751"/>
      <c r="ZP751"/>
      <c r="ZQ751"/>
      <c r="ZR751"/>
      <c r="ZS751"/>
      <c r="ZT751"/>
      <c r="ZU751"/>
      <c r="ZV751"/>
      <c r="ZW751"/>
      <c r="ZX751"/>
      <c r="ZY751"/>
      <c r="ZZ751" s="52"/>
      <c r="AAA751" s="192"/>
      <c r="AAD751" s="90"/>
      <c r="AAE751" s="519">
        <v>1</v>
      </c>
      <c r="AAF751" s="190" t="s">
        <v>52</v>
      </c>
      <c r="AAG751" s="71"/>
      <c r="AAH751" s="71"/>
      <c r="AAI751" s="72"/>
      <c r="AAJ751" s="55"/>
      <c r="AAK751" s="80" t="str">
        <f>"in coordination with  "&amp;S.Staff.Lead</f>
        <v>in coordination with  AndreaRW</v>
      </c>
      <c r="AAL751" s="90"/>
    </row>
    <row r="752" spans="1:714" s="23" customFormat="1" ht="15" customHeight="1" outlineLevel="1">
      <c r="A752" s="171"/>
      <c r="B752" s="414" t="str">
        <f>AAK752</f>
        <v>AndreaRW:</v>
      </c>
      <c r="C752" s="420"/>
      <c r="D752" s="421"/>
      <c r="E752" s="350"/>
      <c r="F752" s="350"/>
      <c r="G752" s="420"/>
      <c r="H752" s="420"/>
      <c r="I752" s="244"/>
      <c r="J752" s="194"/>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c r="BG752" s="49"/>
      <c r="BH752" s="49"/>
      <c r="BI752" s="49"/>
      <c r="BJ752" s="49"/>
      <c r="BK752" s="49"/>
      <c r="BL752" s="49"/>
      <c r="BM752" s="49"/>
      <c r="BN752" s="49"/>
      <c r="BO752" s="49"/>
      <c r="BP752" s="49"/>
      <c r="BQ752" s="49"/>
      <c r="BR752" s="49"/>
      <c r="BS752" s="49"/>
      <c r="BT752" s="49"/>
      <c r="BU752" s="49"/>
      <c r="BV752" s="49"/>
      <c r="BW752" s="49"/>
      <c r="BX752" s="49"/>
      <c r="BY752" s="49"/>
      <c r="BZ752" s="49"/>
      <c r="CA752" s="49"/>
      <c r="CB752" s="49"/>
      <c r="CC752" s="49"/>
      <c r="CD752" s="49"/>
      <c r="CE752" s="49"/>
      <c r="CF752" s="49"/>
      <c r="CG752" s="49"/>
      <c r="CH752" s="49"/>
      <c r="CI752" s="49"/>
      <c r="CJ752" s="49"/>
      <c r="CK752" s="49"/>
      <c r="CL752" s="49"/>
      <c r="CM752" s="49"/>
      <c r="CN752" s="49"/>
      <c r="CO752" s="49"/>
      <c r="CP752" s="49"/>
      <c r="CQ752" s="49"/>
      <c r="CR752" s="49"/>
      <c r="CS752" s="49"/>
      <c r="CT752" s="49"/>
      <c r="CU752" s="49"/>
      <c r="CV752" s="49"/>
      <c r="CW752" s="49"/>
      <c r="CX752" s="49"/>
      <c r="CY752" s="49"/>
      <c r="CZ752" s="49"/>
      <c r="DA752" s="49"/>
      <c r="DB752" s="49"/>
      <c r="DC752" s="49"/>
      <c r="DD752" s="49"/>
      <c r="DE752" s="49"/>
      <c r="DF752" s="49"/>
      <c r="DG752" s="49"/>
      <c r="DH752" s="49"/>
      <c r="DI752" s="49"/>
      <c r="DJ752" s="49"/>
      <c r="DK752" s="49"/>
      <c r="DL752" s="49"/>
      <c r="DM752" s="49"/>
      <c r="DN752" s="49"/>
      <c r="DO752" s="49"/>
      <c r="DP752" s="49"/>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c r="IW752"/>
      <c r="IX752"/>
      <c r="IY752"/>
      <c r="IZ752"/>
      <c r="JA752"/>
      <c r="JB752"/>
      <c r="JC752"/>
      <c r="JD752"/>
      <c r="JE752"/>
      <c r="JF752"/>
      <c r="JG752"/>
      <c r="JH752"/>
      <c r="JI752"/>
      <c r="JJ752"/>
      <c r="JK752"/>
      <c r="JL752"/>
      <c r="JM752"/>
      <c r="JN752"/>
      <c r="JO752"/>
      <c r="JP752"/>
      <c r="JQ752"/>
      <c r="JR752"/>
      <c r="JS752"/>
      <c r="JT752"/>
      <c r="JU752"/>
      <c r="JV752"/>
      <c r="JW752"/>
      <c r="JX752"/>
      <c r="JY752"/>
      <c r="JZ752"/>
      <c r="KA752"/>
      <c r="KB752"/>
      <c r="KC752"/>
      <c r="KD752"/>
      <c r="KE752"/>
      <c r="KF752"/>
      <c r="KG752"/>
      <c r="KH752"/>
      <c r="KI752"/>
      <c r="KJ752"/>
      <c r="KK752"/>
      <c r="KL752"/>
      <c r="KM752"/>
      <c r="KN752"/>
      <c r="KO752"/>
      <c r="KP752"/>
      <c r="KQ752"/>
      <c r="KR752"/>
      <c r="KS752"/>
      <c r="KT752"/>
      <c r="KU752"/>
      <c r="KV752"/>
      <c r="KW752"/>
      <c r="KX752"/>
      <c r="KY752"/>
      <c r="KZ752"/>
      <c r="LA752"/>
      <c r="LB752"/>
      <c r="LC752"/>
      <c r="LD752"/>
      <c r="LE752"/>
      <c r="LF752"/>
      <c r="LG752"/>
      <c r="LH752"/>
      <c r="LI752"/>
      <c r="LJ752"/>
      <c r="LK752"/>
      <c r="LL752"/>
      <c r="LM752"/>
      <c r="LN752"/>
      <c r="LO752"/>
      <c r="LP752"/>
      <c r="LQ752"/>
      <c r="LR752"/>
      <c r="LS752"/>
      <c r="LT752"/>
      <c r="LU752"/>
      <c r="LV752"/>
      <c r="LW752"/>
      <c r="LX752"/>
      <c r="LY752"/>
      <c r="LZ752"/>
      <c r="MA752"/>
      <c r="MB752"/>
      <c r="MC752"/>
      <c r="MD752"/>
      <c r="ME752"/>
      <c r="MF752"/>
      <c r="MG752"/>
      <c r="MH752"/>
      <c r="MI752"/>
      <c r="MJ752"/>
      <c r="MK752"/>
      <c r="ML752"/>
      <c r="MM752"/>
      <c r="MN752"/>
      <c r="MO752"/>
      <c r="MP752"/>
      <c r="MQ752"/>
      <c r="MR752"/>
      <c r="MS752"/>
      <c r="MT752"/>
      <c r="MU752"/>
      <c r="MV752"/>
      <c r="MW752"/>
      <c r="MX752"/>
      <c r="MY752"/>
      <c r="MZ752"/>
      <c r="NA752"/>
      <c r="NB752"/>
      <c r="NC752"/>
      <c r="ND752"/>
      <c r="NE752"/>
      <c r="NF752"/>
      <c r="NG752"/>
      <c r="NH752"/>
      <c r="NI752"/>
      <c r="NJ752"/>
      <c r="NK752"/>
      <c r="NL752"/>
      <c r="NM752"/>
      <c r="NN752"/>
      <c r="NO752"/>
      <c r="NP752"/>
      <c r="NQ752"/>
      <c r="NR752"/>
      <c r="NS752"/>
      <c r="NT752"/>
      <c r="NU752"/>
      <c r="NV752"/>
      <c r="NW752"/>
      <c r="NX752"/>
      <c r="NY752"/>
      <c r="NZ752"/>
      <c r="OA752"/>
      <c r="OB752"/>
      <c r="OC752"/>
      <c r="OD752"/>
      <c r="OE752"/>
      <c r="OF752"/>
      <c r="OG752"/>
      <c r="OH752"/>
      <c r="OI752"/>
      <c r="OJ752"/>
      <c r="OK752"/>
      <c r="OL752"/>
      <c r="OM752"/>
      <c r="ON752"/>
      <c r="OO752"/>
      <c r="OP752"/>
      <c r="OQ752"/>
      <c r="OR752"/>
      <c r="OS752"/>
      <c r="OT752"/>
      <c r="OU752"/>
      <c r="OV752"/>
      <c r="OW752"/>
      <c r="OX752"/>
      <c r="OY752"/>
      <c r="OZ752"/>
      <c r="PA752"/>
      <c r="PB752"/>
      <c r="PC752"/>
      <c r="PD752"/>
      <c r="PE752"/>
      <c r="PF752"/>
      <c r="PG752"/>
      <c r="PH752"/>
      <c r="PI752"/>
      <c r="PJ752"/>
      <c r="PK752"/>
      <c r="PL752"/>
      <c r="PM752"/>
      <c r="PN752"/>
      <c r="PO752"/>
      <c r="PP752"/>
      <c r="PQ752"/>
      <c r="PR752"/>
      <c r="PS752"/>
      <c r="PT752"/>
      <c r="PU752"/>
      <c r="PV752"/>
      <c r="PW752"/>
      <c r="PX752"/>
      <c r="PY752"/>
      <c r="PZ752"/>
      <c r="QA752"/>
      <c r="QB752"/>
      <c r="QC752"/>
      <c r="QD752"/>
      <c r="QE752"/>
      <c r="QF752"/>
      <c r="QG752"/>
      <c r="QH752"/>
      <c r="QI752"/>
      <c r="QJ752"/>
      <c r="QK752"/>
      <c r="QL752"/>
      <c r="QM752"/>
      <c r="QN752"/>
      <c r="QO752"/>
      <c r="QP752"/>
      <c r="QQ752"/>
      <c r="QR752"/>
      <c r="QS752"/>
      <c r="QT752"/>
      <c r="QU752"/>
      <c r="QV752"/>
      <c r="QW752"/>
      <c r="QX752"/>
      <c r="QY752"/>
      <c r="QZ752"/>
      <c r="RA752"/>
      <c r="RB752"/>
      <c r="RC752"/>
      <c r="RD752"/>
      <c r="RE752"/>
      <c r="RF752"/>
      <c r="RG752"/>
      <c r="RH752"/>
      <c r="RI752"/>
      <c r="RJ752"/>
      <c r="RK752"/>
      <c r="RL752"/>
      <c r="RM752"/>
      <c r="RN752"/>
      <c r="RO752"/>
      <c r="RP752"/>
      <c r="RQ752"/>
      <c r="RR752"/>
      <c r="RS752"/>
      <c r="RT752"/>
      <c r="RU752"/>
      <c r="RV752"/>
      <c r="RW752"/>
      <c r="RX752"/>
      <c r="RY752"/>
      <c r="RZ752"/>
      <c r="SA752"/>
      <c r="SB752"/>
      <c r="SC752"/>
      <c r="SD752"/>
      <c r="SE752"/>
      <c r="SF752"/>
      <c r="SG752"/>
      <c r="SH752"/>
      <c r="SI752"/>
      <c r="SJ752"/>
      <c r="SK752"/>
      <c r="SL752"/>
      <c r="SM752"/>
      <c r="SN752"/>
      <c r="SO752"/>
      <c r="SP752"/>
      <c r="SQ752"/>
      <c r="SR752"/>
      <c r="SS752"/>
      <c r="ST752"/>
      <c r="SU752"/>
      <c r="SV752"/>
      <c r="SW752"/>
      <c r="SX752"/>
      <c r="SY752"/>
      <c r="SZ752"/>
      <c r="TA752"/>
      <c r="TB752"/>
      <c r="TC752"/>
      <c r="TD752"/>
      <c r="TE752"/>
      <c r="TF752"/>
      <c r="TG752"/>
      <c r="TH752"/>
      <c r="TI752"/>
      <c r="TJ752"/>
      <c r="TK752"/>
      <c r="TL752"/>
      <c r="TM752"/>
      <c r="TN752"/>
      <c r="TO752"/>
      <c r="TP752"/>
      <c r="TQ752"/>
      <c r="TR752"/>
      <c r="TS752"/>
      <c r="TT752"/>
      <c r="TU752"/>
      <c r="TV752"/>
      <c r="TW752"/>
      <c r="TX752"/>
      <c r="TY752"/>
      <c r="TZ752"/>
      <c r="UA752"/>
      <c r="UB752"/>
      <c r="UC752"/>
      <c r="UD752"/>
      <c r="UE752"/>
      <c r="UF752"/>
      <c r="UG752"/>
      <c r="UH752"/>
      <c r="UI752"/>
      <c r="UJ752"/>
      <c r="UK752"/>
      <c r="UL752"/>
      <c r="UM752"/>
      <c r="UN752"/>
      <c r="UO752"/>
      <c r="UP752"/>
      <c r="UQ752"/>
      <c r="UR752"/>
      <c r="US752"/>
      <c r="UT752"/>
      <c r="UU752"/>
      <c r="UV752"/>
      <c r="UW752"/>
      <c r="UX752"/>
      <c r="UY752"/>
      <c r="UZ752"/>
      <c r="VA752"/>
      <c r="VB752"/>
      <c r="VC752"/>
      <c r="VD752"/>
      <c r="VE752"/>
      <c r="VF752"/>
      <c r="VG752"/>
      <c r="VH752"/>
      <c r="VI752"/>
      <c r="VJ752"/>
      <c r="VK752"/>
      <c r="VL752"/>
      <c r="VM752"/>
      <c r="VN752"/>
      <c r="VO752"/>
      <c r="VP752"/>
      <c r="VQ752"/>
      <c r="VR752"/>
      <c r="VS752"/>
      <c r="VT752"/>
      <c r="VU752"/>
      <c r="VV752"/>
      <c r="VW752"/>
      <c r="VX752"/>
      <c r="VY752"/>
      <c r="VZ752"/>
      <c r="WA752"/>
      <c r="WB752"/>
      <c r="WC752"/>
      <c r="WD752"/>
      <c r="WE752"/>
      <c r="WF752"/>
      <c r="WG752"/>
      <c r="WH752"/>
      <c r="WI752"/>
      <c r="WJ752"/>
      <c r="WK752"/>
      <c r="WL752"/>
      <c r="WM752"/>
      <c r="WN752"/>
      <c r="WO752"/>
      <c r="WP752"/>
      <c r="WQ752"/>
      <c r="WR752"/>
      <c r="WS752"/>
      <c r="WT752"/>
      <c r="WU752"/>
      <c r="WV752"/>
      <c r="WW752"/>
      <c r="WX752"/>
      <c r="WY752"/>
      <c r="WZ752"/>
      <c r="XA752"/>
      <c r="XB752"/>
      <c r="XC752"/>
      <c r="XD752"/>
      <c r="XE752"/>
      <c r="XF752"/>
      <c r="XG752"/>
      <c r="XH752"/>
      <c r="XI752"/>
      <c r="XJ752"/>
      <c r="XK752"/>
      <c r="XL752"/>
      <c r="XM752"/>
      <c r="XN752"/>
      <c r="XO752"/>
      <c r="XP752"/>
      <c r="XQ752"/>
      <c r="XR752"/>
      <c r="XS752"/>
      <c r="XT752"/>
      <c r="XU752"/>
      <c r="XV752"/>
      <c r="XW752"/>
      <c r="XX752"/>
      <c r="XY752"/>
      <c r="XZ752"/>
      <c r="YA752"/>
      <c r="YB752"/>
      <c r="YC752"/>
      <c r="YD752"/>
      <c r="YE752"/>
      <c r="YF752"/>
      <c r="YG752"/>
      <c r="YH752"/>
      <c r="YI752"/>
      <c r="YJ752"/>
      <c r="YK752"/>
      <c r="YL752"/>
      <c r="YM752"/>
      <c r="YN752"/>
      <c r="YO752"/>
      <c r="YP752"/>
      <c r="YQ752"/>
      <c r="YR752"/>
      <c r="YS752"/>
      <c r="YT752"/>
      <c r="YU752"/>
      <c r="YV752"/>
      <c r="YW752"/>
      <c r="YX752"/>
      <c r="YY752"/>
      <c r="YZ752"/>
      <c r="ZA752"/>
      <c r="ZB752"/>
      <c r="ZC752"/>
      <c r="ZD752"/>
      <c r="ZE752"/>
      <c r="ZF752"/>
      <c r="ZG752"/>
      <c r="ZH752"/>
      <c r="ZI752"/>
      <c r="ZJ752"/>
      <c r="ZK752"/>
      <c r="ZL752"/>
      <c r="ZM752"/>
      <c r="ZN752"/>
      <c r="ZO752"/>
      <c r="ZP752"/>
      <c r="ZQ752"/>
      <c r="ZR752"/>
      <c r="ZS752"/>
      <c r="ZT752"/>
      <c r="ZU752"/>
      <c r="ZV752"/>
      <c r="ZW752"/>
      <c r="ZX752"/>
      <c r="ZY752"/>
      <c r="ZZ752" s="52"/>
      <c r="AAA752" s="192" t="s">
        <v>0</v>
      </c>
      <c r="AAD752" s="90"/>
      <c r="AAE752" s="519">
        <v>1</v>
      </c>
      <c r="AAF752" s="190" t="s">
        <v>52</v>
      </c>
      <c r="AAG752" s="94"/>
      <c r="AAH752" s="94"/>
      <c r="AAI752" s="72"/>
      <c r="AAJ752" s="185"/>
      <c r="AAK752" s="80" t="str">
        <f>S.Staff.Lead&amp;":"</f>
        <v>AndreaRW:</v>
      </c>
      <c r="AAL752" s="90"/>
    </row>
    <row r="753" spans="1:715" ht="15" customHeight="1" outlineLevel="1">
      <c r="A753" s="171"/>
      <c r="B753" s="304" t="s">
        <v>491</v>
      </c>
      <c r="C753" s="376"/>
      <c r="D753" s="380"/>
      <c r="E753" s="342">
        <f t="shared" ref="E753" si="618">NETWORKDAYS(G753,H753,S.DDL_DEQClosed)</f>
        <v>62</v>
      </c>
      <c r="F753" s="457">
        <f ca="1">IF(YEAR(H753)&gt;2000,NETWORKDAYS(TODAY(),H753,S.DDL_DEQClosed),0)</f>
        <v>160</v>
      </c>
      <c r="G753" s="408">
        <f t="shared" ref="G753:H753" si="619">AAG753</f>
        <v>41719</v>
      </c>
      <c r="H753" s="408">
        <f t="shared" si="619"/>
        <v>41807</v>
      </c>
      <c r="I753" s="244"/>
      <c r="J753" s="194"/>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c r="DL753" s="49"/>
      <c r="DM753" s="49"/>
      <c r="DN753" s="49"/>
      <c r="DO753" s="49"/>
      <c r="DP753" s="49"/>
      <c r="AAA753" s="192"/>
      <c r="AAD753" s="90"/>
      <c r="AAE753" s="519">
        <v>1</v>
      </c>
      <c r="AAF753" s="90"/>
      <c r="AAG753" s="73">
        <f>AAH749</f>
        <v>41719</v>
      </c>
      <c r="AAH753" s="73">
        <f>S.PostEQC.BANNER.End</f>
        <v>41807</v>
      </c>
      <c r="AAI753" s="72"/>
      <c r="AAJ753" s="58"/>
      <c r="AAK753" s="53"/>
      <c r="AAL753" s="90"/>
      <c r="AAM753"/>
    </row>
    <row r="754" spans="1:715" s="23" customFormat="1" ht="15" customHeight="1" outlineLevel="1">
      <c r="A754" s="171"/>
      <c r="B754" s="304" t="s">
        <v>473</v>
      </c>
      <c r="C754" s="376"/>
      <c r="D754" s="380"/>
      <c r="E754"/>
      <c r="F754" s="457">
        <f ca="1">IF(YEAR(H754)&gt;2000,NETWORKDAYS(TODAY(),H754,S.DDL_DEQClosed),0)</f>
        <v>160</v>
      </c>
      <c r="G754"/>
      <c r="H754" s="408">
        <f t="shared" ref="H754" si="620">AAH754</f>
        <v>41807</v>
      </c>
      <c r="I754" s="244"/>
      <c r="J754" s="194"/>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49"/>
      <c r="AY754" s="49"/>
      <c r="AZ754" s="49"/>
      <c r="BA754" s="49"/>
      <c r="BB754" s="49"/>
      <c r="BC754" s="49"/>
      <c r="BD754" s="49"/>
      <c r="BE754" s="49"/>
      <c r="BF754" s="49"/>
      <c r="BG754" s="49"/>
      <c r="BH754" s="49"/>
      <c r="BI754" s="49"/>
      <c r="BJ754" s="49"/>
      <c r="BK754" s="49"/>
      <c r="BL754" s="49"/>
      <c r="BM754" s="49"/>
      <c r="BN754" s="49"/>
      <c r="BO754" s="49"/>
      <c r="BP754" s="49"/>
      <c r="BQ754" s="49"/>
      <c r="BR754" s="49"/>
      <c r="BS754" s="49"/>
      <c r="BT754" s="49"/>
      <c r="BU754" s="49"/>
      <c r="BV754" s="49"/>
      <c r="BW754" s="49"/>
      <c r="BX754" s="49"/>
      <c r="BY754" s="49"/>
      <c r="BZ754" s="49"/>
      <c r="CA754" s="49"/>
      <c r="CB754" s="49"/>
      <c r="CC754" s="49"/>
      <c r="CD754" s="49"/>
      <c r="CE754" s="49"/>
      <c r="CF754" s="49"/>
      <c r="CG754" s="49"/>
      <c r="CH754" s="49"/>
      <c r="CI754" s="49"/>
      <c r="CJ754" s="49"/>
      <c r="CK754" s="49"/>
      <c r="CL754" s="49"/>
      <c r="CM754" s="49"/>
      <c r="CN754" s="49"/>
      <c r="CO754" s="49"/>
      <c r="CP754" s="49"/>
      <c r="CQ754" s="49"/>
      <c r="CR754" s="49"/>
      <c r="CS754" s="49"/>
      <c r="CT754" s="49"/>
      <c r="CU754" s="49"/>
      <c r="CV754" s="49"/>
      <c r="CW754" s="49"/>
      <c r="CX754" s="49"/>
      <c r="CY754" s="49"/>
      <c r="CZ754" s="49"/>
      <c r="DA754" s="49"/>
      <c r="DB754" s="49"/>
      <c r="DC754" s="49"/>
      <c r="DD754" s="49"/>
      <c r="DE754" s="49"/>
      <c r="DF754" s="49"/>
      <c r="DG754" s="49"/>
      <c r="DH754" s="49"/>
      <c r="DI754" s="49"/>
      <c r="DJ754" s="49"/>
      <c r="DK754" s="49"/>
      <c r="DL754" s="49"/>
      <c r="DM754" s="49"/>
      <c r="DN754" s="49"/>
      <c r="DO754" s="49"/>
      <c r="DP754" s="49"/>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c r="IW754"/>
      <c r="IX754"/>
      <c r="IY754"/>
      <c r="IZ754"/>
      <c r="JA754"/>
      <c r="JB754"/>
      <c r="JC754"/>
      <c r="JD754"/>
      <c r="JE754"/>
      <c r="JF754"/>
      <c r="JG754"/>
      <c r="JH754"/>
      <c r="JI754"/>
      <c r="JJ754"/>
      <c r="JK754"/>
      <c r="JL754"/>
      <c r="JM754"/>
      <c r="JN754"/>
      <c r="JO754"/>
      <c r="JP754"/>
      <c r="JQ754"/>
      <c r="JR754"/>
      <c r="JS754"/>
      <c r="JT754"/>
      <c r="JU754"/>
      <c r="JV754"/>
      <c r="JW754"/>
      <c r="JX754"/>
      <c r="JY754"/>
      <c r="JZ754"/>
      <c r="KA754"/>
      <c r="KB754"/>
      <c r="KC754"/>
      <c r="KD754"/>
      <c r="KE754"/>
      <c r="KF754"/>
      <c r="KG754"/>
      <c r="KH754"/>
      <c r="KI754"/>
      <c r="KJ754"/>
      <c r="KK754"/>
      <c r="KL754"/>
      <c r="KM754"/>
      <c r="KN754"/>
      <c r="KO754"/>
      <c r="KP754"/>
      <c r="KQ754"/>
      <c r="KR754"/>
      <c r="KS754"/>
      <c r="KT754"/>
      <c r="KU754"/>
      <c r="KV754"/>
      <c r="KW754"/>
      <c r="KX754"/>
      <c r="KY754"/>
      <c r="KZ754"/>
      <c r="LA754"/>
      <c r="LB754"/>
      <c r="LC754"/>
      <c r="LD754"/>
      <c r="LE754"/>
      <c r="LF754"/>
      <c r="LG754"/>
      <c r="LH754"/>
      <c r="LI754"/>
      <c r="LJ754"/>
      <c r="LK754"/>
      <c r="LL754"/>
      <c r="LM754"/>
      <c r="LN754"/>
      <c r="LO754"/>
      <c r="LP754"/>
      <c r="LQ754"/>
      <c r="LR754"/>
      <c r="LS754"/>
      <c r="LT754"/>
      <c r="LU754"/>
      <c r="LV754"/>
      <c r="LW754"/>
      <c r="LX754"/>
      <c r="LY754"/>
      <c r="LZ754"/>
      <c r="MA754"/>
      <c r="MB754"/>
      <c r="MC754"/>
      <c r="MD754"/>
      <c r="ME754"/>
      <c r="MF754"/>
      <c r="MG754"/>
      <c r="MH754"/>
      <c r="MI754"/>
      <c r="MJ754"/>
      <c r="MK754"/>
      <c r="ML754"/>
      <c r="MM754"/>
      <c r="MN754"/>
      <c r="MO754"/>
      <c r="MP754"/>
      <c r="MQ754"/>
      <c r="MR754"/>
      <c r="MS754"/>
      <c r="MT754"/>
      <c r="MU754"/>
      <c r="MV754"/>
      <c r="MW754"/>
      <c r="MX754"/>
      <c r="MY754"/>
      <c r="MZ754"/>
      <c r="NA754"/>
      <c r="NB754"/>
      <c r="NC754"/>
      <c r="ND754"/>
      <c r="NE754"/>
      <c r="NF754"/>
      <c r="NG754"/>
      <c r="NH754"/>
      <c r="NI754"/>
      <c r="NJ754"/>
      <c r="NK754"/>
      <c r="NL754"/>
      <c r="NM754"/>
      <c r="NN754"/>
      <c r="NO754"/>
      <c r="NP754"/>
      <c r="NQ754"/>
      <c r="NR754"/>
      <c r="NS754"/>
      <c r="NT754"/>
      <c r="NU754"/>
      <c r="NV754"/>
      <c r="NW754"/>
      <c r="NX754"/>
      <c r="NY754"/>
      <c r="NZ754"/>
      <c r="OA754"/>
      <c r="OB754"/>
      <c r="OC754"/>
      <c r="OD754"/>
      <c r="OE754"/>
      <c r="OF754"/>
      <c r="OG754"/>
      <c r="OH754"/>
      <c r="OI754"/>
      <c r="OJ754"/>
      <c r="OK754"/>
      <c r="OL754"/>
      <c r="OM754"/>
      <c r="ON754"/>
      <c r="OO754"/>
      <c r="OP754"/>
      <c r="OQ754"/>
      <c r="OR754"/>
      <c r="OS754"/>
      <c r="OT754"/>
      <c r="OU754"/>
      <c r="OV754"/>
      <c r="OW754"/>
      <c r="OX754"/>
      <c r="OY754"/>
      <c r="OZ754"/>
      <c r="PA754"/>
      <c r="PB754"/>
      <c r="PC754"/>
      <c r="PD754"/>
      <c r="PE754"/>
      <c r="PF754"/>
      <c r="PG754"/>
      <c r="PH754"/>
      <c r="PI754"/>
      <c r="PJ754"/>
      <c r="PK754"/>
      <c r="PL754"/>
      <c r="PM754"/>
      <c r="PN754"/>
      <c r="PO754"/>
      <c r="PP754"/>
      <c r="PQ754"/>
      <c r="PR754"/>
      <c r="PS754"/>
      <c r="PT754"/>
      <c r="PU754"/>
      <c r="PV754"/>
      <c r="PW754"/>
      <c r="PX754"/>
      <c r="PY754"/>
      <c r="PZ754"/>
      <c r="QA754"/>
      <c r="QB754"/>
      <c r="QC754"/>
      <c r="QD754"/>
      <c r="QE754"/>
      <c r="QF754"/>
      <c r="QG754"/>
      <c r="QH754"/>
      <c r="QI754"/>
      <c r="QJ754"/>
      <c r="QK754"/>
      <c r="QL754"/>
      <c r="QM754"/>
      <c r="QN754"/>
      <c r="QO754"/>
      <c r="QP754"/>
      <c r="QQ754"/>
      <c r="QR754"/>
      <c r="QS754"/>
      <c r="QT754"/>
      <c r="QU754"/>
      <c r="QV754"/>
      <c r="QW754"/>
      <c r="QX754"/>
      <c r="QY754"/>
      <c r="QZ754"/>
      <c r="RA754"/>
      <c r="RB754"/>
      <c r="RC754"/>
      <c r="RD754"/>
      <c r="RE754"/>
      <c r="RF754"/>
      <c r="RG754"/>
      <c r="RH754"/>
      <c r="RI754"/>
      <c r="RJ754"/>
      <c r="RK754"/>
      <c r="RL754"/>
      <c r="RM754"/>
      <c r="RN754"/>
      <c r="RO754"/>
      <c r="RP754"/>
      <c r="RQ754"/>
      <c r="RR754"/>
      <c r="RS754"/>
      <c r="RT754"/>
      <c r="RU754"/>
      <c r="RV754"/>
      <c r="RW754"/>
      <c r="RX754"/>
      <c r="RY754"/>
      <c r="RZ754"/>
      <c r="SA754"/>
      <c r="SB754"/>
      <c r="SC754"/>
      <c r="SD754"/>
      <c r="SE754"/>
      <c r="SF754"/>
      <c r="SG754"/>
      <c r="SH754"/>
      <c r="SI754"/>
      <c r="SJ754"/>
      <c r="SK754"/>
      <c r="SL754"/>
      <c r="SM754"/>
      <c r="SN754"/>
      <c r="SO754"/>
      <c r="SP754"/>
      <c r="SQ754"/>
      <c r="SR754"/>
      <c r="SS754"/>
      <c r="ST754"/>
      <c r="SU754"/>
      <c r="SV754"/>
      <c r="SW754"/>
      <c r="SX754"/>
      <c r="SY754"/>
      <c r="SZ754"/>
      <c r="TA754"/>
      <c r="TB754"/>
      <c r="TC754"/>
      <c r="TD754"/>
      <c r="TE754"/>
      <c r="TF754"/>
      <c r="TG754"/>
      <c r="TH754"/>
      <c r="TI754"/>
      <c r="TJ754"/>
      <c r="TK754"/>
      <c r="TL754"/>
      <c r="TM754"/>
      <c r="TN754"/>
      <c r="TO754"/>
      <c r="TP754"/>
      <c r="TQ754"/>
      <c r="TR754"/>
      <c r="TS754"/>
      <c r="TT754"/>
      <c r="TU754"/>
      <c r="TV754"/>
      <c r="TW754"/>
      <c r="TX754"/>
      <c r="TY754"/>
      <c r="TZ754"/>
      <c r="UA754"/>
      <c r="UB754"/>
      <c r="UC754"/>
      <c r="UD754"/>
      <c r="UE754"/>
      <c r="UF754"/>
      <c r="UG754"/>
      <c r="UH754"/>
      <c r="UI754"/>
      <c r="UJ754"/>
      <c r="UK754"/>
      <c r="UL754"/>
      <c r="UM754"/>
      <c r="UN754"/>
      <c r="UO754"/>
      <c r="UP754"/>
      <c r="UQ754"/>
      <c r="UR754"/>
      <c r="US754"/>
      <c r="UT754"/>
      <c r="UU754"/>
      <c r="UV754"/>
      <c r="UW754"/>
      <c r="UX754"/>
      <c r="UY754"/>
      <c r="UZ754"/>
      <c r="VA754"/>
      <c r="VB754"/>
      <c r="VC754"/>
      <c r="VD754"/>
      <c r="VE754"/>
      <c r="VF754"/>
      <c r="VG754"/>
      <c r="VH754"/>
      <c r="VI754"/>
      <c r="VJ754"/>
      <c r="VK754"/>
      <c r="VL754"/>
      <c r="VM754"/>
      <c r="VN754"/>
      <c r="VO754"/>
      <c r="VP754"/>
      <c r="VQ754"/>
      <c r="VR754"/>
      <c r="VS754"/>
      <c r="VT754"/>
      <c r="VU754"/>
      <c r="VV754"/>
      <c r="VW754"/>
      <c r="VX754"/>
      <c r="VY754"/>
      <c r="VZ754"/>
      <c r="WA754"/>
      <c r="WB754"/>
      <c r="WC754"/>
      <c r="WD754"/>
      <c r="WE754"/>
      <c r="WF754"/>
      <c r="WG754"/>
      <c r="WH754"/>
      <c r="WI754"/>
      <c r="WJ754"/>
      <c r="WK754"/>
      <c r="WL754"/>
      <c r="WM754"/>
      <c r="WN754"/>
      <c r="WO754"/>
      <c r="WP754"/>
      <c r="WQ754"/>
      <c r="WR754"/>
      <c r="WS754"/>
      <c r="WT754"/>
      <c r="WU754"/>
      <c r="WV754"/>
      <c r="WW754"/>
      <c r="WX754"/>
      <c r="WY754"/>
      <c r="WZ754"/>
      <c r="XA754"/>
      <c r="XB754"/>
      <c r="XC754"/>
      <c r="XD754"/>
      <c r="XE754"/>
      <c r="XF754"/>
      <c r="XG754"/>
      <c r="XH754"/>
      <c r="XI754"/>
      <c r="XJ754"/>
      <c r="XK754"/>
      <c r="XL754"/>
      <c r="XM754"/>
      <c r="XN754"/>
      <c r="XO754"/>
      <c r="XP754"/>
      <c r="XQ754"/>
      <c r="XR754"/>
      <c r="XS754"/>
      <c r="XT754"/>
      <c r="XU754"/>
      <c r="XV754"/>
      <c r="XW754"/>
      <c r="XX754"/>
      <c r="XY754"/>
      <c r="XZ754"/>
      <c r="YA754"/>
      <c r="YB754"/>
      <c r="YC754"/>
      <c r="YD754"/>
      <c r="YE754"/>
      <c r="YF754"/>
      <c r="YG754"/>
      <c r="YH754"/>
      <c r="YI754"/>
      <c r="YJ754"/>
      <c r="YK754"/>
      <c r="YL754"/>
      <c r="YM754"/>
      <c r="YN754"/>
      <c r="YO754"/>
      <c r="YP754"/>
      <c r="YQ754"/>
      <c r="YR754"/>
      <c r="YS754"/>
      <c r="YT754"/>
      <c r="YU754"/>
      <c r="YV754"/>
      <c r="YW754"/>
      <c r="YX754"/>
      <c r="YY754"/>
      <c r="YZ754"/>
      <c r="ZA754"/>
      <c r="ZB754"/>
      <c r="ZC754"/>
      <c r="ZD754"/>
      <c r="ZE754"/>
      <c r="ZF754"/>
      <c r="ZG754"/>
      <c r="ZH754"/>
      <c r="ZI754"/>
      <c r="ZJ754"/>
      <c r="ZK754"/>
      <c r="ZL754"/>
      <c r="ZM754"/>
      <c r="ZN754"/>
      <c r="ZO754"/>
      <c r="ZP754"/>
      <c r="ZQ754"/>
      <c r="ZR754"/>
      <c r="ZS754"/>
      <c r="ZT754"/>
      <c r="ZU754"/>
      <c r="ZV754"/>
      <c r="ZW754"/>
      <c r="ZX754"/>
      <c r="ZY754"/>
      <c r="ZZ754" s="52"/>
      <c r="AAA754" s="192"/>
      <c r="AAD754" s="90"/>
      <c r="AAE754" s="519">
        <v>1</v>
      </c>
      <c r="AAF754" s="90"/>
      <c r="AAG754" s="73">
        <f>AAH750</f>
        <v>0</v>
      </c>
      <c r="AAH754" s="73">
        <f>S.PostEQC.BANNER.End</f>
        <v>41807</v>
      </c>
      <c r="AAI754" s="72"/>
      <c r="AAJ754" s="58"/>
      <c r="AAK754" s="53"/>
      <c r="AAL754" s="90"/>
    </row>
    <row r="755" spans="1:715" s="23" customFormat="1" ht="15" customHeight="1" outlineLevel="1">
      <c r="A755" s="171"/>
      <c r="B755" s="304" t="str">
        <f>AAK755</f>
        <v>* delivers archival box to Maggie</v>
      </c>
      <c r="C755" s="376"/>
      <c r="D755" s="380"/>
      <c r="E755"/>
      <c r="F755" s="457">
        <f ca="1">IF(YEAR(H755)&gt;2000,NETWORKDAYS(TODAY(),H755,S.DDL_DEQClosed),0)</f>
        <v>160</v>
      </c>
      <c r="G755"/>
      <c r="H755" s="408">
        <f t="shared" ref="H755" si="621">AAH755</f>
        <v>41807</v>
      </c>
      <c r="I755" s="244"/>
      <c r="J755" s="194"/>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c r="BM755" s="49"/>
      <c r="BN755" s="49"/>
      <c r="BO755" s="49"/>
      <c r="BP755" s="49"/>
      <c r="BQ755" s="49"/>
      <c r="BR755" s="49"/>
      <c r="BS755" s="49"/>
      <c r="BT755" s="49"/>
      <c r="BU755" s="49"/>
      <c r="BV755" s="49"/>
      <c r="BW755" s="49"/>
      <c r="BX755" s="49"/>
      <c r="BY755" s="49"/>
      <c r="BZ755" s="49"/>
      <c r="CA755" s="49"/>
      <c r="CB755" s="49"/>
      <c r="CC755" s="49"/>
      <c r="CD755" s="49"/>
      <c r="CE755" s="49"/>
      <c r="CF755" s="49"/>
      <c r="CG755" s="49"/>
      <c r="CH755" s="49"/>
      <c r="CI755" s="49"/>
      <c r="CJ755" s="49"/>
      <c r="CK755" s="49"/>
      <c r="CL755" s="49"/>
      <c r="CM755" s="49"/>
      <c r="CN755" s="49"/>
      <c r="CO755" s="49"/>
      <c r="CP755" s="49"/>
      <c r="CQ755" s="49"/>
      <c r="CR755" s="49"/>
      <c r="CS755" s="49"/>
      <c r="CT755" s="49"/>
      <c r="CU755" s="49"/>
      <c r="CV755" s="49"/>
      <c r="CW755" s="49"/>
      <c r="CX755" s="49"/>
      <c r="CY755" s="49"/>
      <c r="CZ755" s="49"/>
      <c r="DA755" s="49"/>
      <c r="DB755" s="49"/>
      <c r="DC755" s="49"/>
      <c r="DD755" s="49"/>
      <c r="DE755" s="49"/>
      <c r="DF755" s="49"/>
      <c r="DG755" s="49"/>
      <c r="DH755" s="49"/>
      <c r="DI755" s="49"/>
      <c r="DJ755" s="49"/>
      <c r="DK755" s="49"/>
      <c r="DL755" s="49"/>
      <c r="DM755" s="49"/>
      <c r="DN755" s="49"/>
      <c r="DO755" s="49"/>
      <c r="DP755" s="49"/>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c r="IW755"/>
      <c r="IX755"/>
      <c r="IY755"/>
      <c r="IZ755"/>
      <c r="JA755"/>
      <c r="JB755"/>
      <c r="JC755"/>
      <c r="JD755"/>
      <c r="JE755"/>
      <c r="JF755"/>
      <c r="JG755"/>
      <c r="JH755"/>
      <c r="JI755"/>
      <c r="JJ755"/>
      <c r="JK755"/>
      <c r="JL755"/>
      <c r="JM755"/>
      <c r="JN755"/>
      <c r="JO755"/>
      <c r="JP755"/>
      <c r="JQ755"/>
      <c r="JR755"/>
      <c r="JS755"/>
      <c r="JT755"/>
      <c r="JU755"/>
      <c r="JV755"/>
      <c r="JW755"/>
      <c r="JX755"/>
      <c r="JY755"/>
      <c r="JZ755"/>
      <c r="KA755"/>
      <c r="KB755"/>
      <c r="KC755"/>
      <c r="KD755"/>
      <c r="KE755"/>
      <c r="KF755"/>
      <c r="KG755"/>
      <c r="KH755"/>
      <c r="KI755"/>
      <c r="KJ755"/>
      <c r="KK755"/>
      <c r="KL755"/>
      <c r="KM755"/>
      <c r="KN755"/>
      <c r="KO755"/>
      <c r="KP755"/>
      <c r="KQ755"/>
      <c r="KR755"/>
      <c r="KS755"/>
      <c r="KT755"/>
      <c r="KU755"/>
      <c r="KV755"/>
      <c r="KW755"/>
      <c r="KX755"/>
      <c r="KY755"/>
      <c r="KZ755"/>
      <c r="LA755"/>
      <c r="LB755"/>
      <c r="LC755"/>
      <c r="LD755"/>
      <c r="LE755"/>
      <c r="LF755"/>
      <c r="LG755"/>
      <c r="LH755"/>
      <c r="LI755"/>
      <c r="LJ755"/>
      <c r="LK755"/>
      <c r="LL755"/>
      <c r="LM755"/>
      <c r="LN755"/>
      <c r="LO755"/>
      <c r="LP755"/>
      <c r="LQ755"/>
      <c r="LR755"/>
      <c r="LS755"/>
      <c r="LT755"/>
      <c r="LU755"/>
      <c r="LV755"/>
      <c r="LW755"/>
      <c r="LX755"/>
      <c r="LY755"/>
      <c r="LZ755"/>
      <c r="MA755"/>
      <c r="MB755"/>
      <c r="MC755"/>
      <c r="MD755"/>
      <c r="ME755"/>
      <c r="MF755"/>
      <c r="MG755"/>
      <c r="MH755"/>
      <c r="MI755"/>
      <c r="MJ755"/>
      <c r="MK755"/>
      <c r="ML755"/>
      <c r="MM755"/>
      <c r="MN755"/>
      <c r="MO755"/>
      <c r="MP755"/>
      <c r="MQ755"/>
      <c r="MR755"/>
      <c r="MS755"/>
      <c r="MT755"/>
      <c r="MU755"/>
      <c r="MV755"/>
      <c r="MW755"/>
      <c r="MX755"/>
      <c r="MY755"/>
      <c r="MZ755"/>
      <c r="NA755"/>
      <c r="NB755"/>
      <c r="NC755"/>
      <c r="ND755"/>
      <c r="NE755"/>
      <c r="NF755"/>
      <c r="NG755"/>
      <c r="NH755"/>
      <c r="NI755"/>
      <c r="NJ755"/>
      <c r="NK755"/>
      <c r="NL755"/>
      <c r="NM755"/>
      <c r="NN755"/>
      <c r="NO755"/>
      <c r="NP755"/>
      <c r="NQ755"/>
      <c r="NR755"/>
      <c r="NS755"/>
      <c r="NT755"/>
      <c r="NU755"/>
      <c r="NV755"/>
      <c r="NW755"/>
      <c r="NX755"/>
      <c r="NY755"/>
      <c r="NZ755"/>
      <c r="OA755"/>
      <c r="OB755"/>
      <c r="OC755"/>
      <c r="OD755"/>
      <c r="OE755"/>
      <c r="OF755"/>
      <c r="OG755"/>
      <c r="OH755"/>
      <c r="OI755"/>
      <c r="OJ755"/>
      <c r="OK755"/>
      <c r="OL755"/>
      <c r="OM755"/>
      <c r="ON755"/>
      <c r="OO755"/>
      <c r="OP755"/>
      <c r="OQ755"/>
      <c r="OR755"/>
      <c r="OS755"/>
      <c r="OT755"/>
      <c r="OU755"/>
      <c r="OV755"/>
      <c r="OW755"/>
      <c r="OX755"/>
      <c r="OY755"/>
      <c r="OZ755"/>
      <c r="PA755"/>
      <c r="PB755"/>
      <c r="PC755"/>
      <c r="PD755"/>
      <c r="PE755"/>
      <c r="PF755"/>
      <c r="PG755"/>
      <c r="PH755"/>
      <c r="PI755"/>
      <c r="PJ755"/>
      <c r="PK755"/>
      <c r="PL755"/>
      <c r="PM755"/>
      <c r="PN755"/>
      <c r="PO755"/>
      <c r="PP755"/>
      <c r="PQ755"/>
      <c r="PR755"/>
      <c r="PS755"/>
      <c r="PT755"/>
      <c r="PU755"/>
      <c r="PV755"/>
      <c r="PW755"/>
      <c r="PX755"/>
      <c r="PY755"/>
      <c r="PZ755"/>
      <c r="QA755"/>
      <c r="QB755"/>
      <c r="QC755"/>
      <c r="QD755"/>
      <c r="QE755"/>
      <c r="QF755"/>
      <c r="QG755"/>
      <c r="QH755"/>
      <c r="QI755"/>
      <c r="QJ755"/>
      <c r="QK755"/>
      <c r="QL755"/>
      <c r="QM755"/>
      <c r="QN755"/>
      <c r="QO755"/>
      <c r="QP755"/>
      <c r="QQ755"/>
      <c r="QR755"/>
      <c r="QS755"/>
      <c r="QT755"/>
      <c r="QU755"/>
      <c r="QV755"/>
      <c r="QW755"/>
      <c r="QX755"/>
      <c r="QY755"/>
      <c r="QZ755"/>
      <c r="RA755"/>
      <c r="RB755"/>
      <c r="RC755"/>
      <c r="RD755"/>
      <c r="RE755"/>
      <c r="RF755"/>
      <c r="RG755"/>
      <c r="RH755"/>
      <c r="RI755"/>
      <c r="RJ755"/>
      <c r="RK755"/>
      <c r="RL755"/>
      <c r="RM755"/>
      <c r="RN755"/>
      <c r="RO755"/>
      <c r="RP755"/>
      <c r="RQ755"/>
      <c r="RR755"/>
      <c r="RS755"/>
      <c r="RT755"/>
      <c r="RU755"/>
      <c r="RV755"/>
      <c r="RW755"/>
      <c r="RX755"/>
      <c r="RY755"/>
      <c r="RZ755"/>
      <c r="SA755"/>
      <c r="SB755"/>
      <c r="SC755"/>
      <c r="SD755"/>
      <c r="SE755"/>
      <c r="SF755"/>
      <c r="SG755"/>
      <c r="SH755"/>
      <c r="SI755"/>
      <c r="SJ755"/>
      <c r="SK755"/>
      <c r="SL755"/>
      <c r="SM755"/>
      <c r="SN755"/>
      <c r="SO755"/>
      <c r="SP755"/>
      <c r="SQ755"/>
      <c r="SR755"/>
      <c r="SS755"/>
      <c r="ST755"/>
      <c r="SU755"/>
      <c r="SV755"/>
      <c r="SW755"/>
      <c r="SX755"/>
      <c r="SY755"/>
      <c r="SZ755"/>
      <c r="TA755"/>
      <c r="TB755"/>
      <c r="TC755"/>
      <c r="TD755"/>
      <c r="TE755"/>
      <c r="TF755"/>
      <c r="TG755"/>
      <c r="TH755"/>
      <c r="TI755"/>
      <c r="TJ755"/>
      <c r="TK755"/>
      <c r="TL755"/>
      <c r="TM755"/>
      <c r="TN755"/>
      <c r="TO755"/>
      <c r="TP755"/>
      <c r="TQ755"/>
      <c r="TR755"/>
      <c r="TS755"/>
      <c r="TT755"/>
      <c r="TU755"/>
      <c r="TV755"/>
      <c r="TW755"/>
      <c r="TX755"/>
      <c r="TY755"/>
      <c r="TZ755"/>
      <c r="UA755"/>
      <c r="UB755"/>
      <c r="UC755"/>
      <c r="UD755"/>
      <c r="UE755"/>
      <c r="UF755"/>
      <c r="UG755"/>
      <c r="UH755"/>
      <c r="UI755"/>
      <c r="UJ755"/>
      <c r="UK755"/>
      <c r="UL755"/>
      <c r="UM755"/>
      <c r="UN755"/>
      <c r="UO755"/>
      <c r="UP755"/>
      <c r="UQ755"/>
      <c r="UR755"/>
      <c r="US755"/>
      <c r="UT755"/>
      <c r="UU755"/>
      <c r="UV755"/>
      <c r="UW755"/>
      <c r="UX755"/>
      <c r="UY755"/>
      <c r="UZ755"/>
      <c r="VA755"/>
      <c r="VB755"/>
      <c r="VC755"/>
      <c r="VD755"/>
      <c r="VE755"/>
      <c r="VF755"/>
      <c r="VG755"/>
      <c r="VH755"/>
      <c r="VI755"/>
      <c r="VJ755"/>
      <c r="VK755"/>
      <c r="VL755"/>
      <c r="VM755"/>
      <c r="VN755"/>
      <c r="VO755"/>
      <c r="VP755"/>
      <c r="VQ755"/>
      <c r="VR755"/>
      <c r="VS755"/>
      <c r="VT755"/>
      <c r="VU755"/>
      <c r="VV755"/>
      <c r="VW755"/>
      <c r="VX755"/>
      <c r="VY755"/>
      <c r="VZ755"/>
      <c r="WA755"/>
      <c r="WB755"/>
      <c r="WC755"/>
      <c r="WD755"/>
      <c r="WE755"/>
      <c r="WF755"/>
      <c r="WG755"/>
      <c r="WH755"/>
      <c r="WI755"/>
      <c r="WJ755"/>
      <c r="WK755"/>
      <c r="WL755"/>
      <c r="WM755"/>
      <c r="WN755"/>
      <c r="WO755"/>
      <c r="WP755"/>
      <c r="WQ755"/>
      <c r="WR755"/>
      <c r="WS755"/>
      <c r="WT755"/>
      <c r="WU755"/>
      <c r="WV755"/>
      <c r="WW755"/>
      <c r="WX755"/>
      <c r="WY755"/>
      <c r="WZ755"/>
      <c r="XA755"/>
      <c r="XB755"/>
      <c r="XC755"/>
      <c r="XD755"/>
      <c r="XE755"/>
      <c r="XF755"/>
      <c r="XG755"/>
      <c r="XH755"/>
      <c r="XI755"/>
      <c r="XJ755"/>
      <c r="XK755"/>
      <c r="XL755"/>
      <c r="XM755"/>
      <c r="XN755"/>
      <c r="XO755"/>
      <c r="XP755"/>
      <c r="XQ755"/>
      <c r="XR755"/>
      <c r="XS755"/>
      <c r="XT755"/>
      <c r="XU755"/>
      <c r="XV755"/>
      <c r="XW755"/>
      <c r="XX755"/>
      <c r="XY755"/>
      <c r="XZ755"/>
      <c r="YA755"/>
      <c r="YB755"/>
      <c r="YC755"/>
      <c r="YD755"/>
      <c r="YE755"/>
      <c r="YF755"/>
      <c r="YG755"/>
      <c r="YH755"/>
      <c r="YI755"/>
      <c r="YJ755"/>
      <c r="YK755"/>
      <c r="YL755"/>
      <c r="YM755"/>
      <c r="YN755"/>
      <c r="YO755"/>
      <c r="YP755"/>
      <c r="YQ755"/>
      <c r="YR755"/>
      <c r="YS755"/>
      <c r="YT755"/>
      <c r="YU755"/>
      <c r="YV755"/>
      <c r="YW755"/>
      <c r="YX755"/>
      <c r="YY755"/>
      <c r="YZ755"/>
      <c r="ZA755"/>
      <c r="ZB755"/>
      <c r="ZC755"/>
      <c r="ZD755"/>
      <c r="ZE755"/>
      <c r="ZF755"/>
      <c r="ZG755"/>
      <c r="ZH755"/>
      <c r="ZI755"/>
      <c r="ZJ755"/>
      <c r="ZK755"/>
      <c r="ZL755"/>
      <c r="ZM755"/>
      <c r="ZN755"/>
      <c r="ZO755"/>
      <c r="ZP755"/>
      <c r="ZQ755"/>
      <c r="ZR755"/>
      <c r="ZS755"/>
      <c r="ZT755"/>
      <c r="ZU755"/>
      <c r="ZV755"/>
      <c r="ZW755"/>
      <c r="ZX755"/>
      <c r="ZY755"/>
      <c r="ZZ755" s="52"/>
      <c r="AAA755" s="192"/>
      <c r="AAD755" s="90"/>
      <c r="AAE755" s="519">
        <v>1</v>
      </c>
      <c r="AAF755" s="90"/>
      <c r="AAG755" s="73">
        <f>AAH750</f>
        <v>0</v>
      </c>
      <c r="AAH755" s="73">
        <f>S.PostEQC.BANNER.End</f>
        <v>41807</v>
      </c>
      <c r="AAI755" s="72"/>
      <c r="AAJ755" s="58"/>
      <c r="AAK755" s="92" t="str">
        <f>"* delivers archival box to "&amp;S.Staff.AgencyRulesCoordinator</f>
        <v>* delivers archival box to Maggie</v>
      </c>
      <c r="AAL755" s="90"/>
    </row>
    <row r="756" spans="1:715" s="23" customFormat="1" ht="15" customHeight="1" outlineLevel="1">
      <c r="A756" s="171" t="s">
        <v>0</v>
      </c>
      <c r="B756" s="427" t="str">
        <f>AAK756</f>
        <v>AndreaDRC coordinates retiring Q-Time number(s) with RobertB</v>
      </c>
      <c r="C756" s="362" t="s">
        <v>0</v>
      </c>
      <c r="D756" s="380"/>
      <c r="E756" s="342">
        <f>NETWORKDAYS(G756,H756,S.DDL_DEQClosed)</f>
        <v>1</v>
      </c>
      <c r="F756" s="457">
        <f ca="1">IF(YEAR(H756)&gt;2000,NETWORKDAYS(TODAY(),H756,S.DDL_DEQClosed),0)</f>
        <v>99</v>
      </c>
      <c r="G756" s="343">
        <f>AAG756</f>
        <v>41719</v>
      </c>
      <c r="H756" s="343">
        <f>AAH756</f>
        <v>41719</v>
      </c>
      <c r="I756" s="244"/>
      <c r="J756" s="193"/>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46"/>
      <c r="CS756" s="46"/>
      <c r="CT756" s="46"/>
      <c r="CU756" s="46"/>
      <c r="CV756" s="46"/>
      <c r="CW756" s="46"/>
      <c r="CX756" s="46"/>
      <c r="CY756" s="46"/>
      <c r="CZ756" s="46"/>
      <c r="DA756" s="46"/>
      <c r="DB756" s="46"/>
      <c r="DC756" s="46"/>
      <c r="DD756" s="46"/>
      <c r="DE756" s="46"/>
      <c r="DF756" s="46"/>
      <c r="DG756" s="46"/>
      <c r="DH756" s="46"/>
      <c r="DI756" s="46"/>
      <c r="DJ756" s="46"/>
      <c r="DK756" s="46"/>
      <c r="DL756" s="46"/>
      <c r="DM756" s="46"/>
      <c r="DN756" s="46"/>
      <c r="DO756" s="46"/>
      <c r="DP756" s="4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c r="IW756"/>
      <c r="IX756"/>
      <c r="IY756"/>
      <c r="IZ756"/>
      <c r="JA756"/>
      <c r="JB756"/>
      <c r="JC756"/>
      <c r="JD756"/>
      <c r="JE756"/>
      <c r="JF756"/>
      <c r="JG756"/>
      <c r="JH756"/>
      <c r="JI756"/>
      <c r="JJ756"/>
      <c r="JK756"/>
      <c r="JL756"/>
      <c r="JM756"/>
      <c r="JN756"/>
      <c r="JO756"/>
      <c r="JP756"/>
      <c r="JQ756"/>
      <c r="JR756"/>
      <c r="JS756"/>
      <c r="JT756"/>
      <c r="JU756"/>
      <c r="JV756"/>
      <c r="JW756"/>
      <c r="JX756"/>
      <c r="JY756"/>
      <c r="JZ756"/>
      <c r="KA756"/>
      <c r="KB756"/>
      <c r="KC756"/>
      <c r="KD756"/>
      <c r="KE756"/>
      <c r="KF756"/>
      <c r="KG756"/>
      <c r="KH756"/>
      <c r="KI756"/>
      <c r="KJ756"/>
      <c r="KK756"/>
      <c r="KL756"/>
      <c r="KM756"/>
      <c r="KN756"/>
      <c r="KO756"/>
      <c r="KP756"/>
      <c r="KQ756"/>
      <c r="KR756"/>
      <c r="KS756"/>
      <c r="KT756"/>
      <c r="KU756"/>
      <c r="KV756"/>
      <c r="KW756"/>
      <c r="KX756"/>
      <c r="KY756"/>
      <c r="KZ756"/>
      <c r="LA756"/>
      <c r="LB756"/>
      <c r="LC756"/>
      <c r="LD756"/>
      <c r="LE756"/>
      <c r="LF756"/>
      <c r="LG756"/>
      <c r="LH756"/>
      <c r="LI756"/>
      <c r="LJ756"/>
      <c r="LK756"/>
      <c r="LL756"/>
      <c r="LM756"/>
      <c r="LN756"/>
      <c r="LO756"/>
      <c r="LP756"/>
      <c r="LQ756"/>
      <c r="LR756"/>
      <c r="LS756"/>
      <c r="LT756"/>
      <c r="LU756"/>
      <c r="LV756"/>
      <c r="LW756"/>
      <c r="LX756"/>
      <c r="LY756"/>
      <c r="LZ756"/>
      <c r="MA756"/>
      <c r="MB756"/>
      <c r="MC756"/>
      <c r="MD756"/>
      <c r="ME756"/>
      <c r="MF756"/>
      <c r="MG756"/>
      <c r="MH756"/>
      <c r="MI756"/>
      <c r="MJ756"/>
      <c r="MK756"/>
      <c r="ML756"/>
      <c r="MM756"/>
      <c r="MN756"/>
      <c r="MO756"/>
      <c r="MP756"/>
      <c r="MQ756"/>
      <c r="MR756"/>
      <c r="MS756"/>
      <c r="MT756"/>
      <c r="MU756"/>
      <c r="MV756"/>
      <c r="MW756"/>
      <c r="MX756"/>
      <c r="MY756"/>
      <c r="MZ756"/>
      <c r="NA756"/>
      <c r="NB756"/>
      <c r="NC756"/>
      <c r="ND756"/>
      <c r="NE756"/>
      <c r="NF756"/>
      <c r="NG756"/>
      <c r="NH756"/>
      <c r="NI756"/>
      <c r="NJ756"/>
      <c r="NK756"/>
      <c r="NL756"/>
      <c r="NM756"/>
      <c r="NN756"/>
      <c r="NO756"/>
      <c r="NP756"/>
      <c r="NQ756"/>
      <c r="NR756"/>
      <c r="NS756"/>
      <c r="NT756"/>
      <c r="NU756"/>
      <c r="NV756"/>
      <c r="NW756"/>
      <c r="NX756"/>
      <c r="NY756"/>
      <c r="NZ756"/>
      <c r="OA756"/>
      <c r="OB756"/>
      <c r="OC756"/>
      <c r="OD756"/>
      <c r="OE756"/>
      <c r="OF756"/>
      <c r="OG756"/>
      <c r="OH756"/>
      <c r="OI756"/>
      <c r="OJ756"/>
      <c r="OK756"/>
      <c r="OL756"/>
      <c r="OM756"/>
      <c r="ON756"/>
      <c r="OO756"/>
      <c r="OP756"/>
      <c r="OQ756"/>
      <c r="OR756"/>
      <c r="OS756"/>
      <c r="OT756"/>
      <c r="OU756"/>
      <c r="OV756"/>
      <c r="OW756"/>
      <c r="OX756"/>
      <c r="OY756"/>
      <c r="OZ756"/>
      <c r="PA756"/>
      <c r="PB756"/>
      <c r="PC756"/>
      <c r="PD756"/>
      <c r="PE756"/>
      <c r="PF756"/>
      <c r="PG756"/>
      <c r="PH756"/>
      <c r="PI756"/>
      <c r="PJ756"/>
      <c r="PK756"/>
      <c r="PL756"/>
      <c r="PM756"/>
      <c r="PN756"/>
      <c r="PO756"/>
      <c r="PP756"/>
      <c r="PQ756"/>
      <c r="PR756"/>
      <c r="PS756"/>
      <c r="PT756"/>
      <c r="PU756"/>
      <c r="PV756"/>
      <c r="PW756"/>
      <c r="PX756"/>
      <c r="PY756"/>
      <c r="PZ756"/>
      <c r="QA756"/>
      <c r="QB756"/>
      <c r="QC756"/>
      <c r="QD756"/>
      <c r="QE756"/>
      <c r="QF756"/>
      <c r="QG756"/>
      <c r="QH756"/>
      <c r="QI756"/>
      <c r="QJ756"/>
      <c r="QK756"/>
      <c r="QL756"/>
      <c r="QM756"/>
      <c r="QN756"/>
      <c r="QO756"/>
      <c r="QP756"/>
      <c r="QQ756"/>
      <c r="QR756"/>
      <c r="QS756"/>
      <c r="QT756"/>
      <c r="QU756"/>
      <c r="QV756"/>
      <c r="QW756"/>
      <c r="QX756"/>
      <c r="QY756"/>
      <c r="QZ756"/>
      <c r="RA756"/>
      <c r="RB756"/>
      <c r="RC756"/>
      <c r="RD756"/>
      <c r="RE756"/>
      <c r="RF756"/>
      <c r="RG756"/>
      <c r="RH756"/>
      <c r="RI756"/>
      <c r="RJ756"/>
      <c r="RK756"/>
      <c r="RL756"/>
      <c r="RM756"/>
      <c r="RN756"/>
      <c r="RO756"/>
      <c r="RP756"/>
      <c r="RQ756"/>
      <c r="RR756"/>
      <c r="RS756"/>
      <c r="RT756"/>
      <c r="RU756"/>
      <c r="RV756"/>
      <c r="RW756"/>
      <c r="RX756"/>
      <c r="RY756"/>
      <c r="RZ756"/>
      <c r="SA756"/>
      <c r="SB756"/>
      <c r="SC756"/>
      <c r="SD756"/>
      <c r="SE756"/>
      <c r="SF756"/>
      <c r="SG756"/>
      <c r="SH756"/>
      <c r="SI756"/>
      <c r="SJ756"/>
      <c r="SK756"/>
      <c r="SL756"/>
      <c r="SM756"/>
      <c r="SN756"/>
      <c r="SO756"/>
      <c r="SP756"/>
      <c r="SQ756"/>
      <c r="SR756"/>
      <c r="SS756"/>
      <c r="ST756"/>
      <c r="SU756"/>
      <c r="SV756"/>
      <c r="SW756"/>
      <c r="SX756"/>
      <c r="SY756"/>
      <c r="SZ756"/>
      <c r="TA756"/>
      <c r="TB756"/>
      <c r="TC756"/>
      <c r="TD756"/>
      <c r="TE756"/>
      <c r="TF756"/>
      <c r="TG756"/>
      <c r="TH756"/>
      <c r="TI756"/>
      <c r="TJ756"/>
      <c r="TK756"/>
      <c r="TL756"/>
      <c r="TM756"/>
      <c r="TN756"/>
      <c r="TO756"/>
      <c r="TP756"/>
      <c r="TQ756"/>
      <c r="TR756"/>
      <c r="TS756"/>
      <c r="TT756"/>
      <c r="TU756"/>
      <c r="TV756"/>
      <c r="TW756"/>
      <c r="TX756"/>
      <c r="TY756"/>
      <c r="TZ756"/>
      <c r="UA756"/>
      <c r="UB756"/>
      <c r="UC756"/>
      <c r="UD756"/>
      <c r="UE756"/>
      <c r="UF756"/>
      <c r="UG756"/>
      <c r="UH756"/>
      <c r="UI756"/>
      <c r="UJ756"/>
      <c r="UK756"/>
      <c r="UL756"/>
      <c r="UM756"/>
      <c r="UN756"/>
      <c r="UO756"/>
      <c r="UP756"/>
      <c r="UQ756"/>
      <c r="UR756"/>
      <c r="US756"/>
      <c r="UT756"/>
      <c r="UU756"/>
      <c r="UV756"/>
      <c r="UW756"/>
      <c r="UX756"/>
      <c r="UY756"/>
      <c r="UZ756"/>
      <c r="VA756"/>
      <c r="VB756"/>
      <c r="VC756"/>
      <c r="VD756"/>
      <c r="VE756"/>
      <c r="VF756"/>
      <c r="VG756"/>
      <c r="VH756"/>
      <c r="VI756"/>
      <c r="VJ756"/>
      <c r="VK756"/>
      <c r="VL756"/>
      <c r="VM756"/>
      <c r="VN756"/>
      <c r="VO756"/>
      <c r="VP756"/>
      <c r="VQ756"/>
      <c r="VR756"/>
      <c r="VS756"/>
      <c r="VT756"/>
      <c r="VU756"/>
      <c r="VV756"/>
      <c r="VW756"/>
      <c r="VX756"/>
      <c r="VY756"/>
      <c r="VZ756"/>
      <c r="WA756"/>
      <c r="WB756"/>
      <c r="WC756"/>
      <c r="WD756"/>
      <c r="WE756"/>
      <c r="WF756"/>
      <c r="WG756"/>
      <c r="WH756"/>
      <c r="WI756"/>
      <c r="WJ756"/>
      <c r="WK756"/>
      <c r="WL756"/>
      <c r="WM756"/>
      <c r="WN756"/>
      <c r="WO756"/>
      <c r="WP756"/>
      <c r="WQ756"/>
      <c r="WR756"/>
      <c r="WS756"/>
      <c r="WT756"/>
      <c r="WU756"/>
      <c r="WV756"/>
      <c r="WW756"/>
      <c r="WX756"/>
      <c r="WY756"/>
      <c r="WZ756"/>
      <c r="XA756"/>
      <c r="XB756"/>
      <c r="XC756"/>
      <c r="XD756"/>
      <c r="XE756"/>
      <c r="XF756"/>
      <c r="XG756"/>
      <c r="XH756"/>
      <c r="XI756"/>
      <c r="XJ756"/>
      <c r="XK756"/>
      <c r="XL756"/>
      <c r="XM756"/>
      <c r="XN756"/>
      <c r="XO756"/>
      <c r="XP756"/>
      <c r="XQ756"/>
      <c r="XR756"/>
      <c r="XS756"/>
      <c r="XT756"/>
      <c r="XU756"/>
      <c r="XV756"/>
      <c r="XW756"/>
      <c r="XX756"/>
      <c r="XY756"/>
      <c r="XZ756"/>
      <c r="YA756"/>
      <c r="YB756"/>
      <c r="YC756"/>
      <c r="YD756"/>
      <c r="YE756"/>
      <c r="YF756"/>
      <c r="YG756"/>
      <c r="YH756"/>
      <c r="YI756"/>
      <c r="YJ756"/>
      <c r="YK756"/>
      <c r="YL756"/>
      <c r="YM756"/>
      <c r="YN756"/>
      <c r="YO756"/>
      <c r="YP756"/>
      <c r="YQ756"/>
      <c r="YR756"/>
      <c r="YS756"/>
      <c r="YT756"/>
      <c r="YU756"/>
      <c r="YV756"/>
      <c r="YW756"/>
      <c r="YX756"/>
      <c r="YY756"/>
      <c r="YZ756"/>
      <c r="ZA756"/>
      <c r="ZB756"/>
      <c r="ZC756"/>
      <c r="ZD756"/>
      <c r="ZE756"/>
      <c r="ZF756"/>
      <c r="ZG756"/>
      <c r="ZH756"/>
      <c r="ZI756"/>
      <c r="ZJ756"/>
      <c r="ZK756"/>
      <c r="ZL756"/>
      <c r="ZM756"/>
      <c r="ZN756"/>
      <c r="ZO756"/>
      <c r="ZP756"/>
      <c r="ZQ756"/>
      <c r="ZR756"/>
      <c r="ZS756"/>
      <c r="ZT756"/>
      <c r="ZU756"/>
      <c r="ZV756"/>
      <c r="ZW756"/>
      <c r="ZX756"/>
      <c r="ZY756"/>
      <c r="ZZ756" s="52"/>
      <c r="AAA756" s="192"/>
      <c r="AAD756" s="90"/>
      <c r="AAE756" s="519">
        <v>1</v>
      </c>
      <c r="AAF756" s="90" t="s">
        <v>0</v>
      </c>
      <c r="AAG756" s="73">
        <f>AAH749</f>
        <v>41719</v>
      </c>
      <c r="AAH756" s="73">
        <f>G756</f>
        <v>41719</v>
      </c>
      <c r="AAI756" s="72"/>
      <c r="AAJ756" s="55"/>
      <c r="AAK756" s="76" t="str">
        <f>S.Staff.DivisionRulesCoordinator&amp;" coordinates retiring Q-Time number(s) with "&amp;S.Staff.TimeAccounting</f>
        <v>AndreaDRC coordinates retiring Q-Time number(s) with RobertB</v>
      </c>
      <c r="AAL756" s="90"/>
    </row>
    <row r="757" spans="1:715" s="23" customFormat="1" ht="15" customHeight="1" outlineLevel="1">
      <c r="A757" s="171"/>
      <c r="B757" s="414" t="str">
        <f>AAK757</f>
        <v>At the close of the rulemaking records, Maggie archives the record</v>
      </c>
      <c r="C757" s="420"/>
      <c r="D757" s="421"/>
      <c r="E757" s="350"/>
      <c r="F757" s="350"/>
      <c r="G757" s="420"/>
      <c r="H757" s="420"/>
      <c r="I757" s="244"/>
      <c r="J757" s="194"/>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c r="BG757" s="49"/>
      <c r="BH757" s="49"/>
      <c r="BI757" s="49"/>
      <c r="BJ757" s="49"/>
      <c r="BK757" s="49"/>
      <c r="BL757" s="49"/>
      <c r="BM757" s="49"/>
      <c r="BN757" s="49"/>
      <c r="BO757" s="49"/>
      <c r="BP757" s="49"/>
      <c r="BQ757" s="49"/>
      <c r="BR757" s="49"/>
      <c r="BS757" s="49"/>
      <c r="BT757" s="49"/>
      <c r="BU757" s="49"/>
      <c r="BV757" s="49"/>
      <c r="BW757" s="49"/>
      <c r="BX757" s="49"/>
      <c r="BY757" s="49"/>
      <c r="BZ757" s="49"/>
      <c r="CA757" s="49"/>
      <c r="CB757" s="49"/>
      <c r="CC757" s="49"/>
      <c r="CD757" s="49"/>
      <c r="CE757" s="49"/>
      <c r="CF757" s="49"/>
      <c r="CG757" s="49"/>
      <c r="CH757" s="49"/>
      <c r="CI757" s="49"/>
      <c r="CJ757" s="49"/>
      <c r="CK757" s="49"/>
      <c r="CL757" s="49"/>
      <c r="CM757" s="49"/>
      <c r="CN757" s="49"/>
      <c r="CO757" s="49"/>
      <c r="CP757" s="49"/>
      <c r="CQ757" s="49"/>
      <c r="CR757" s="49"/>
      <c r="CS757" s="49"/>
      <c r="CT757" s="49"/>
      <c r="CU757" s="49"/>
      <c r="CV757" s="49"/>
      <c r="CW757" s="49"/>
      <c r="CX757" s="49"/>
      <c r="CY757" s="49"/>
      <c r="CZ757" s="49"/>
      <c r="DA757" s="49"/>
      <c r="DB757" s="49"/>
      <c r="DC757" s="49"/>
      <c r="DD757" s="49"/>
      <c r="DE757" s="49"/>
      <c r="DF757" s="49"/>
      <c r="DG757" s="49"/>
      <c r="DH757" s="49"/>
      <c r="DI757" s="49"/>
      <c r="DJ757" s="49"/>
      <c r="DK757" s="49"/>
      <c r="DL757" s="49"/>
      <c r="DM757" s="49"/>
      <c r="DN757" s="49"/>
      <c r="DO757" s="49"/>
      <c r="DP757" s="49"/>
      <c r="ZZ757" s="52"/>
      <c r="AAA757" s="192"/>
      <c r="AAD757" s="90"/>
      <c r="AAE757" s="519">
        <v>1</v>
      </c>
      <c r="AAF757" s="190"/>
      <c r="AAG757" s="94"/>
      <c r="AAH757" s="94"/>
      <c r="AAI757" s="72"/>
      <c r="AAJ757" s="185"/>
      <c r="AAK757" s="80" t="str">
        <f>"At the close of the rulemaking records, "&amp;S.Staff.AgencyRulesCoordinator&amp;" archives the record"</f>
        <v>At the close of the rulemaking records, Maggie archives the record</v>
      </c>
      <c r="AAL757" s="90"/>
    </row>
    <row r="758" spans="1:715" s="23" customFormat="1" ht="15" customHeight="1" outlineLevel="1">
      <c r="A758" s="171"/>
      <c r="B758" s="779" t="s">
        <v>494</v>
      </c>
      <c r="C758" s="789" t="str">
        <f>HYPERLINK("\\deqhq1\Rule_Development\Currrent Plan","i")</f>
        <v>i</v>
      </c>
      <c r="D758" s="421"/>
      <c r="E758" s="350"/>
      <c r="F758" s="350"/>
      <c r="G758" s="420"/>
      <c r="H758" s="420"/>
      <c r="I758" s="244"/>
      <c r="J758" s="194"/>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c r="BG758" s="49"/>
      <c r="BH758" s="49"/>
      <c r="BI758" s="49"/>
      <c r="BJ758" s="49"/>
      <c r="BK758" s="49"/>
      <c r="BL758" s="49"/>
      <c r="BM758" s="49"/>
      <c r="BN758" s="49"/>
      <c r="BO758" s="49"/>
      <c r="BP758" s="49"/>
      <c r="BQ758" s="49"/>
      <c r="BR758" s="49"/>
      <c r="BS758" s="49"/>
      <c r="BT758" s="49"/>
      <c r="BU758" s="49"/>
      <c r="BV758" s="49"/>
      <c r="BW758" s="49"/>
      <c r="BX758" s="49"/>
      <c r="BY758" s="49"/>
      <c r="BZ758" s="49"/>
      <c r="CA758" s="49"/>
      <c r="CB758" s="49"/>
      <c r="CC758" s="49"/>
      <c r="CD758" s="49"/>
      <c r="CE758" s="49"/>
      <c r="CF758" s="49"/>
      <c r="CG758" s="49"/>
      <c r="CH758" s="49"/>
      <c r="CI758" s="49"/>
      <c r="CJ758" s="49"/>
      <c r="CK758" s="49"/>
      <c r="CL758" s="49"/>
      <c r="CM758" s="49"/>
      <c r="CN758" s="49"/>
      <c r="CO758" s="49"/>
      <c r="CP758" s="49"/>
      <c r="CQ758" s="49"/>
      <c r="CR758" s="49"/>
      <c r="CS758" s="49"/>
      <c r="CT758" s="49"/>
      <c r="CU758" s="49"/>
      <c r="CV758" s="49"/>
      <c r="CW758" s="49"/>
      <c r="CX758" s="49"/>
      <c r="CY758" s="49"/>
      <c r="CZ758" s="49"/>
      <c r="DA758" s="49"/>
      <c r="DB758" s="49"/>
      <c r="DC758" s="49"/>
      <c r="DD758" s="49"/>
      <c r="DE758" s="49"/>
      <c r="DF758" s="49"/>
      <c r="DG758" s="49"/>
      <c r="DH758" s="49"/>
      <c r="DI758" s="49"/>
      <c r="DJ758" s="49"/>
      <c r="DK758" s="49"/>
      <c r="DL758" s="49"/>
      <c r="DM758" s="49"/>
      <c r="DN758" s="49"/>
      <c r="DO758" s="49"/>
      <c r="DP758" s="49"/>
      <c r="ZZ758" s="52"/>
      <c r="AAA758" s="192"/>
      <c r="AAD758" s="90"/>
      <c r="AAE758" s="519">
        <v>1</v>
      </c>
      <c r="AAF758" s="190"/>
      <c r="AAG758" s="94"/>
      <c r="AAH758" s="94"/>
      <c r="AAI758" s="72"/>
      <c r="AAJ758" s="185"/>
      <c r="AAK758" s="53"/>
      <c r="AAL758" s="90"/>
    </row>
    <row r="759" spans="1:715" s="23" customFormat="1" ht="15" customHeight="1" outlineLevel="1">
      <c r="A759" s="171"/>
      <c r="B759" s="779" t="s">
        <v>495</v>
      </c>
      <c r="C759" s="420"/>
      <c r="D759" s="421"/>
      <c r="E759" s="350"/>
      <c r="F759" s="350"/>
      <c r="G759" s="420"/>
      <c r="H759" s="420"/>
      <c r="I759" s="244"/>
      <c r="J759" s="194"/>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49"/>
      <c r="BL759" s="49"/>
      <c r="BM759" s="49"/>
      <c r="BN759" s="49"/>
      <c r="BO759" s="49"/>
      <c r="BP759" s="49"/>
      <c r="BQ759" s="49"/>
      <c r="BR759" s="49"/>
      <c r="BS759" s="49"/>
      <c r="BT759" s="49"/>
      <c r="BU759" s="49"/>
      <c r="BV759" s="49"/>
      <c r="BW759" s="49"/>
      <c r="BX759" s="49"/>
      <c r="BY759" s="49"/>
      <c r="BZ759" s="49"/>
      <c r="CA759" s="49"/>
      <c r="CB759" s="49"/>
      <c r="CC759" s="49"/>
      <c r="CD759" s="49"/>
      <c r="CE759" s="49"/>
      <c r="CF759" s="49"/>
      <c r="CG759" s="49"/>
      <c r="CH759" s="49"/>
      <c r="CI759" s="49"/>
      <c r="CJ759" s="49"/>
      <c r="CK759" s="49"/>
      <c r="CL759" s="49"/>
      <c r="CM759" s="49"/>
      <c r="CN759" s="49"/>
      <c r="CO759" s="49"/>
      <c r="CP759" s="49"/>
      <c r="CQ759" s="49"/>
      <c r="CR759" s="49"/>
      <c r="CS759" s="49"/>
      <c r="CT759" s="49"/>
      <c r="CU759" s="49"/>
      <c r="CV759" s="49"/>
      <c r="CW759" s="49"/>
      <c r="CX759" s="49"/>
      <c r="CY759" s="49"/>
      <c r="CZ759" s="49"/>
      <c r="DA759" s="49"/>
      <c r="DB759" s="49"/>
      <c r="DC759" s="49"/>
      <c r="DD759" s="49"/>
      <c r="DE759" s="49"/>
      <c r="DF759" s="49"/>
      <c r="DG759" s="49"/>
      <c r="DH759" s="49"/>
      <c r="DI759" s="49"/>
      <c r="DJ759" s="49"/>
      <c r="DK759" s="49"/>
      <c r="DL759" s="49"/>
      <c r="DM759" s="49"/>
      <c r="DN759" s="49"/>
      <c r="DO759" s="49"/>
      <c r="DP759" s="49"/>
      <c r="ZZ759" s="52"/>
      <c r="AAA759" s="192" t="s">
        <v>0</v>
      </c>
      <c r="AAD759" s="90"/>
      <c r="AAE759" s="519">
        <v>1</v>
      </c>
      <c r="AAF759" s="190" t="s">
        <v>52</v>
      </c>
      <c r="AAG759" s="94"/>
      <c r="AAH759" s="94"/>
      <c r="AAI759" s="72"/>
      <c r="AAJ759" s="185"/>
      <c r="AAK759" s="53"/>
      <c r="AAL759" s="90"/>
    </row>
    <row r="760" spans="1:715" s="23" customFormat="1" ht="15" customHeight="1" outlineLevel="1">
      <c r="A760" s="171"/>
      <c r="B760" s="306" t="s">
        <v>183</v>
      </c>
      <c r="C760" s="376"/>
      <c r="D760" s="380"/>
      <c r="E760" s="342">
        <f t="shared" ref="E760" si="622">NETWORKDAYS(G760,H760,S.DDL_DEQClosed)</f>
        <v>62</v>
      </c>
      <c r="F760" s="457">
        <f ca="1">IF(YEAR(H760)&gt;2000,NETWORKDAYS(TODAY(),H760,S.DDL_DEQClosed),0)</f>
        <v>160</v>
      </c>
      <c r="G760" s="408">
        <f t="shared" ref="G760" si="623">AAG760</f>
        <v>41719</v>
      </c>
      <c r="H760" s="408">
        <f t="shared" ref="H760" si="624">AAH760</f>
        <v>41807</v>
      </c>
      <c r="I760" s="244"/>
      <c r="J760" s="194"/>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49"/>
      <c r="AT760" s="49"/>
      <c r="AU760" s="49"/>
      <c r="AV760" s="49"/>
      <c r="AW760" s="49"/>
      <c r="AX760" s="49"/>
      <c r="AY760" s="49"/>
      <c r="AZ760" s="49"/>
      <c r="BA760" s="49"/>
      <c r="BB760" s="49"/>
      <c r="BC760" s="49"/>
      <c r="BD760" s="49"/>
      <c r="BE760" s="49"/>
      <c r="BF760" s="49"/>
      <c r="BG760" s="49"/>
      <c r="BH760" s="49"/>
      <c r="BI760" s="49"/>
      <c r="BJ760" s="49"/>
      <c r="BK760" s="49"/>
      <c r="BL760" s="49"/>
      <c r="BM760" s="49"/>
      <c r="BN760" s="49"/>
      <c r="BO760" s="49"/>
      <c r="BP760" s="49"/>
      <c r="BQ760" s="49"/>
      <c r="BR760" s="49"/>
      <c r="BS760" s="49"/>
      <c r="BT760" s="49"/>
      <c r="BU760" s="49"/>
      <c r="BV760" s="49"/>
      <c r="BW760" s="49"/>
      <c r="BX760" s="49"/>
      <c r="BY760" s="49"/>
      <c r="BZ760" s="49"/>
      <c r="CA760" s="49"/>
      <c r="CB760" s="49"/>
      <c r="CC760" s="49"/>
      <c r="CD760" s="49"/>
      <c r="CE760" s="49"/>
      <c r="CF760" s="49"/>
      <c r="CG760" s="49"/>
      <c r="CH760" s="49"/>
      <c r="CI760" s="49"/>
      <c r="CJ760" s="49"/>
      <c r="CK760" s="49"/>
      <c r="CL760" s="49"/>
      <c r="CM760" s="49"/>
      <c r="CN760" s="49"/>
      <c r="CO760" s="49"/>
      <c r="CP760" s="49"/>
      <c r="CQ760" s="49"/>
      <c r="CR760" s="49"/>
      <c r="CS760" s="49"/>
      <c r="CT760" s="49"/>
      <c r="CU760" s="49"/>
      <c r="CV760" s="49"/>
      <c r="CW760" s="49"/>
      <c r="CX760" s="49"/>
      <c r="CY760" s="49"/>
      <c r="CZ760" s="49"/>
      <c r="DA760" s="49"/>
      <c r="DB760" s="49"/>
      <c r="DC760" s="49"/>
      <c r="DD760" s="49"/>
      <c r="DE760" s="49"/>
      <c r="DF760" s="49"/>
      <c r="DG760" s="49"/>
      <c r="DH760" s="49"/>
      <c r="DI760" s="49"/>
      <c r="DJ760" s="49"/>
      <c r="DK760" s="49"/>
      <c r="DL760" s="49"/>
      <c r="DM760" s="49"/>
      <c r="DN760" s="49"/>
      <c r="DO760" s="49"/>
      <c r="DP760" s="49"/>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c r="IW760"/>
      <c r="IX760"/>
      <c r="IY760"/>
      <c r="IZ760"/>
      <c r="JA760"/>
      <c r="JB760"/>
      <c r="JC760"/>
      <c r="JD760"/>
      <c r="JE760"/>
      <c r="JF760"/>
      <c r="JG760"/>
      <c r="JH760"/>
      <c r="JI760"/>
      <c r="JJ760"/>
      <c r="JK760"/>
      <c r="JL760"/>
      <c r="JM760"/>
      <c r="JN760"/>
      <c r="JO760"/>
      <c r="JP760"/>
      <c r="JQ760"/>
      <c r="JR760"/>
      <c r="JS760"/>
      <c r="JT760"/>
      <c r="JU760"/>
      <c r="JV760"/>
      <c r="JW760"/>
      <c r="JX760"/>
      <c r="JY760"/>
      <c r="JZ760"/>
      <c r="KA760"/>
      <c r="KB760"/>
      <c r="KC760"/>
      <c r="KD760"/>
      <c r="KE760"/>
      <c r="KF760"/>
      <c r="KG760"/>
      <c r="KH760"/>
      <c r="KI760"/>
      <c r="KJ760"/>
      <c r="KK760"/>
      <c r="KL760"/>
      <c r="KM760"/>
      <c r="KN760"/>
      <c r="KO760"/>
      <c r="KP760"/>
      <c r="KQ760"/>
      <c r="KR760"/>
      <c r="KS760"/>
      <c r="KT760"/>
      <c r="KU760"/>
      <c r="KV760"/>
      <c r="KW760"/>
      <c r="KX760"/>
      <c r="KY760"/>
      <c r="KZ760"/>
      <c r="LA760"/>
      <c r="LB760"/>
      <c r="LC760"/>
      <c r="LD760"/>
      <c r="LE760"/>
      <c r="LF760"/>
      <c r="LG760"/>
      <c r="LH760"/>
      <c r="LI760"/>
      <c r="LJ760"/>
      <c r="LK760"/>
      <c r="LL760"/>
      <c r="LM760"/>
      <c r="LN760"/>
      <c r="LO760"/>
      <c r="LP760"/>
      <c r="LQ760"/>
      <c r="LR760"/>
      <c r="LS760"/>
      <c r="LT760"/>
      <c r="LU760"/>
      <c r="LV760"/>
      <c r="LW760"/>
      <c r="LX760"/>
      <c r="LY760"/>
      <c r="LZ760"/>
      <c r="MA760"/>
      <c r="MB760"/>
      <c r="MC760"/>
      <c r="MD760"/>
      <c r="ME760"/>
      <c r="MF760"/>
      <c r="MG760"/>
      <c r="MH760"/>
      <c r="MI760"/>
      <c r="MJ760"/>
      <c r="MK760"/>
      <c r="ML760"/>
      <c r="MM760"/>
      <c r="MN760"/>
      <c r="MO760"/>
      <c r="MP760"/>
      <c r="MQ760"/>
      <c r="MR760"/>
      <c r="MS760"/>
      <c r="MT760"/>
      <c r="MU760"/>
      <c r="MV760"/>
      <c r="MW760"/>
      <c r="MX760"/>
      <c r="MY760"/>
      <c r="MZ760"/>
      <c r="NA760"/>
      <c r="NB760"/>
      <c r="NC760"/>
      <c r="ND760"/>
      <c r="NE760"/>
      <c r="NF760"/>
      <c r="NG760"/>
      <c r="NH760"/>
      <c r="NI760"/>
      <c r="NJ760"/>
      <c r="NK760"/>
      <c r="NL760"/>
      <c r="NM760"/>
      <c r="NN760"/>
      <c r="NO760"/>
      <c r="NP760"/>
      <c r="NQ760"/>
      <c r="NR760"/>
      <c r="NS760"/>
      <c r="NT760"/>
      <c r="NU760"/>
      <c r="NV760"/>
      <c r="NW760"/>
      <c r="NX760"/>
      <c r="NY760"/>
      <c r="NZ760"/>
      <c r="OA760"/>
      <c r="OB760"/>
      <c r="OC760"/>
      <c r="OD760"/>
      <c r="OE760"/>
      <c r="OF760"/>
      <c r="OG760"/>
      <c r="OH760"/>
      <c r="OI760"/>
      <c r="OJ760"/>
      <c r="OK760"/>
      <c r="OL760"/>
      <c r="OM760"/>
      <c r="ON760"/>
      <c r="OO760"/>
      <c r="OP760"/>
      <c r="OQ760"/>
      <c r="OR760"/>
      <c r="OS760"/>
      <c r="OT760"/>
      <c r="OU760"/>
      <c r="OV760"/>
      <c r="OW760"/>
      <c r="OX760"/>
      <c r="OY760"/>
      <c r="OZ760"/>
      <c r="PA760"/>
      <c r="PB760"/>
      <c r="PC760"/>
      <c r="PD760"/>
      <c r="PE760"/>
      <c r="PF760"/>
      <c r="PG760"/>
      <c r="PH760"/>
      <c r="PI760"/>
      <c r="PJ760"/>
      <c r="PK760"/>
      <c r="PL760"/>
      <c r="PM760"/>
      <c r="PN760"/>
      <c r="PO760"/>
      <c r="PP760"/>
      <c r="PQ760"/>
      <c r="PR760"/>
      <c r="PS760"/>
      <c r="PT760"/>
      <c r="PU760"/>
      <c r="PV760"/>
      <c r="PW760"/>
      <c r="PX760"/>
      <c r="PY760"/>
      <c r="PZ760"/>
      <c r="QA760"/>
      <c r="QB760"/>
      <c r="QC760"/>
      <c r="QD760"/>
      <c r="QE760"/>
      <c r="QF760"/>
      <c r="QG760"/>
      <c r="QH760"/>
      <c r="QI760"/>
      <c r="QJ760"/>
      <c r="QK760"/>
      <c r="QL760"/>
      <c r="QM760"/>
      <c r="QN760"/>
      <c r="QO760"/>
      <c r="QP760"/>
      <c r="QQ760"/>
      <c r="QR760"/>
      <c r="QS760"/>
      <c r="QT760"/>
      <c r="QU760"/>
      <c r="QV760"/>
      <c r="QW760"/>
      <c r="QX760"/>
      <c r="QY760"/>
      <c r="QZ760"/>
      <c r="RA760"/>
      <c r="RB760"/>
      <c r="RC760"/>
      <c r="RD760"/>
      <c r="RE760"/>
      <c r="RF760"/>
      <c r="RG760"/>
      <c r="RH760"/>
      <c r="RI760"/>
      <c r="RJ760"/>
      <c r="RK760"/>
      <c r="RL760"/>
      <c r="RM760"/>
      <c r="RN760"/>
      <c r="RO760"/>
      <c r="RP760"/>
      <c r="RQ760"/>
      <c r="RR760"/>
      <c r="RS760"/>
      <c r="RT760"/>
      <c r="RU760"/>
      <c r="RV760"/>
      <c r="RW760"/>
      <c r="RX760"/>
      <c r="RY760"/>
      <c r="RZ760"/>
      <c r="SA760"/>
      <c r="SB760"/>
      <c r="SC760"/>
      <c r="SD760"/>
      <c r="SE760"/>
      <c r="SF760"/>
      <c r="SG760"/>
      <c r="SH760"/>
      <c r="SI760"/>
      <c r="SJ760"/>
      <c r="SK760"/>
      <c r="SL760"/>
      <c r="SM760"/>
      <c r="SN760"/>
      <c r="SO760"/>
      <c r="SP760"/>
      <c r="SQ760"/>
      <c r="SR760"/>
      <c r="SS760"/>
      <c r="ST760"/>
      <c r="SU760"/>
      <c r="SV760"/>
      <c r="SW760"/>
      <c r="SX760"/>
      <c r="SY760"/>
      <c r="SZ760"/>
      <c r="TA760"/>
      <c r="TB760"/>
      <c r="TC760"/>
      <c r="TD760"/>
      <c r="TE760"/>
      <c r="TF760"/>
      <c r="TG760"/>
      <c r="TH760"/>
      <c r="TI760"/>
      <c r="TJ760"/>
      <c r="TK760"/>
      <c r="TL760"/>
      <c r="TM760"/>
      <c r="TN760"/>
      <c r="TO760"/>
      <c r="TP760"/>
      <c r="TQ760"/>
      <c r="TR760"/>
      <c r="TS760"/>
      <c r="TT760"/>
      <c r="TU760"/>
      <c r="TV760"/>
      <c r="TW760"/>
      <c r="TX760"/>
      <c r="TY760"/>
      <c r="TZ760"/>
      <c r="UA760"/>
      <c r="UB760"/>
      <c r="UC760"/>
      <c r="UD760"/>
      <c r="UE760"/>
      <c r="UF760"/>
      <c r="UG760"/>
      <c r="UH760"/>
      <c r="UI760"/>
      <c r="UJ760"/>
      <c r="UK760"/>
      <c r="UL760"/>
      <c r="UM760"/>
      <c r="UN760"/>
      <c r="UO760"/>
      <c r="UP760"/>
      <c r="UQ760"/>
      <c r="UR760"/>
      <c r="US760"/>
      <c r="UT760"/>
      <c r="UU760"/>
      <c r="UV760"/>
      <c r="UW760"/>
      <c r="UX760"/>
      <c r="UY760"/>
      <c r="UZ760"/>
      <c r="VA760"/>
      <c r="VB760"/>
      <c r="VC760"/>
      <c r="VD760"/>
      <c r="VE760"/>
      <c r="VF760"/>
      <c r="VG760"/>
      <c r="VH760"/>
      <c r="VI760"/>
      <c r="VJ760"/>
      <c r="VK760"/>
      <c r="VL760"/>
      <c r="VM760"/>
      <c r="VN760"/>
      <c r="VO760"/>
      <c r="VP760"/>
      <c r="VQ760"/>
      <c r="VR760"/>
      <c r="VS760"/>
      <c r="VT760"/>
      <c r="VU760"/>
      <c r="VV760"/>
      <c r="VW760"/>
      <c r="VX760"/>
      <c r="VY760"/>
      <c r="VZ760"/>
      <c r="WA760"/>
      <c r="WB760"/>
      <c r="WC760"/>
      <c r="WD760"/>
      <c r="WE760"/>
      <c r="WF760"/>
      <c r="WG760"/>
      <c r="WH760"/>
      <c r="WI760"/>
      <c r="WJ760"/>
      <c r="WK760"/>
      <c r="WL760"/>
      <c r="WM760"/>
      <c r="WN760"/>
      <c r="WO760"/>
      <c r="WP760"/>
      <c r="WQ760"/>
      <c r="WR760"/>
      <c r="WS760"/>
      <c r="WT760"/>
      <c r="WU760"/>
      <c r="WV760"/>
      <c r="WW760"/>
      <c r="WX760"/>
      <c r="WY760"/>
      <c r="WZ760"/>
      <c r="XA760"/>
      <c r="XB760"/>
      <c r="XC760"/>
      <c r="XD760"/>
      <c r="XE760"/>
      <c r="XF760"/>
      <c r="XG760"/>
      <c r="XH760"/>
      <c r="XI760"/>
      <c r="XJ760"/>
      <c r="XK760"/>
      <c r="XL760"/>
      <c r="XM760"/>
      <c r="XN760"/>
      <c r="XO760"/>
      <c r="XP760"/>
      <c r="XQ760"/>
      <c r="XR760"/>
      <c r="XS760"/>
      <c r="XT760"/>
      <c r="XU760"/>
      <c r="XV760"/>
      <c r="XW760"/>
      <c r="XX760"/>
      <c r="XY760"/>
      <c r="XZ760"/>
      <c r="YA760"/>
      <c r="YB760"/>
      <c r="YC760"/>
      <c r="YD760"/>
      <c r="YE760"/>
      <c r="YF760"/>
      <c r="YG760"/>
      <c r="YH760"/>
      <c r="YI760"/>
      <c r="YJ760"/>
      <c r="YK760"/>
      <c r="YL760"/>
      <c r="YM760"/>
      <c r="YN760"/>
      <c r="YO760"/>
      <c r="YP760"/>
      <c r="YQ760"/>
      <c r="YR760"/>
      <c r="YS760"/>
      <c r="YT760"/>
      <c r="YU760"/>
      <c r="YV760"/>
      <c r="YW760"/>
      <c r="YX760"/>
      <c r="YY760"/>
      <c r="YZ760"/>
      <c r="ZA760"/>
      <c r="ZB760"/>
      <c r="ZC760"/>
      <c r="ZD760"/>
      <c r="ZE760"/>
      <c r="ZF760"/>
      <c r="ZG760"/>
      <c r="ZH760"/>
      <c r="ZI760"/>
      <c r="ZJ760"/>
      <c r="ZK760"/>
      <c r="ZL760"/>
      <c r="ZM760"/>
      <c r="ZN760"/>
      <c r="ZO760"/>
      <c r="ZP760"/>
      <c r="ZQ760"/>
      <c r="ZR760"/>
      <c r="ZS760"/>
      <c r="ZT760"/>
      <c r="ZU760"/>
      <c r="ZV760"/>
      <c r="ZW760"/>
      <c r="ZX760"/>
      <c r="ZY760"/>
      <c r="ZZ760" s="52"/>
      <c r="AAA760" s="192"/>
      <c r="AAD760" s="90"/>
      <c r="AAE760" s="519">
        <v>1</v>
      </c>
      <c r="AAF760" s="90"/>
      <c r="AAG760" s="73">
        <f>AAH749</f>
        <v>41719</v>
      </c>
      <c r="AAH760" s="73">
        <f>S.PostEQC.BANNER.End</f>
        <v>41807</v>
      </c>
      <c r="AAI760" s="72"/>
      <c r="AAJ760" s="58"/>
      <c r="AAK760" s="53"/>
      <c r="AAL760" s="90"/>
    </row>
    <row r="761" spans="1:715" s="23" customFormat="1" ht="15" customHeight="1" outlineLevel="1">
      <c r="A761" s="171"/>
      <c r="B761" s="414" t="str">
        <f>AAK761</f>
        <v>AndreaRW takes a vacation</v>
      </c>
      <c r="C761" s="420"/>
      <c r="D761" s="421"/>
      <c r="E761" s="350"/>
      <c r="F761" s="350"/>
      <c r="G761" s="420"/>
      <c r="H761" s="420"/>
      <c r="I761" s="244"/>
      <c r="J761" s="194"/>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49"/>
      <c r="AY761" s="49"/>
      <c r="AZ761" s="49"/>
      <c r="BA761" s="49"/>
      <c r="BB761" s="49"/>
      <c r="BC761" s="49"/>
      <c r="BD761" s="49"/>
      <c r="BE761" s="49"/>
      <c r="BF761" s="49"/>
      <c r="BG761" s="49"/>
      <c r="BH761" s="49"/>
      <c r="BI761" s="49"/>
      <c r="BJ761" s="49"/>
      <c r="BK761" s="49"/>
      <c r="BL761" s="49"/>
      <c r="BM761" s="49"/>
      <c r="BN761" s="49"/>
      <c r="BO761" s="49"/>
      <c r="BP761" s="49"/>
      <c r="BQ761" s="49"/>
      <c r="BR761" s="49"/>
      <c r="BS761" s="49"/>
      <c r="BT761" s="49"/>
      <c r="BU761" s="49"/>
      <c r="BV761" s="49"/>
      <c r="BW761" s="49"/>
      <c r="BX761" s="49"/>
      <c r="BY761" s="49"/>
      <c r="BZ761" s="49"/>
      <c r="CA761" s="49"/>
      <c r="CB761" s="49"/>
      <c r="CC761" s="49"/>
      <c r="CD761" s="49"/>
      <c r="CE761" s="49"/>
      <c r="CF761" s="49"/>
      <c r="CG761" s="49"/>
      <c r="CH761" s="49"/>
      <c r="CI761" s="49"/>
      <c r="CJ761" s="49"/>
      <c r="CK761" s="49"/>
      <c r="CL761" s="49"/>
      <c r="CM761" s="49"/>
      <c r="CN761" s="49"/>
      <c r="CO761" s="49"/>
      <c r="CP761" s="49"/>
      <c r="CQ761" s="49"/>
      <c r="CR761" s="49"/>
      <c r="CS761" s="49"/>
      <c r="CT761" s="49"/>
      <c r="CU761" s="49"/>
      <c r="CV761" s="49"/>
      <c r="CW761" s="49"/>
      <c r="CX761" s="49"/>
      <c r="CY761" s="49"/>
      <c r="CZ761" s="49"/>
      <c r="DA761" s="49"/>
      <c r="DB761" s="49"/>
      <c r="DC761" s="49"/>
      <c r="DD761" s="49"/>
      <c r="DE761" s="49"/>
      <c r="DF761" s="49"/>
      <c r="DG761" s="49"/>
      <c r="DH761" s="49"/>
      <c r="DI761" s="49"/>
      <c r="DJ761" s="49"/>
      <c r="DK761" s="49"/>
      <c r="DL761" s="49"/>
      <c r="DM761" s="49"/>
      <c r="DN761" s="49"/>
      <c r="DO761" s="49"/>
      <c r="DP761" s="49"/>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c r="IW761"/>
      <c r="IX761"/>
      <c r="IY761"/>
      <c r="IZ761"/>
      <c r="JA761"/>
      <c r="JB761"/>
      <c r="JC761"/>
      <c r="JD761"/>
      <c r="JE761"/>
      <c r="JF761"/>
      <c r="JG761"/>
      <c r="JH761"/>
      <c r="JI761"/>
      <c r="JJ761"/>
      <c r="JK761"/>
      <c r="JL761"/>
      <c r="JM761"/>
      <c r="JN761"/>
      <c r="JO761"/>
      <c r="JP761"/>
      <c r="JQ761"/>
      <c r="JR761"/>
      <c r="JS761"/>
      <c r="JT761"/>
      <c r="JU761"/>
      <c r="JV761"/>
      <c r="JW761"/>
      <c r="JX761"/>
      <c r="JY761"/>
      <c r="JZ761"/>
      <c r="KA761"/>
      <c r="KB761"/>
      <c r="KC761"/>
      <c r="KD761"/>
      <c r="KE761"/>
      <c r="KF761"/>
      <c r="KG761"/>
      <c r="KH761"/>
      <c r="KI761"/>
      <c r="KJ761"/>
      <c r="KK761"/>
      <c r="KL761"/>
      <c r="KM761"/>
      <c r="KN761"/>
      <c r="KO761"/>
      <c r="KP761"/>
      <c r="KQ761"/>
      <c r="KR761"/>
      <c r="KS761"/>
      <c r="KT761"/>
      <c r="KU761"/>
      <c r="KV761"/>
      <c r="KW761"/>
      <c r="KX761"/>
      <c r="KY761"/>
      <c r="KZ761"/>
      <c r="LA761"/>
      <c r="LB761"/>
      <c r="LC761"/>
      <c r="LD761"/>
      <c r="LE761"/>
      <c r="LF761"/>
      <c r="LG761"/>
      <c r="LH761"/>
      <c r="LI761"/>
      <c r="LJ761"/>
      <c r="LK761"/>
      <c r="LL761"/>
      <c r="LM761"/>
      <c r="LN761"/>
      <c r="LO761"/>
      <c r="LP761"/>
      <c r="LQ761"/>
      <c r="LR761"/>
      <c r="LS761"/>
      <c r="LT761"/>
      <c r="LU761"/>
      <c r="LV761"/>
      <c r="LW761"/>
      <c r="LX761"/>
      <c r="LY761"/>
      <c r="LZ761"/>
      <c r="MA761"/>
      <c r="MB761"/>
      <c r="MC761"/>
      <c r="MD761"/>
      <c r="ME761"/>
      <c r="MF761"/>
      <c r="MG761"/>
      <c r="MH761"/>
      <c r="MI761"/>
      <c r="MJ761"/>
      <c r="MK761"/>
      <c r="ML761"/>
      <c r="MM761"/>
      <c r="MN761"/>
      <c r="MO761"/>
      <c r="MP761"/>
      <c r="MQ761"/>
      <c r="MR761"/>
      <c r="MS761"/>
      <c r="MT761"/>
      <c r="MU761"/>
      <c r="MV761"/>
      <c r="MW761"/>
      <c r="MX761"/>
      <c r="MY761"/>
      <c r="MZ761"/>
      <c r="NA761"/>
      <c r="NB761"/>
      <c r="NC761"/>
      <c r="ND761"/>
      <c r="NE761"/>
      <c r="NF761"/>
      <c r="NG761"/>
      <c r="NH761"/>
      <c r="NI761"/>
      <c r="NJ761"/>
      <c r="NK761"/>
      <c r="NL761"/>
      <c r="NM761"/>
      <c r="NN761"/>
      <c r="NO761"/>
      <c r="NP761"/>
      <c r="NQ761"/>
      <c r="NR761"/>
      <c r="NS761"/>
      <c r="NT761"/>
      <c r="NU761"/>
      <c r="NV761"/>
      <c r="NW761"/>
      <c r="NX761"/>
      <c r="NY761"/>
      <c r="NZ761"/>
      <c r="OA761"/>
      <c r="OB761"/>
      <c r="OC761"/>
      <c r="OD761"/>
      <c r="OE761"/>
      <c r="OF761"/>
      <c r="OG761"/>
      <c r="OH761"/>
      <c r="OI761"/>
      <c r="OJ761"/>
      <c r="OK761"/>
      <c r="OL761"/>
      <c r="OM761"/>
      <c r="ON761"/>
      <c r="OO761"/>
      <c r="OP761"/>
      <c r="OQ761"/>
      <c r="OR761"/>
      <c r="OS761"/>
      <c r="OT761"/>
      <c r="OU761"/>
      <c r="OV761"/>
      <c r="OW761"/>
      <c r="OX761"/>
      <c r="OY761"/>
      <c r="OZ761"/>
      <c r="PA761"/>
      <c r="PB761"/>
      <c r="PC761"/>
      <c r="PD761"/>
      <c r="PE761"/>
      <c r="PF761"/>
      <c r="PG761"/>
      <c r="PH761"/>
      <c r="PI761"/>
      <c r="PJ761"/>
      <c r="PK761"/>
      <c r="PL761"/>
      <c r="PM761"/>
      <c r="PN761"/>
      <c r="PO761"/>
      <c r="PP761"/>
      <c r="PQ761"/>
      <c r="PR761"/>
      <c r="PS761"/>
      <c r="PT761"/>
      <c r="PU761"/>
      <c r="PV761"/>
      <c r="PW761"/>
      <c r="PX761"/>
      <c r="PY761"/>
      <c r="PZ761"/>
      <c r="QA761"/>
      <c r="QB761"/>
      <c r="QC761"/>
      <c r="QD761"/>
      <c r="QE761"/>
      <c r="QF761"/>
      <c r="QG761"/>
      <c r="QH761"/>
      <c r="QI761"/>
      <c r="QJ761"/>
      <c r="QK761"/>
      <c r="QL761"/>
      <c r="QM761"/>
      <c r="QN761"/>
      <c r="QO761"/>
      <c r="QP761"/>
      <c r="QQ761"/>
      <c r="QR761"/>
      <c r="QS761"/>
      <c r="QT761"/>
      <c r="QU761"/>
      <c r="QV761"/>
      <c r="QW761"/>
      <c r="QX761"/>
      <c r="QY761"/>
      <c r="QZ761"/>
      <c r="RA761"/>
      <c r="RB761"/>
      <c r="RC761"/>
      <c r="RD761"/>
      <c r="RE761"/>
      <c r="RF761"/>
      <c r="RG761"/>
      <c r="RH761"/>
      <c r="RI761"/>
      <c r="RJ761"/>
      <c r="RK761"/>
      <c r="RL761"/>
      <c r="RM761"/>
      <c r="RN761"/>
      <c r="RO761"/>
      <c r="RP761"/>
      <c r="RQ761"/>
      <c r="RR761"/>
      <c r="RS761"/>
      <c r="RT761"/>
      <c r="RU761"/>
      <c r="RV761"/>
      <c r="RW761"/>
      <c r="RX761"/>
      <c r="RY761"/>
      <c r="RZ761"/>
      <c r="SA761"/>
      <c r="SB761"/>
      <c r="SC761"/>
      <c r="SD761"/>
      <c r="SE761"/>
      <c r="SF761"/>
      <c r="SG761"/>
      <c r="SH761"/>
      <c r="SI761"/>
      <c r="SJ761"/>
      <c r="SK761"/>
      <c r="SL761"/>
      <c r="SM761"/>
      <c r="SN761"/>
      <c r="SO761"/>
      <c r="SP761"/>
      <c r="SQ761"/>
      <c r="SR761"/>
      <c r="SS761"/>
      <c r="ST761"/>
      <c r="SU761"/>
      <c r="SV761"/>
      <c r="SW761"/>
      <c r="SX761"/>
      <c r="SY761"/>
      <c r="SZ761"/>
      <c r="TA761"/>
      <c r="TB761"/>
      <c r="TC761"/>
      <c r="TD761"/>
      <c r="TE761"/>
      <c r="TF761"/>
      <c r="TG761"/>
      <c r="TH761"/>
      <c r="TI761"/>
      <c r="TJ761"/>
      <c r="TK761"/>
      <c r="TL761"/>
      <c r="TM761"/>
      <c r="TN761"/>
      <c r="TO761"/>
      <c r="TP761"/>
      <c r="TQ761"/>
      <c r="TR761"/>
      <c r="TS761"/>
      <c r="TT761"/>
      <c r="TU761"/>
      <c r="TV761"/>
      <c r="TW761"/>
      <c r="TX761"/>
      <c r="TY761"/>
      <c r="TZ761"/>
      <c r="UA761"/>
      <c r="UB761"/>
      <c r="UC761"/>
      <c r="UD761"/>
      <c r="UE761"/>
      <c r="UF761"/>
      <c r="UG761"/>
      <c r="UH761"/>
      <c r="UI761"/>
      <c r="UJ761"/>
      <c r="UK761"/>
      <c r="UL761"/>
      <c r="UM761"/>
      <c r="UN761"/>
      <c r="UO761"/>
      <c r="UP761"/>
      <c r="UQ761"/>
      <c r="UR761"/>
      <c r="US761"/>
      <c r="UT761"/>
      <c r="UU761"/>
      <c r="UV761"/>
      <c r="UW761"/>
      <c r="UX761"/>
      <c r="UY761"/>
      <c r="UZ761"/>
      <c r="VA761"/>
      <c r="VB761"/>
      <c r="VC761"/>
      <c r="VD761"/>
      <c r="VE761"/>
      <c r="VF761"/>
      <c r="VG761"/>
      <c r="VH761"/>
      <c r="VI761"/>
      <c r="VJ761"/>
      <c r="VK761"/>
      <c r="VL761"/>
      <c r="VM761"/>
      <c r="VN761"/>
      <c r="VO761"/>
      <c r="VP761"/>
      <c r="VQ761"/>
      <c r="VR761"/>
      <c r="VS761"/>
      <c r="VT761"/>
      <c r="VU761"/>
      <c r="VV761"/>
      <c r="VW761"/>
      <c r="VX761"/>
      <c r="VY761"/>
      <c r="VZ761"/>
      <c r="WA761"/>
      <c r="WB761"/>
      <c r="WC761"/>
      <c r="WD761"/>
      <c r="WE761"/>
      <c r="WF761"/>
      <c r="WG761"/>
      <c r="WH761"/>
      <c r="WI761"/>
      <c r="WJ761"/>
      <c r="WK761"/>
      <c r="WL761"/>
      <c r="WM761"/>
      <c r="WN761"/>
      <c r="WO761"/>
      <c r="WP761"/>
      <c r="WQ761"/>
      <c r="WR761"/>
      <c r="WS761"/>
      <c r="WT761"/>
      <c r="WU761"/>
      <c r="WV761"/>
      <c r="WW761"/>
      <c r="WX761"/>
      <c r="WY761"/>
      <c r="WZ761"/>
      <c r="XA761"/>
      <c r="XB761"/>
      <c r="XC761"/>
      <c r="XD761"/>
      <c r="XE761"/>
      <c r="XF761"/>
      <c r="XG761"/>
      <c r="XH761"/>
      <c r="XI761"/>
      <c r="XJ761"/>
      <c r="XK761"/>
      <c r="XL761"/>
      <c r="XM761"/>
      <c r="XN761"/>
      <c r="XO761"/>
      <c r="XP761"/>
      <c r="XQ761"/>
      <c r="XR761"/>
      <c r="XS761"/>
      <c r="XT761"/>
      <c r="XU761"/>
      <c r="XV761"/>
      <c r="XW761"/>
      <c r="XX761"/>
      <c r="XY761"/>
      <c r="XZ761"/>
      <c r="YA761"/>
      <c r="YB761"/>
      <c r="YC761"/>
      <c r="YD761"/>
      <c r="YE761"/>
      <c r="YF761"/>
      <c r="YG761"/>
      <c r="YH761"/>
      <c r="YI761"/>
      <c r="YJ761"/>
      <c r="YK761"/>
      <c r="YL761"/>
      <c r="YM761"/>
      <c r="YN761"/>
      <c r="YO761"/>
      <c r="YP761"/>
      <c r="YQ761"/>
      <c r="YR761"/>
      <c r="YS761"/>
      <c r="YT761"/>
      <c r="YU761"/>
      <c r="YV761"/>
      <c r="YW761"/>
      <c r="YX761"/>
      <c r="YY761"/>
      <c r="YZ761"/>
      <c r="ZA761"/>
      <c r="ZB761"/>
      <c r="ZC761"/>
      <c r="ZD761"/>
      <c r="ZE761"/>
      <c r="ZF761"/>
      <c r="ZG761"/>
      <c r="ZH761"/>
      <c r="ZI761"/>
      <c r="ZJ761"/>
      <c r="ZK761"/>
      <c r="ZL761"/>
      <c r="ZM761"/>
      <c r="ZN761"/>
      <c r="ZO761"/>
      <c r="ZP761"/>
      <c r="ZQ761"/>
      <c r="ZR761"/>
      <c r="ZS761"/>
      <c r="ZT761"/>
      <c r="ZU761"/>
      <c r="ZV761"/>
      <c r="ZW761"/>
      <c r="ZX761"/>
      <c r="ZY761"/>
      <c r="ZZ761" s="52"/>
      <c r="AAA761" s="192" t="s">
        <v>0</v>
      </c>
      <c r="AAD761" s="90"/>
      <c r="AAE761" s="519">
        <v>1</v>
      </c>
      <c r="AAF761" s="190" t="s">
        <v>52</v>
      </c>
      <c r="AAG761" s="94"/>
      <c r="AAH761" s="94"/>
      <c r="AAI761" s="72"/>
      <c r="AAJ761" s="185"/>
      <c r="AAK761" s="80" t="str">
        <f>S.Staff.Lead&amp;" takes a vacation"</f>
        <v>AndreaRW takes a vacation</v>
      </c>
      <c r="AAL761" s="90"/>
    </row>
    <row r="762" spans="1:715" s="23" customFormat="1" ht="15" customHeight="1" outlineLevel="1">
      <c r="A762" s="171"/>
      <c r="B762" s="414"/>
      <c r="C762" s="420"/>
      <c r="D762" s="421"/>
      <c r="E762" s="350"/>
      <c r="F762" s="350"/>
      <c r="G762" s="420"/>
      <c r="H762" s="420"/>
      <c r="I762" s="244"/>
      <c r="J762" s="194"/>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49"/>
      <c r="AY762" s="49"/>
      <c r="AZ762" s="49"/>
      <c r="BA762" s="49"/>
      <c r="BB762" s="49"/>
      <c r="BC762" s="49"/>
      <c r="BD762" s="49"/>
      <c r="BE762" s="49"/>
      <c r="BF762" s="49"/>
      <c r="BG762" s="49"/>
      <c r="BH762" s="49"/>
      <c r="BI762" s="49"/>
      <c r="BJ762" s="49"/>
      <c r="BK762" s="49"/>
      <c r="BL762" s="49"/>
      <c r="BM762" s="49"/>
      <c r="BN762" s="49"/>
      <c r="BO762" s="49"/>
      <c r="BP762" s="49"/>
      <c r="BQ762" s="49"/>
      <c r="BR762" s="49"/>
      <c r="BS762" s="49"/>
      <c r="BT762" s="49"/>
      <c r="BU762" s="49"/>
      <c r="BV762" s="49"/>
      <c r="BW762" s="49"/>
      <c r="BX762" s="49"/>
      <c r="BY762" s="49"/>
      <c r="BZ762" s="49"/>
      <c r="CA762" s="49"/>
      <c r="CB762" s="49"/>
      <c r="CC762" s="49"/>
      <c r="CD762" s="49"/>
      <c r="CE762" s="49"/>
      <c r="CF762" s="49"/>
      <c r="CG762" s="49"/>
      <c r="CH762" s="49"/>
      <c r="CI762" s="49"/>
      <c r="CJ762" s="49"/>
      <c r="CK762" s="49"/>
      <c r="CL762" s="49"/>
      <c r="CM762" s="49"/>
      <c r="CN762" s="49"/>
      <c r="CO762" s="49"/>
      <c r="CP762" s="49"/>
      <c r="CQ762" s="49"/>
      <c r="CR762" s="49"/>
      <c r="CS762" s="49"/>
      <c r="CT762" s="49"/>
      <c r="CU762" s="49"/>
      <c r="CV762" s="49"/>
      <c r="CW762" s="49"/>
      <c r="CX762" s="49"/>
      <c r="CY762" s="49"/>
      <c r="CZ762" s="49"/>
      <c r="DA762" s="49"/>
      <c r="DB762" s="49"/>
      <c r="DC762" s="49"/>
      <c r="DD762" s="49"/>
      <c r="DE762" s="49"/>
      <c r="DF762" s="49"/>
      <c r="DG762" s="49"/>
      <c r="DH762" s="49"/>
      <c r="DI762" s="49"/>
      <c r="DJ762" s="49"/>
      <c r="DK762" s="49"/>
      <c r="DL762" s="49"/>
      <c r="DM762" s="49"/>
      <c r="DN762" s="49"/>
      <c r="DO762" s="49"/>
      <c r="DP762" s="49"/>
      <c r="ZZ762" s="52"/>
      <c r="AAA762" s="192"/>
      <c r="AAD762" s="90"/>
      <c r="AAE762" s="519">
        <v>1</v>
      </c>
      <c r="AAF762" s="190"/>
      <c r="AAG762" s="94"/>
      <c r="AAH762" s="94"/>
      <c r="AAI762" s="72"/>
      <c r="AAJ762" s="185"/>
      <c r="AAK762" s="53"/>
      <c r="AAL762" s="90"/>
    </row>
    <row r="763" spans="1:715" ht="15" outlineLevel="1">
      <c r="A763" s="171"/>
      <c r="B763" s="435"/>
      <c r="C763" s="409"/>
      <c r="D763" s="430"/>
      <c r="E763" s="436"/>
      <c r="F763" s="436"/>
      <c r="G763" s="409"/>
      <c r="H763" s="744" t="str">
        <f>"$H"&amp;"$"&amp;ROW(S.General.LastCellSchedule)</f>
        <v>$H$763</v>
      </c>
      <c r="I763" s="244"/>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AAA763" s="192"/>
      <c r="AAD763" s="90"/>
      <c r="AAE763" s="521" t="s">
        <v>0</v>
      </c>
      <c r="AAF763" s="190" t="s">
        <v>52</v>
      </c>
      <c r="AAG763" s="60"/>
      <c r="AAH763" s="60"/>
      <c r="AAI763" s="746" t="s">
        <v>0</v>
      </c>
      <c r="AAJ763" s="58"/>
      <c r="AAK763" s="41"/>
      <c r="AAL763" s="90"/>
      <c r="AAM763"/>
    </row>
    <row r="764" spans="1:715" ht="12.75" customHeight="1">
      <c r="A764" s="171"/>
      <c r="B764" s="214"/>
      <c r="C764" s="225"/>
      <c r="D764" s="242"/>
      <c r="E764" s="226"/>
      <c r="F764" s="226"/>
      <c r="G764" s="225"/>
      <c r="H764" s="225"/>
      <c r="I764" s="246"/>
      <c r="J764" s="214"/>
      <c r="K764" s="214"/>
      <c r="L764" s="214"/>
      <c r="M764" s="214"/>
      <c r="N764" s="214"/>
      <c r="O764" s="214"/>
      <c r="P764" s="214"/>
      <c r="Q764" s="214"/>
      <c r="R764" s="214"/>
      <c r="S764" s="214"/>
      <c r="T764" s="214"/>
      <c r="U764" s="214"/>
      <c r="V764" s="214"/>
      <c r="W764" s="214"/>
      <c r="X764" s="214"/>
      <c r="Y764" s="214"/>
      <c r="Z764" s="214"/>
      <c r="AA764" s="214"/>
      <c r="AB764" s="214"/>
      <c r="AC764" s="214"/>
      <c r="AD764" s="214"/>
      <c r="AE764" s="214"/>
      <c r="AF764" s="214"/>
      <c r="AG764" s="214"/>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c r="BI764" s="214"/>
      <c r="BJ764" s="214"/>
      <c r="BK764" s="214"/>
      <c r="BL764" s="214"/>
      <c r="BM764" s="214"/>
      <c r="BN764" s="214"/>
      <c r="BO764" s="214"/>
      <c r="BP764" s="214"/>
      <c r="BQ764" s="214"/>
      <c r="BR764" s="214"/>
      <c r="BS764" s="214"/>
      <c r="BT764" s="214"/>
      <c r="BU764" s="214"/>
      <c r="BV764" s="214"/>
      <c r="BW764" s="214"/>
      <c r="BX764" s="214"/>
      <c r="BY764" s="214"/>
      <c r="BZ764" s="214"/>
      <c r="CA764" s="214"/>
      <c r="CB764" s="214"/>
      <c r="CC764" s="214"/>
      <c r="CD764" s="214"/>
      <c r="CE764" s="214"/>
      <c r="CF764" s="214"/>
      <c r="CG764" s="214"/>
      <c r="CH764" s="214"/>
      <c r="CI764" s="214"/>
      <c r="CJ764" s="214"/>
      <c r="CK764" s="214"/>
      <c r="CL764" s="214"/>
      <c r="CM764" s="214"/>
      <c r="CN764" s="214"/>
      <c r="CO764" s="214"/>
      <c r="CP764" s="214"/>
      <c r="CQ764" s="214"/>
      <c r="CR764" s="214"/>
      <c r="CS764" s="214"/>
      <c r="CT764" s="214"/>
      <c r="CU764" s="214"/>
      <c r="CV764" s="214"/>
      <c r="CW764" s="214"/>
      <c r="CX764" s="214"/>
      <c r="CY764" s="214"/>
      <c r="CZ764" s="214"/>
      <c r="DA764" s="214"/>
      <c r="DB764" s="214"/>
      <c r="DC764" s="214"/>
      <c r="DD764" s="214"/>
      <c r="DE764" s="214"/>
      <c r="DF764" s="214"/>
      <c r="DG764" s="214"/>
      <c r="DH764" s="214"/>
      <c r="DI764" s="214"/>
      <c r="DJ764" s="214"/>
      <c r="DK764" s="214"/>
      <c r="DL764" s="214"/>
      <c r="DM764" s="214"/>
      <c r="DN764" s="214"/>
      <c r="DO764" s="214"/>
      <c r="DP764" s="214"/>
      <c r="AAA764" s="775"/>
      <c r="AAB764" s="214"/>
      <c r="AAC764" s="214"/>
      <c r="AAD764" s="212"/>
      <c r="AAE764" s="522" t="s">
        <v>63</v>
      </c>
      <c r="AAF764" s="213"/>
      <c r="AAG764" s="212"/>
      <c r="AAH764" s="212"/>
      <c r="AAI764" s="212"/>
      <c r="AAJ764" s="212"/>
      <c r="AAK764" s="212"/>
      <c r="AAL764" s="212"/>
      <c r="AAM764"/>
    </row>
  </sheetData>
  <sheetProtection formatRows="0" insertHyperlinks="0"/>
  <mergeCells count="84">
    <mergeCell ref="B701:H701"/>
    <mergeCell ref="A2:A3"/>
    <mergeCell ref="E4:F4"/>
    <mergeCell ref="B2:B3"/>
    <mergeCell ref="B363:H363"/>
    <mergeCell ref="B327:H327"/>
    <mergeCell ref="G4:H4"/>
    <mergeCell ref="C7:E7"/>
    <mergeCell ref="D298:G298"/>
    <mergeCell ref="C626:H632"/>
    <mergeCell ref="E475:G475"/>
    <mergeCell ref="D411:G411"/>
    <mergeCell ref="E378:F378"/>
    <mergeCell ref="B547:H547"/>
    <mergeCell ref="E373:F373"/>
    <mergeCell ref="E374:F374"/>
    <mergeCell ref="AAS7:AAY7"/>
    <mergeCell ref="B169:G169"/>
    <mergeCell ref="E170:F170"/>
    <mergeCell ref="G170:H170"/>
    <mergeCell ref="E53:F53"/>
    <mergeCell ref="G53:H53"/>
    <mergeCell ref="B43:C43"/>
    <mergeCell ref="D34:E34"/>
    <mergeCell ref="AS3:AT3"/>
    <mergeCell ref="BO3:BP3"/>
    <mergeCell ref="BR3:BS3"/>
    <mergeCell ref="BU3:BV3"/>
    <mergeCell ref="D45:E45"/>
    <mergeCell ref="D10:E10"/>
    <mergeCell ref="D44:E44"/>
    <mergeCell ref="U3:V3"/>
    <mergeCell ref="C2:H3"/>
    <mergeCell ref="CV3:CW3"/>
    <mergeCell ref="AAE1:AAK2"/>
    <mergeCell ref="E376:F376"/>
    <mergeCell ref="AAI3:AAI4"/>
    <mergeCell ref="AP3:AQ3"/>
    <mergeCell ref="R3:S3"/>
    <mergeCell ref="AM3:AN3"/>
    <mergeCell ref="CP3:CQ3"/>
    <mergeCell ref="CS3:CT3"/>
    <mergeCell ref="O3:P3"/>
    <mergeCell ref="E371:F371"/>
    <mergeCell ref="E372:F372"/>
    <mergeCell ref="E52:F52"/>
    <mergeCell ref="B366:E366"/>
    <mergeCell ref="E5:F5"/>
    <mergeCell ref="G5:H5"/>
    <mergeCell ref="E375:F375"/>
    <mergeCell ref="D523:G523"/>
    <mergeCell ref="D491:G491"/>
    <mergeCell ref="E495:G495"/>
    <mergeCell ref="D456:G456"/>
    <mergeCell ref="D457:G457"/>
    <mergeCell ref="D452:G452"/>
    <mergeCell ref="D453:G453"/>
    <mergeCell ref="E377:F377"/>
    <mergeCell ref="E598:G598"/>
    <mergeCell ref="B590:G590"/>
    <mergeCell ref="D463:G463"/>
    <mergeCell ref="D459:G459"/>
    <mergeCell ref="D458:G458"/>
    <mergeCell ref="E696:F696"/>
    <mergeCell ref="E501:G501"/>
    <mergeCell ref="E328:F328"/>
    <mergeCell ref="G328:H328"/>
    <mergeCell ref="C369:G369"/>
    <mergeCell ref="E370:F370"/>
    <mergeCell ref="E614:F614"/>
    <mergeCell ref="G614:H614"/>
    <mergeCell ref="D454:G454"/>
    <mergeCell ref="D455:G455"/>
    <mergeCell ref="G696:H696"/>
    <mergeCell ref="E548:F548"/>
    <mergeCell ref="G548:H548"/>
    <mergeCell ref="E364:F364"/>
    <mergeCell ref="G364:H364"/>
    <mergeCell ref="B695:H695"/>
    <mergeCell ref="D229:G229"/>
    <mergeCell ref="D252:G252"/>
    <mergeCell ref="D275:G275"/>
    <mergeCell ref="D321:G321"/>
    <mergeCell ref="E345:G345"/>
  </mergeCells>
  <conditionalFormatting sqref="C747:C748">
    <cfRule type="expression" dxfId="22" priority="13" stopIfTrue="1">
      <formula>IF($AAE746="T",TRUE)</formula>
    </cfRule>
    <cfRule type="expression" dxfId="21" priority="14" stopIfTrue="1">
      <formula>IF($AAE746="B",TRUE)</formula>
    </cfRule>
    <cfRule type="expression" dxfId="20" priority="15" stopIfTrue="1">
      <formula>IF($AAE746="Y",TRUE)</formula>
    </cfRule>
  </conditionalFormatting>
  <conditionalFormatting sqref="J204:DP204 J185:DP185">
    <cfRule type="expression" dxfId="19" priority="4926" stopIfTrue="1">
      <formula>IF($AAF$4="X",TRUE)</formula>
    </cfRule>
  </conditionalFormatting>
  <conditionalFormatting sqref="G16:G20 G671 G715 G720 G722:G726 G729:G732 G734:G740 G742:G753 G756:G763 G98 G100:G105 G673:G702 G391:G669 G22:G95 G108:G153 G156:G381">
    <cfRule type="expression" dxfId="18" priority="4906" stopIfTrue="1">
      <formula>IF(WORKDAY($G16-1,1,S.DDL_DEQClosed)&lt;&gt;$G16,TRUE)</formula>
    </cfRule>
  </conditionalFormatting>
  <conditionalFormatting sqref="H671 H673:H763 H391:H669 H16:H20 H108:H154 H156:H385 H25:H105">
    <cfRule type="expression" dxfId="17" priority="4905" stopIfTrue="1">
      <formula>IF(WORKDAY($G$16-1,1,S.DDL_DEQClosed)&lt;&gt;$G$16,TRUE)</formula>
    </cfRule>
  </conditionalFormatting>
  <conditionalFormatting sqref="B44:C45 C713:C743 D671:H671 B65:H65 G715 E715 G720 E720 G722:G726 E722:E726 G729:G732 E729:E732 G702 E702 E734:E740 G734:G740 D702:D726 B758:B762 B763:H763 C745:C756 D728:D756 E756 E742:E753 F702:F756 H702:H756 G742:G753 G756 C757:H762 C32:E42 C177:C179 C468:C472 C474:C485 B635:H635 B32:B56 D46:E57 C46:C56 C59:C98 B174:H174 B332:H332 B368:H368 B552:H552 B618:H618 B700:H701 E98 G98 E58:E95 F58:F105 D58:D105 E100:E105 H58:H105 G100:G105 G58:G95 D673:H701 D378:D385 B187:H192 D391:H669 B388:B756 C100:C175 E108:E153 D108:D154 F108:F154 H108:H154 B41:H41 G108:G153 H156:H385 B58:B386 F156:F385 D156:D369 E156:E381 G156:G381 C181:C466 C487:C711 F16:H57 B16:C31 D17 D20 D22:D24 D26:D31 E16:E31">
    <cfRule type="expression" dxfId="16" priority="16" stopIfTrue="1">
      <formula>IF($AAE16=0,TRUE)</formula>
    </cfRule>
  </conditionalFormatting>
  <conditionalFormatting sqref="B23">
    <cfRule type="expression" dxfId="15" priority="4904" stopIfTrue="1">
      <formula>IF(ISERROR($H$23)=TRUE,TRUE,)</formula>
    </cfRule>
  </conditionalFormatting>
  <conditionalFormatting sqref="B25:B26">
    <cfRule type="expression" dxfId="14" priority="46">
      <formula>IF(AND(S.General.RuleType="P",S.Notice.HearingInvolved="Y",S.Notice.Involved="N"),TRUE,FALSE)</formula>
    </cfRule>
  </conditionalFormatting>
  <conditionalFormatting sqref="B22">
    <cfRule type="expression" dxfId="13" priority="30">
      <formula>IF(ISERROR($H$22)=TRUE,TRUE,)</formula>
    </cfRule>
  </conditionalFormatting>
  <conditionalFormatting sqref="B21">
    <cfRule type="expression" dxfId="12" priority="12">
      <formula>IF(AND(S.SIP.Involved="Y",OR(S.Notice.Involved="N",S.Hearing.1stInvolve="N")),TRUE,)</formula>
    </cfRule>
  </conditionalFormatting>
  <conditionalFormatting sqref="J16:DP763">
    <cfRule type="expression" dxfId="11" priority="4927" stopIfTrue="1">
      <formula>IF(OR(WEEKDAY(J$7)=1,WEEKDAY(J$7)=7),TRUE)</formula>
    </cfRule>
    <cfRule type="expression" dxfId="10" priority="4928" stopIfTrue="1">
      <formula>IF(ISERROR(VLOOKUP(J$7,S.DDL_DEQClosed,1,FALSE)),0,1)</formula>
    </cfRule>
    <cfRule type="expression" dxfId="9" priority="4929" stopIfTrue="1">
      <formula>AND(#REF!&lt;&gt;"X",$G16&lt;K$7,$H16&gt;=J$7)</formula>
    </cfRule>
  </conditionalFormatting>
  <conditionalFormatting sqref="B757">
    <cfRule type="expression" dxfId="8" priority="4937" stopIfTrue="1">
      <formula>IF($AAE759=0,TRUE)</formula>
    </cfRule>
  </conditionalFormatting>
  <conditionalFormatting sqref="C99">
    <cfRule type="expression" dxfId="7" priority="10" stopIfTrue="1">
      <formula>IF($AAE99=0,TRUE)</formula>
    </cfRule>
  </conditionalFormatting>
  <conditionalFormatting sqref="C180">
    <cfRule type="expression" dxfId="6" priority="9" stopIfTrue="1">
      <formula>IF($AAE180=0,TRUE)</formula>
    </cfRule>
  </conditionalFormatting>
  <conditionalFormatting sqref="C57">
    <cfRule type="expression" dxfId="5" priority="4954" stopIfTrue="1">
      <formula>IF($AAE58=0,TRUE)</formula>
    </cfRule>
  </conditionalFormatting>
  <conditionalFormatting sqref="C332">
    <cfRule type="expression" dxfId="4" priority="7" stopIfTrue="1">
      <formula>IF($AAE333=0,TRUE)</formula>
    </cfRule>
  </conditionalFormatting>
  <conditionalFormatting sqref="C552">
    <cfRule type="expression" dxfId="3" priority="5" stopIfTrue="1">
      <formula>IF($AAE553=0,TRUE)</formula>
    </cfRule>
  </conditionalFormatting>
  <conditionalFormatting sqref="C618">
    <cfRule type="expression" dxfId="2" priority="4" stopIfTrue="1">
      <formula>IF($AAE619=0,TRUE)</formula>
    </cfRule>
  </conditionalFormatting>
  <conditionalFormatting sqref="C700 C174 C368">
    <cfRule type="expression" dxfId="1" priority="4980" stopIfTrue="1">
      <formula>IF(#REF!=0,TRUE)</formula>
    </cfRule>
  </conditionalFormatting>
  <conditionalFormatting sqref="C57">
    <cfRule type="expression" dxfId="0" priority="2" stopIfTrue="1">
      <formula>IF($AAE57=0,TRUE)</formula>
    </cfRule>
  </conditionalFormatting>
  <dataValidations xWindow="986" yWindow="604" count="24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6">
      <formula1>H351</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716:H719 H334">
      <formula1>G334</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379">
      <formula1>G379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351 H353">
      <formula1>G351</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340:H344">
      <formula1>G340</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85 H204">
      <formula1>G185</formula1>
      <formula2>S.AC.BANNER.End</formula2>
    </dataValidation>
    <dataValidation type="date" allowBlank="1" showErrorMessage="1" errorTitle="INVALID DATE" error="If you need a differenct date, change the Submit notice to SOS under Key dates." sqref="H543 H533 H539:H541 H524:H528">
      <formula1>G524</formula1>
      <formula2>G524</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592 H604:H608 H567:H568 H597 H599 H587:H589">
      <formula1>G567</formula1>
      <formula2>S.Hearing.BANNER.End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336:H339">
      <formula1>G336</formula1>
      <formula2>S.Fee.BANNER.End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354">
      <formula1>H352</formula1>
      <formula2>S.Fee.BANNER.End</formula2>
    </dataValidation>
    <dataValidation type="date" allowBlank="1" showInputMessage="1" showErrorMessage="1" errorTitle="DATE RANGE ERROR" error="The date entered must be between the START and END date on the Planning section heade." sqref="G59">
      <formula1>G29</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6">
      <formula1>G16</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352">
      <formula1>AAE352</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118:H121 H111 H159 H749 H161:H163 H148:H151 H756 H93 H87:H91 H166 H113:H116 H123 H132 H154">
      <formula1>G87</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4 H356">
      <formula1>G354</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5">
      <formula1>G355</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7">
      <formula1>G357</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634 H638:H643 H645 H619:H625">
      <formula1>G619</formula1>
      <formula2>S.EQC.SubmitStaffRpt</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658">
      <formula1>H647</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658 H662 H666 H428 H432 H436">
      <formula1>G428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690">
      <formula1>G689</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690">
      <formula1>G690</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689">
      <formula1>G689</formula1>
      <formula2>S.EQC.BANNER.End</formula2>
    </dataValidation>
    <dataValidation type="date" allowBlank="1" showInputMessage="1" showErrorMessage="1" errorTitle="OUT OF RANGE" error="Enter a date between the latest of the 3 End Task dates in column H directly above and the End Task dates on the Planning banner" promptTitle="ENTER START DATE" prompt="DEFAULT  The latest of the 3 End Task dates in column H directly above for completion of the initial drafts_x000a__x000a_OVERWRITE   Yes, to a date between the default and the End Task date on the Planning banner" sqref="G91">
      <formula1>MAX(H87:H89)</formula1>
      <formula2>S.Planning.BANNER.End</formula2>
    </dataValidation>
    <dataValidation type="date" allowBlank="1" showInputMessage="1" showErrorMessage="1" errorTitle="OUT OF RANGE" error="Enter a date between the date in the active cell above and End Task dates on the Planning banner" promptTitle="ENTER START DATE" prompt="DEFAULT  The date entered into the active cell above_x000a__x000a_OVERWRITE   Yes, to a date between the default and the End Task date on the Planning banner" sqref="G93">
      <formula1>G91</formula1>
      <formula2>S.Planning.BANNER.End</formula2>
    </dataValidation>
    <dataValidation type="date" allowBlank="1" showInputMessage="1" showErrorMessage="1" errorTitle="DATE RANGE ERROR" error="Enter a date between the date in the active cell above and the End Task date on the Planning banner" promptTitle="END DATE" prompt="DEFAULT           5 workdays after date in active cell above_x000a__x000a_OVERWRITE      Yes, to  a date between the date in the active cell above and the End Task date on the Planning banner." sqref="H70">
      <formula1>H68</formula1>
      <formula2>S.Planning.BANNER.End</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90">
      <formula1>MAX(H88:H89)</formula1>
      <formula2>S.Planning.BANNER.End</formula2>
    </dataValidation>
    <dataValidation type="date" allowBlank="1" showInputMessage="1" showErrorMessage="1" errorTitle="OUTSIDE VALID DATE RANGE" error="Enter a date between the dateto the left and the End Task date on the Advisory Committee banner_x000a_" promptTitle="TASK END" prompt="DEFAULT              The date to the left_x000a__x000a_OVERWRITE          Yes, to a date that is between the date to the left and the End Task date on the Advisory committee banner._x000a__x000a_" sqref="H176:H184">
      <formula1>G176</formula1>
      <formula2>S.AC.BANNER.End</formula2>
    </dataValidation>
    <dataValidation type="date" allowBlank="1" showInputMessage="1" showErrorMessage="1" errorTitle="OUTSIDE VALID DATE RANGE" error="_x000a_The date is not between the Start Task and End Task dates on the Advisory Committee banner." promptTitle="ENTER START TASK DATE" prompt="DEFAULT           The Start Task date on the Advisory committee banner._x000a__x000a_OVERWRITE       Yes, to a date between the Start Task and End Task dates on the advisory committee banner.   _x000a_" sqref="G177">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78">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79">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3">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4">
      <formula1>G176</formula1>
      <formula2>S.AC.BANNER.End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202:H203 H197:H198 H200">
      <formula1>G197</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205 H306:H307 H282:H284 H237:H238 H260:H261 H215">
      <formula1>G205</formula1>
      <formula2>S.AC.BANNER.End</formula2>
    </dataValidation>
    <dataValidation type="date" allowBlank="1" showInputMessage="1" showErrorMessage="1" errorTitle="OUTSIDE VALID DATE RANGE" error="Enter a date between the date to the left and the End Task date on the Advisory Committee banner." promptTitle="ENTER END TASK DATE" prompt="DEFAULT              The date to the left_x000a__x000a_OVERWRITE          Yes, to a date that is between the date to the left and the END date on the Advisory committee banner._x000a__x000a_" sqref="H207">
      <formula1>G207</formula1>
      <formula2>S.AC.BANNER.End</formula2>
    </dataValidation>
    <dataValidation type="date" allowBlank="1" showInputMessage="1" showErrorMessage="1" errorTitle="OUTSIDE VALID DATE RANGE" error="Enter a date between the date the team finalized the roster and the End Task date on the Advisory Committee banner." promptTitle="TASK START" prompt="DEFAULT   The date the team finalized the committee roster_x000a__x000a_OVERWRITE       Yes, to a date between the default and the End Task date on the Advisory Committee banner.   _x000a_" sqref="G207">
      <formula1>H203</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End Task dateon the Advisory Committee banner_x000a__x000a_OVERWRITE          Yes, to a date that is between the date to the left and the End Task date on the Advisory committee banner._x000a__x000a_" sqref="H206 H208">
      <formula1>G206</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210 H222 H216:H219 H212:H214 H224:H228 H230:H231 H233 H281 H239:H242 H291 H304:H305 H256 H247:H251 H262:H265 H235:H236 H253:H254 H276:H277 H279 H245 H268 H285:H288 H258:H259 H270:H274 H302 H293:H297 H299:H300 H308:H311 H314 H316:H320 H322:H324">
      <formula1>G210</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561">
      <formula1>G561</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561">
      <formula1>MAX(H556:H560)</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556:H560">
      <formula1>G556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727">
      <formula1>G721</formula1>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efault_x000a_ and End Task date on 5-Public Comment and Testimony banner. " sqref="H594:H596">
      <formula1>G594</formula1>
      <formula2>S.Hearing.BANNER.End</formula2>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647:H649 H437:H439 H659:H661 H663:H665 H667:H669 H674:H675 H651:H657 H429:H431 H433:H435 H671">
      <formula1>G429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3">
      <formula1>H202</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0">
      <formula1>H197</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9:G141">
      <formula1>G138</formula1>
      <formula2>S.Notice.BANNER.End</formula2>
    </dataValidation>
    <dataValidation type="date" allowBlank="1" showInputMessage="1" showErrorMessage="1" errorTitle="OUTSIDE VALID DATE RANGE" error="Enter a date between the date to the left and the start preview period below" promptTitle="TASK END" prompt="DEFUALT         The start preview period date_x000a__x000a_OVERWRITE      Yes, to a date between the date to the left and the default._x000a__x000a__x000a_" sqref="H445:H448">
      <formula1>G445</formula1>
      <formula2>S.Notice.PreviewBegin</formula2>
    </dataValidation>
    <dataValidation type="date" allowBlank="1" showInputMessage="1" showErrorMessage="1" errorTitle="OUTSIDE VALSI DATE RANGE" error="Enter a date between the date to the left and the notice submittal date to Secretary of State.." promptTitle="TASK END" prompt="DEFUALT           The open public comment date entered under Overview of Key Dates_x000a__x000a_OVERWRITE      Yes, to a date between the date to the left and the End Task date on the 4-Public Notice banner._x000a__x000a_" sqref="H131 H135 H137:H141 H143:H145">
      <formula1>G131</formula1>
      <formula2>S.Notice.BANNER.End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467 H444 H442 H414:H425">
      <formula1>G414</formula1>
      <formula2>S.Notice.PreviewBegin</formula2>
    </dataValidation>
    <dataValidation type="date" allowBlank="1" showErrorMessage="1" errorTitle="INVALID DATE" error="If you need a differenct date, change the Submit notice to SOS under Key dates." sqref="H523">
      <formula1>F523</formula1>
      <formula2>F523</formula2>
    </dataValidation>
    <dataValidation type="date" allowBlank="1" showInputMessage="1" showErrorMessage="1" errorTitle="OUTSIDE VALID DATE RANGE" error="Enter a date between the date to the left and the later of the Open Comment or Submit notice to SOS dates_x000a_" promptTitle="TASK END" prompt="DEFUALT         2 workdays before the later of the Open Comment or Submit notice to SOS dates_x000a__x000a_OVERWRITE      Yes, to a date between the date to the left and the later of the Open Comment or Submit notice to SOS dates_x000a__x000a__x000a_" sqref="H449:H450">
      <formula1>G449</formula1>
      <formula2>WORKDAY(MAX(S.Notice.OpenComment,S.Notice.SubmitToSOS),-2,S.DDL_DEQClosed)</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470:H473">
      <formula1>G470</formula1>
      <formula2>S.Notice.OpenComment</formula2>
    </dataValidation>
    <dataValidation type="date" allowBlank="1" showInputMessage="1" showErrorMessage="1" errorTitle="OUTSIDE VALID DATE RANGE" error="Enter a date between date to the left and notice submittal to SOS date" promptTitle="END TASK" prompt="DEFAULT  Notice submittal to SOS_x000a__x000a_OVERWRITE  Yes to a date between the date to left and default" sqref="H676">
      <formula1>G676</formula1>
      <formula2>S.Notice.SubmitToSOS</formula2>
    </dataValidation>
    <dataValidation type="date" allowBlank="1" showInputMessage="1" showErrorMessage="1" errorTitle="OUTSIDE VALID DATE RANGE" error="Enter a date between the date to the left and the End Task date on the Notice banner" promptTitle="TASK END" prompt="DEFAULT  End Task date on Notice banner_x000a__x000a_OVEWRITE   Yes, to a date between the date to the left and End Task dates on the Notice banner" sqref="H544">
      <formula1>G544</formula1>
      <formula2>S.Notice.BANNER.End</formula2>
    </dataValidation>
    <dataValidation type="date" allowBlank="1" showInputMessage="1" showErrorMessage="1" errorTitle="OUTSIDE VALID DATE RANGE" error="Enter a date between the date to the left and the start preview date below" promptTitle="TASK END" prompt="DEFUALT         2 workdays before the start preview period date_x000a__x000a_OVERWRITE      Yes, to a date between the date to the left and start preview date_x000a__x000a__x000a_" sqref="H395:H408 H392:H393">
      <formula1>G392</formula1>
      <formula2>S.Notice.PreviewBegin</formula2>
    </dataValidation>
    <dataValidation type="date" allowBlank="1" showInputMessage="1" showErrorMessage="1" errorTitle="LOCKED" error="Change DA briefiing date below" promptTitle="TASK END" prompt="DEFUALT         2 workdays before the start preview period date_x000a__x000a_OVERWRITE     Yes, to a date between the date to the left and the start preview period._x000a__x000a__x000a_" sqref="H443">
      <formula1>G443</formula1>
      <formula2>S.Notice.PreviewBegin</formula2>
    </dataValidation>
    <dataValidation type="date" allowBlank="1" showInputMessage="1" showErrorMessage="1" errorTitle="OUTSIDE VALID DATE RANGE" error="Enter a date between the date to the left and the start preview date below" promptTitle="TASK END" prompt="DEFUALT         2 workdays before the start preview period date_x000a__x000a_OVERWRITE    Yes, to a date between the date to the left and start preview date_x000a__x000a__x000a_" sqref="H391">
      <formula1>G391</formula1>
      <formula2>S.Notice.DABriefing</formula2>
    </dataValidation>
    <dataValidation type="date" allowBlank="1" showInputMessage="1" showErrorMessage="1" errorTitle="OUTSIDE VALID DATE RANGE" error="Enter a date between the date to the left and 1 workday before the DA briefing meeting" promptTitle="TASK END" prompt="DEFAULT       1 workdays before the DA briefing meeting_x000a__x000a_OVERWRITE    Yes, to a date between the date to the left and the default_x000a__x000a__x000a_" sqref="H413">
      <formula1>G413</formula1>
      <formula2>WORKDAY(S.Notice.DABriefing,-1,S.DDL_DEQClosed)</formula2>
    </dataValidation>
    <dataValidation type="date" operator="lessThanOrEqual" allowBlank="1" showInputMessage="1" showErrorMessage="1" errorTitle="OUTSIDE VALID DATE RANGE" error="Enter a date earlier than 5 workdays before the earliest date between submitting notice to SOS or Open comment period_x000a__x000a_" promptTitle="END TASK" prompt="DEFAULT  5 work days before the earlier date between submitting notice to SOS or Open comment period_x000a__x000a_OVERWRITE  Yes, to an earlier date_x000a_" sqref="H598 H345">
      <formula1>G345</formula1>
    </dataValidation>
    <dataValidation type="date" allowBlank="1" showInputMessage="1" showErrorMessage="1" errorTitle="OUTSIDE VALID DATE RANGE" error="Enter a date between the date the manager 'chats' with rules coordinators and the End Task date on the Planning banner" promptTitle="ENTER END DATE" prompt="DEFAULT  The date the manager 'chats' with rules coordinators_x000a__x000a_OVERWRITE   Yes, to a date between the default and the End Task date on the Planning banner" sqref="H67:H68">
      <formula1>H63</formula1>
      <formula2>S.Planning.BANNER.End</formula2>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133:H134 H193:H196 H186:H187">
      <formula1>G133</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1">
      <formula1>G134</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8">
      <formula1>G135</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43:G145">
      <formula1>G141</formula1>
      <formula2>S.Notice.BANNER.End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493">
      <formula1>H489</formula1>
      <formula2>S.Notice.EMAIL.RulePublication</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428">
      <formula1>H419</formula1>
      <formula2>S.EQC.SubmitStaffRpt</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460:H466 H451">
      <formula1>G451</formula1>
      <formula2>S.Hearing.1stDate</formula2>
    </dataValidation>
    <dataValidation type="date" operator="greaterThanOrEqual" allowBlank="1" showInputMessage="1" showErrorMessage="1" errorTitle="OUTSIDE VALID DATE RANGE" error="Enter a date that is later than the End Task dates above and no later than the Open public comment entered under Overview of Key Dates banner" promptTitle="TASK START" prompt="DEFUALT           The lastest date in the End Task dates above_x000a__x000a_OVERWRITE      Yes, to a date between the default and Open public comment entered under Overview of Key Dates banner_x000a__x000a__x000a_" sqref="G445">
      <formula1>MAX(AAH391:AAH473)</formula1>
    </dataValidation>
    <dataValidation type="date" allowBlank="1" showInputMessage="1" showErrorMessage="1" errorTitle="OUTSIDE VALID DATE RANGE" error="Enter a date between the Start Task date on the Public Notice banner and the last hearing date." promptTitle="TASK END" prompt="DEFUALT          The LAST hearing date_x000a__x000a_OVERWRITE      Yes, to a date between the Start Task date on the Public Notice banner and the last hearing date._x000a__x000a__x000a_" sqref="H382:H385">
      <formula1>G366</formula1>
      <formula2>S.Notice.LastHearingDate</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61:H65">
      <formula1>G61</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96:H97">
      <formula1>H$95</formula1>
      <formula2>S.Planning.BANNER.End</formula2>
    </dataValidation>
    <dataValidation type="date" allowBlank="1" showInputMessage="1" showErrorMessage="1" errorTitle="OUT OF RANGE" error="Enter a date between the date to the left and the End Task dates on the Planning banner" promptTitle="ENTER DATE DA SENDS EMAIL" prompt="DEFAULT  The date to the left_x000a__x000a_OVERWRITE   Yes, to a date between the date to the left and the End Task date on the Planning banner" sqref="H102">
      <formula1>G102</formula1>
      <formula2>S.Planning.BANNER.End</formula2>
    </dataValidation>
    <dataValidation type="date" allowBlank="1" showInputMessage="1" showErrorMessage="1" errorTitle="OUT OF RANGE" error="Enter a date between the date in the active cell above and End Task dates on the Planning banner" promptTitle="ENTER START REVIEW DATE" prompt="DEFAULT  The date entered into the active cell above_x000a__x000a_OVERWRITE   Yes, to a date between the default and the End Task date on the Planning banner" sqref="G95">
      <formula1>G93</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END REVIEW DATE" prompt="DEFAULT  5 workdays after DA started reviewing the workbooks_x000a__x000a_OVERWRITE   Yes, to a date between the default and the End Task date on the Planning banner" sqref="H95">
      <formula1>H$95</formula1>
      <formula2>S.Planning.BANNER.End</formula2>
    </dataValidation>
    <dataValidation type="date" allowBlank="1" showInputMessage="1" showErrorMessage="1" errorTitle="OUT OF RANGE" error="Enter a date between the date to the left and the End Task dates on the Planning banner" promptTitle="ENTER ACTION DATE" prompt="DEFAULT  The date to the left_x000a__x000a_OVERWRITE   Yes, to a date between the date to the left and the End Task date on the Planning banner" sqref="H99">
      <formula1>G99</formula1>
      <formula2>S.Planning.BANNER.End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741 H727:H728 H733">
      <formula1>S.PostEQC.FileRuleWithSOS</formula1>
    </dataValidation>
    <dataValidation allowBlank="1" showInputMessage="1" showErrorMessage="1" promptTitle="TEAM DISCRETION" prompt="The team may place an &quot;X&quot; in this location to indicate the task has been completed." sqref="D744 D148:D151 D161:D163 D113:D121 D159 D165:D166 D178 D181:D184 D334 D336:D345 D348 D351:D358 D360 D276:D279 D238:D242 D230:D233 D299:D302 D202:D203 D205:D208 D210 D215:D219 D253:D256 D284:D288 D261:D265 D322:D324 D307:D311 D244:D251 D221:D228 D267:D274 D313:D320 D200 D290:D297 D193:D198 D130:D145 D60:D70 D123 D58 D125:D127 D87:D91 D102 D93:D99 D111 D154 D432 D428 D436 D395:D399 D392 D538:D544 D475 D481 D483:D489 D464:D467 D493 D495 D444:D451 D460:D462 D470:D473 D478 D498 D501 D512:D515 D520:D522 D524:D536 D379 D382:D385 D553 D555:D556 D558:D568 D604:D610 D591:D592 D587:D589 D594:D599 D684:D690 D692 D760 D728 D713:D714 D716:D719 D721 D710:D711 D746:D749 D753:D756 D676 D645 D638:D643 D662 D658 D666"/>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756 G159 G132 G148:G151 G161:G163">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760 G753">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753:H755 H760">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749">
      <formula1>S.PostEQC.FileRuleWithSOS</formula1>
      <formula2>S.PostEQC.BANNER.End</formula2>
    </dataValidation>
    <dataValidation type="list" allowBlank="1" showInputMessage="1" showErrorMessage="1" sqref="C747 C342:C344 C355:C357 C278 C289 C232 C243 C220 C209 C266 C255 C301 C312 C195:C196 C49 C25 C21 C18:C19 C16 C111 C34 C125:C128 C139:C141 C38:C40 C432 C428 C436 C450 C493 C446:C448 C370:C377 C563:C565 C606:C608 C710 C662 C658 C666 C671">
      <formula1>"Y,N"</formula1>
    </dataValidation>
    <dataValidation type="date" allowBlank="1" showInputMessage="1" showErrorMessage="1" errorTitle="LOCKED" error="Modify under Overview of Key Dates - cell H28" promptTitle="LOCKED" prompt="This is a key date. Modify under Overview of Key Dates - cell H28." sqref="H744 H165 H610 H692 H747">
      <formula1>S.Notice.SubmitToEPA</formula1>
      <formula2>S.Notice.SubmitToEPA</formula2>
    </dataValidation>
    <dataValidation type="date" allowBlank="1" showInputMessage="1" showErrorMessage="1" errorTitle="LOCKED" error="Modify under Overview of Key Dates - cell G19" promptTitle="LOCKED" prompt="This is a key date. Modify under Overview of Key Dates in cell G19." sqref="G747 G165 G610">
      <formula1>S.SIP.Start</formula1>
      <formula2>S.SIP.Start</formula2>
    </dataValidation>
    <dataValidation type="date" allowBlank="1" showInputMessage="1" showErrorMessage="1" errorTitle="LOCKED" error="Modify under Overview of Key Dates - cell G19" promptTitle="LOCKED" prompt="This is a key date. Modify under Overview of Key Dates in cell G19." sqref="G746">
      <formula1>S.PostEQC.FileRuleWithSOS</formula1>
      <formula2>S.PostEQC.FileRuleWithSOS+45</formula2>
    </dataValidation>
    <dataValidation type="date" allowBlank="1" showInputMessage="1" showErrorMessage="1" errorTitle="LOCKED" error="Modify under Overview of Key Dates - cell G19" promptTitle="ENTER DATE" prompt="DEFAULT  15 days after filing with SOS_x000a__x000a_OVERWRITE  Yes, to a date between filihg with SOS and 45 days after filing with SOS" sqref="H746">
      <formula1>S.PostEQC.FileRuleWithSOS</formula1>
      <formula2>S.PostEQC.FileRuleWithSOS+45</formula2>
    </dataValidation>
    <dataValidation type="date" operator="greaterThan" allowBlank="1" showInputMessage="1" showErrorMessage="1" errorTitle="LOCKED" error="Modify under Overview of Key Dates - cell G19" promptTitle="LOCKED" prompt="This is a key date. Modify under Overview of Key Dates in cell G19." sqref="G744">
      <formula1>S.PostEQC.FileRuleWithSOS</formula1>
    </dataValidation>
    <dataValidation allowBlank="1" showInputMessage="1" showErrorMessage="1" errorTitle="LOCKED" error="Modify under Overview of Key Dates." promptTitle="LOCKED" prompt="The EQC meeting date. Modify under Overview of Key Dates." sqref="G748"/>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748">
      <formula1>S.EQC.Meeting</formula1>
      <formula2>WORKDAY(S.EQC.Meeting+58,1,S.DDL_DEQClosed)</formula2>
    </dataValidation>
    <dataValidation allowBlank="1" showErrorMessage="1" sqref="AAK710:AAK714 AAK707:AAK708 B710:B714"/>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733"/>
    <dataValidation allowBlank="1" showErrorMessage="1" promptTitle="RULE - SHOW INSERTIONS/DELETIONS" sqref="B722"/>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736"/>
    <dataValidation allowBlank="1" showInputMessage="1" showErrorMessage="1" promptTitle="ADDRESS" prompt="SHUTTLE LABLELS stored with Agency rules coordinator_x000a__x000a_Legislative Counsel_x000a_900 Court St NE S101_x000a_Salem, OR 97301_x000a_142000 " sqref="B728"/>
    <dataValidation type="date" allowBlank="1" showInputMessage="1" showErrorMessage="1" sqref="H703:H709">
      <formula1>S.EQC.Meeting</formula1>
      <formula2>S.PostEQC.BANNER.End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721">
      <formula1>S.EQC.Meeting</formula1>
    </dataValidation>
    <dataValidation operator="greaterThanOrEqual" allowBlank="1" showInputMessage="1" showErrorMessage="1" sqref="AAG701 AAG460:AAG462 AAG442 AAG444:AAG451 AAG464:AAG467 AAG470:AAG473 AAG484:AAG486 AAG488:AAG489 AAG428:AAG439 AAG412:AAG425 AAG379 AAG391:AAG393 AAG395:AAG408 AAG670:AAH670 AAG672:AAH673"/>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698">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698">
      <formula1>S.EQC.Meeting</formula1>
      <formula2>S.PostEQC.BANNER.End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696:E697 E170:E171 E364:E365 E328:E329 E5 E53:E54 E548:E549 E614:E615"/>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696:G697 G170:G171 G364:G365 G328:G329 G5:G6 G53:G54 G548:G549 G614:G61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697 H171 H365 H329 H6 H54 H549 H615"/>
    <dataValidation allowBlank="1" sqref="AAG689"/>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690 AAG556:AAG560">
      <formula1>S.Notice.BANNER.Begin</formula1>
      <formula2>S.Notice.CloseComment</formula2>
    </dataValidation>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689">
      <formula1>G689</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684:G6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684:H688">
      <formula1>S.EQC.BANNER.Begin</formula1>
      <formula2>S.EQC.BANNER.End</formula2>
    </dataValidation>
    <dataValidation type="date" allowBlank="1" showInputMessage="1" showErrorMessage="1" errorTitle="LOCKED" error="Modify under Overview of Key Dates - cell G19" promptTitle="LOCKED" prompt="This is a key date. Modify under Overview of Key Dates in cell G19." sqref="G692">
      <formula1>S.EQC.Meeting</formula1>
      <formula2>S.Overview.BANNER.End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674:G675 G437:G439 G433:G435 G429:G431 G619:G625 G647:G649 G634 G638:G643 G659:G661 G651:G657 G645 G667:G669 G663:G665">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673 B138:B141 B436 B432 B428 B444:B448 B605:B608 B658 B666 B662"/>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671">
      <formula1>S.EQC.BANNER.Begin</formula1>
      <formula2>S.EQC.BANNER.End</formula2>
    </dataValidation>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662 G436 G432 G666">
      <formula1>#REF!</formula1>
      <formula2>S.EQC.SubmitStaffRpt</formula2>
    </dataValidation>
    <dataValidation allowBlank="1" showErrorMessage="1" promptTitle="TEAM DISCRETION" prompt="The team may place an &quot;X&quot; in this location to indicate the task has been completed." sqref="C634 C154 AAL180 D233 D210 D256 D302 D279 C132 C102 C395"/>
    <dataValidation type="date" allowBlank="1" showInputMessage="1" showErrorMessage="1" promptTitle="LOCKED" prompt="DEFAULT   EQC Meeting date selected in cell G10" sqref="H616">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616"/>
    <dataValidation allowBlank="1" showInputMessage="1" showErrorMessage="1" errorTitle="LOCKED" error="Change under Overview of Key Dates" promptTitle="LOCKED" prompt="Change under Overview of Key Dates" sqref="H590"/>
    <dataValidation type="date" allowBlank="1" showInputMessage="1" showErrorMessage="1" errorTitle="OUTSIDE VALID DATE RANGE" error="Enter a date between the close of public comment and the sumittal of date the team posted notice to the Rules Registry and staff report submittal date " promptTitle="ENTER DATE" prompt="DEFAULT  The comment close date_x000a__x000a_OVERWRITE   Yes, to a date between the default and the EQC staff report submittal date. " sqref="G597">
      <formula1>S.Notice.CloseComment</formula1>
      <formula2>S.Notice.BANNER.End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599 G604:G608">
      <formula1>S.Notice.CloseComment</formula1>
      <formula2>S.Notice.BANNER.End</formula2>
    </dataValidation>
    <dataValidation allowBlank="1" showInputMessage="1" showErrorMessage="1" errorTitle="LOCKED:CHANGE UNDER NOTICE" sqref="AAK572 AAK574 AAK576 AAK578 AAK580 AAK582 AAK584"/>
    <dataValidation allowBlank="1" showInputMessage="1" showErrorMessage="1" errorTitle="LOCKED:CHANGE UNDER NOTICE" error="Change the city name under 4-Notice banner" sqref="AAK570 B584 B582 B580 B578 B576 B574 B572 B570"/>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567:G568 G589">
      <formula1>S.PostNoticeToRegistry</formula1>
      <formula2>S.EQC.SubmitStaffRpt</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592 G587:G588">
      <formula1>S.HearingFirst</formula1>
      <formula2>S.Hearing.BANNER.End</formula2>
    </dataValidation>
    <dataValidation allowBlank="1" showInputMessage="1" showErrorMessage="1" promptTitle="LOCKED: CANNOT CHANGE DATE HERE" prompt="Change the hearing dates under Public notice section." sqref="H572 H584 AAH582 H570 H582 AAH580 AAH578 H580 H578 AAH576 AAH574 H576 H574 AAH572 AAH570 AAH584"/>
    <dataValidation type="date" allowBlank="1" showInputMessage="1" showErrorMessage="1" errorTitle="OUTSIDE VALID DATE RANGE" error="Enter a date between the 1st Punlic hearing date and the End Task date on the 5-Public Comment and Testimony banner" promptTitle="ENTER TASK START DATE" prompt="DEFAULT   1st public hearing date_x000a__x000a_OVERWRITE   Yes, to a date between the default and the End Task Date on the 5-Public Comment and Testimony banner" sqref="G594:G596">
      <formula1>S.Hearing.1stDate</formula1>
      <formula2>S.Hearing.BANNER.End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48"/>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562:H565 H553">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562:G565 G553">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556:G560">
      <formula1>S.Hearing.BANNER.Begin</formula1>
      <formula2>S.Hearing.BANNER.End</formula2>
    </dataValidation>
    <dataValidation allowBlank="1" showInputMessage="1" sqref="AAG561:AAG565"/>
    <dataValidation type="date" allowBlank="1" showInputMessage="1" showErrorMessage="1" errorTitle="OUTSIDE VLKID DATE RANGE" error="Enter a date betweenthe DA briefing meeting and 7 days before emailing to RulePublication date" promptTitle="TASK DEQDLINE" prompt="DEFUALT          The day after the DA briefing meeting_x000a__x000a_OVERWRITE      Yes, to a date that provides a 7-day preview period before emailing RulePublication_x000a_" sqref="H478">
      <formula1>S.Notice.DABriefing</formula1>
      <formula2>WORKDAY(S.Notice.EMAIL.RulePublication-6,-1,S.DDL_DEQClosed)</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481">
      <formula1>S.Notice.PreviewBegin</formula1>
      <formula2>S.Notice.EMAIL.RulePublication</formula2>
    </dataValidation>
    <dataValidation type="date" allowBlank="1" showInputMessage="1" showErrorMessage="1" errorTitle="INVALID DATE" error="Enter a date between the STARTS preview period above and the Rule publication date below" promptTitle="TASK END" prompt="DEFUALT           The start of the preview period listed above_x000a__x000a_OVERWRITE      Yes, to a date between the default and the Rule publication date below_x000a__x000a_" sqref="H483">
      <formula1>S.Notice.PreviewBegin</formula1>
      <formula2>S.Notice.EMAIL.RulePublication</formula2>
    </dataValidation>
    <dataValidation allowBlank="1" showInputMessage="1" showErrorMessage="1" errorTitle="OUT OF RANGE" error="Enter a date that is between the 20th work day before the SOS notice submittal date and the staff report due date." promptTitle="START TASK DATE" prompt="DEFAULT   About 20 days before submitting notice to SOS_x000a__x000a_OVERWRITE  No." sqref="G550"/>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550">
      <formula1>S.Hearing.BANNER.Begin</formula1>
      <formula2>S.EQC.SubmitStaffRpt</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543">
      <formula1>S.Notice.OpenComment</formula1>
      <formula2>S.Notice.BANNER.Begin</formula2>
    </dataValidation>
    <dataValidation type="date" allowBlank="1" showInputMessage="1" showErrorMessage="1" errorTitle="OUTSIDE VALID DATE RANGE" error="Enter a date between the notice submittal to SOS and the Open public comment dates" promptTitle="TASK DATE" prompt="DEAFULT  Date notice submitted to SOS_x000a__x000a_OVERWRITE  Yes to a date between the default and the Open public comment" sqref="G533 G524:G528">
      <formula1>S.Notice.SubmitToSOS</formula1>
      <formula2>S.Notice.OpenComment</formula2>
    </dataValidation>
    <dataValidation type="date" allowBlank="1" showInputMessage="1" showErrorMessage="1" errorTitle="OUTSIDE VALID DATE RANGE" error="Enter a date between submittal to SOS and  the Open public comment date" promptTitle="START TASK" prompt="DEFAULT  notice submittal to Secretary of State_x000a__x000a_OVERWRITE   Yes, to a date between the default and the Open public comment date" sqref="G539:G541">
      <formula1>S.Notice.SubmitToSOS</formula1>
      <formula2>S.Notice.OpenComment</formula2>
    </dataValidation>
    <dataValidation type="date" allowBlank="1" showInputMessage="1" showErrorMessage="1" errorTitle="OUTSIDE VALID DATE RANGE" error="Enter a date between the date to the Start Task and End Task dates on the Notice banner" promptTitle="TASK START" prompt="DEFAULT   Start Task date on Notice banner_x000a__x000a_OVEWRITE   Yes, to a date between the default and End Task dates on the Notice banner" sqref="G544">
      <formula1>S.Notice.BANNER.Begin</formula1>
      <formula2>S.Notice.BANNER.End</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450:B451 B462:B465"/>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470:G473 G413:G425 G464:G467 G460:G462 G442 G444 G446:G451">
      <formula1>S.Notice.BANNER.Begin</formula1>
      <formula2>S.Notice.OpenComment</formula2>
    </dataValidation>
    <dataValidation allowBlank="1" showInputMessage="1" showErrorMessage="1" promptTitle="ADD PUBLICATION" prompt="After &quot;NOTICE.AD##.&quot; enter the name of the publication." sqref="B452:B459"/>
    <dataValidation type="date" allowBlank="1" showInputMessage="1" showErrorMessage="1" errorTitle="OUTSIDE VALID DATE RANGE" error="Enter a date between the Start Task on the Notice banner and 7 full days before emailing RulePublication. _x000a__x000a_" promptTitle="TASK START" prompt="DEFUALT           About 21 days before the emailing RulePublication_x000a__x000a_OVERWRITE      Yes, to an earlier date or a date that provides at least 7 days in preview and 5 days with RulePublications" sqref="H475">
      <formula1>S.Notice.BANNER.Begin</formula1>
      <formula2>WORKDAY(S.Notice.EMAIL.RulePublication-12,-1,S.DDL_DEQClosed)</formula2>
    </dataValidation>
    <dataValidation allowBlank="1" showInputMessage="1" showErrorMessage="1" promptTitle="MANDATORY" prompt="Really!  R E L A X" sqref="D502 D346"/>
    <dataValidation allowBlank="1" showInputMessage="1" showErrorMessage="1" promptTitle="TASK COMPLETED" prompt="DEFAULT  The earliest date between the Submit to SOS or Open Comment dates_x000a__x000a_OVERWRITE  Yes, to the date " sqref="H520"/>
    <dataValidation allowBlank="1" showInputMessage="1" showErrorMessage="1" errorTitle="LOCKED" error="To make changes" sqref="H491"/>
    <dataValidation type="date" operator="lessThan" allowBlank="1" showInputMessage="1" showErrorMessage="1" errorTitle="OUTSIDE VALID DATE RANGE" error="Enter a date before the 1st hearing date_x000a_" promptTitle="TASK END" prompt="DEFUALT         2 workdays before the Open Comment date_x000a__x000a_OVERWRITE      Yes, to a date earlier than the 1st hearing. WARNING! It is up to you to maintain all deadlines for advertisements!_x000a__x000a__x000a_" sqref="H452:H459">
      <formula1>S.Hearing.1stDate</formula1>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484:G486 G488:G489">
      <formula1>S.Notice.PreviewBegin</formula1>
      <formula2>S.Notice.EMAIL.RulePublication</formula2>
    </dataValidation>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484:H489 H493 H495 H498">
      <formula1>S.Notice.PreviewEnd</formula1>
      <formula2>S.Notice.EMAIL.RulePublication</formula2>
    </dataValidation>
    <dataValidation type="date" operator="lessThanOrEqual" allowBlank="1" showInputMessage="1" showErrorMessage="1" errorTitle="OUTSIDE VALID DATE RANGE" error="Enter a date earlier than 5 workdays before the earliest date between submitting notice to SOS or Open comment period_x000a__x000a_" promptTitle="END TASK" prompt="DEFAULT  5 work days before the earlier date between submitting notice to SOS or Open comment period_x000a__x000a_OVERWRITE  Yes, to an earlier date_x000a_" sqref="H501">
      <formula1>WORKDAY(MIN(S.Notice.SubmitToSOS,S.Notice.OpenComment),-5,S.DDL_DEQClosed)</formula1>
    </dataValidation>
    <dataValidation type="date" allowBlank="1" showInputMessage="1" showErrorMessage="1" errorTitle="OUTSIDE VALID DATE RANGE" error="Enter a date between Start Task date on the 4-Public Notice banner and 10 workdays before start preview date." promptTitle="TASK END" prompt="DEFUALT         The Start Task date on the 4-Public Noticet banner_x000a__x000a_OVERWRITE     Yes, to a date between the default and 10 workdays before start preview period date._x000a__x000a__x000a_" sqref="H410">
      <formula1>S.Notice.BANNER.Begin</formula1>
      <formula2>WORKDAY(S.Notice.PreviewBegin-9,-1,S.DDL_DEQClosed)</formula2>
    </dataValidation>
    <dataValidation allowBlank="1" showInputMessage="1" showErrorMessage="1" errorTitle="LOCKED" error="Change DA briefing date below. CANNOT be changed to a later date." sqref="H411"/>
    <dataValidation allowBlank="1" showInputMessage="1" showErrorMessage="1" errorTitle="LOCKED" error="Change Start Preview date below" sqref="G412"/>
    <dataValidation allowBlank="1" showInputMessage="1" showErrorMessage="1" errorTitle="LOCKED" error="Change under End Preview period" sqref="H412"/>
    <dataValidation type="date" allowBlank="1" showInputMessage="1" showErrorMessage="1" errorTitle="OUTSIDE VALID DATE RANGE" error="Enter a date between the Start Task date on the 4-Public Notice banner and the start preview period" promptTitle="TASK START" prompt="DEFUALT           Start Task date on 4-Public Notice banner_x000a__x000a_OVERWRITE      Yes, to a date between the default and start preview period._x000a__x000a__x000a_" sqref="G391:G393 G395:G408">
      <formula1>S.Notice.BANNER.Begin</formula1>
      <formula2>S.Notice.PreviewBegin</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379">
      <formula1>S.Notice.BANNER.Begin</formula1>
      <formula2>S.Notice.LastHearingDate</formula2>
    </dataValidation>
    <dataValidation allowBlank="1" showInputMessage="1" showErrorMessage="1" promptTitle="LOCKED CELL" prompt="Change first hearing date under Overview of Key Dates banner." sqref="G370"/>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371:G377">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370:H37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81 B180"/>
    <dataValidation allowBlank="1" showInputMessage="1" showErrorMessage="1" promptTitle="LOCKED CELL" prompt="Change first hearing date under Overview of Key Dates banner." sqref="G378"/>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358">
      <formula1>#REF!</formula1>
      <formula2>#REF!</formula2>
    </dataValidation>
    <dataValidation type="date" operator="greaterThanOrEqual" allowBlank="1" showInputMessage="1" showErrorMessage="1" errorTitle="OUTSIDE VALID DATE RANGE" error="The date must be between the Start Task date on the Overview of Key Dates banner and the Close of Comment shown in the cell to the right. " promptTitle="TASK START" prompt="DEFAULT          If this rulemaking involves a Notice, the Start Task date on Overview of Key Dates banner._x000a__x000a_OVERWRITE        Yes, to a date between the Start Task date on the Overview of Key Dates banner and the Close of Comment date in cell to right " sqref="G366">
      <formula1>S.Overview.BANNER.Start</formula1>
    </dataValidation>
    <dataValidation type="date" allowBlank="1" showInputMessage="1" showErrorMessage="1" errorTitle="LOCKED" error="To change, adjust Close of Comment under Overview of Key Dates." promptTitle="LOCKED CELL" prompt="Change Close of Comment under Overview of Key Dates banner." sqref="H366">
      <formula1>S.Notice.CloseComment</formula1>
      <formula2>S.Notice.CloseComment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7 G340:G344 G355">
      <formula1>#REF!</formula1>
      <formula2>S.Fee.BANNER.End</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351">
      <formula1>S.Fee.BANNER.Begin</formula1>
      <formula2>S.Fee.SubmitToDAS</formula2>
    </dataValidation>
    <dataValidation type="date" allowBlank="1" showInputMessage="1" showErrorMessage="1" errorTitle="LOCKED" error="Change under notice section of OVerview of Key Dates" promptTitle="LOCKED" prompt="Change under notice section of Overview of Key Dates_x000a__x000a__x000a_" sqref="G348">
      <formula1>S.Fee.BANNER.Begin</formula1>
      <formula2>S.Fee.BANNER.End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2">
      <formula1>S.Fee.BANNER.Begin</formula1>
      <formula2>S.Fee.BANNER.End</formula2>
    </dataValidation>
    <dataValidation type="date" allowBlank="1" showInputMessage="1" showErrorMessage="1" errorTitle="OUTSIDE DATES BANNERE" error="Enter a date that is between the date in the cell above and the END date on the Fee Approval banner." promptTitle="TASK START" prompt="DEFUALT          The default equals about 10 days after of DAS' response _x000a__x000a_OVERWRITE       Yes, to a date between the date above and the END date on the Fee Approval banner._x000a__x000a__x000a__x000a_" sqref="G353">
      <formula1>S.Fee.BANNER.Begin</formula1>
      <formula2>S.Fee.SubmitToDAS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334">
      <formula1>S.Fee.BANNER.Begin</formula1>
      <formula2>S.Fee.BANNER.End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336:G339">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330">
      <formula1>S.Fee.BANNER.Begin</formula1>
      <formula2>WORKDAY(S.Notice.InOregonBulletin-2,-1,S.DDL_DEQClosed)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2 G197">
      <formula1>#REF!</formula1>
      <formula2>S.AC.BANNER.End</formula2>
    </dataValidation>
    <dataValidation type="date" allowBlank="1" showInputMessage="1" showErrorMessage="1" errorTitle="LOCKED" promptTitle="LOCKED" prompt="Entered under Overview of Key Dates" sqref="G330">
      <formula1>S.Planning.BANNER.Begin</formula1>
      <formula2>S.Fee.SubmitToDAS</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204 G185">
      <formula1>S.AC.BANNER.Begin</formula1>
      <formula2>S.AC.BANNER.End</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252 H321 H275 H229 H298"/>
    <dataValidation allowBlank="1" showErrorMessage="1" promptTitle="OPTIONAL TASK COMPLETED" prompt="The team may place an &quot;X&quot; in this location to indicate the task has been completed." sqref="D303 D280 D234 D211 D257"/>
    <dataValidation allowBlank="1" showInputMessage="1" showErrorMessage="1" promptTitle="ENTER TIME" prompt="Enter the time of the advisory committee meeting as hh:mm followed by a.m. or p.m._x000a__x000a__x000a_" sqref="H301 H278 H232 H209 H255"/>
    <dataValidation allowBlank="1" showInputMessage="1" showErrorMessage="1" promptTitle="ENTER LOCATION" prompt="Enter location of advisory committee meeting." sqref="E301:F301 E278:F278 E232:F232 E255:F255"/>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233 G279 G302 G256">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01">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253:G254 G322:G323 G276:G277 G299:G300">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78">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55">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32">
      <formula1>S.AC.DateMeeting1</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208 G205:G206">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209">
      <formula1>S.AC.SendInvitation</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230:G231">
      <formula1>S.AC.DateMeeting1</formula1>
      <formula2>S.AC.BANNER.End</formula2>
    </dataValidation>
    <dataValidation type="date" allowBlank="1" showInputMessage="1" showErrorMessage="1" errorTitle="OUTSIDE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210">
      <formula1>S.AC.SendInvitation</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212:G219 G222 G224:G228 G235:G242 G245 G247:G251 G258:G265 G268 G270:G274 G281:G288 G291 G293:G297 G304:G311 G314 G316:G320">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198">
      <formula1>#REF!</formula1>
      <formula2>S.AC.BANNER.End</formula2>
    </dataValidation>
    <dataValidation allowBlank="1" showInputMessage="1" showErrorMessage="1" promptTitle="ENTER TASK END DATE" prompt="DEFAULT" sqref="AAH330"/>
    <dataValidation type="date" allowBlank="1" showInputMessage="1" showErrorMessage="1" errorTitle="OUTSIDE VALID DATE RAMGE" error="Enter a date between the Start Task and End Task dates on the Advisory Committee banner." promptTitle="ENTER START TASK DATE" prompt="DEFAULT           The Start Task date on the Advisory committee banner._x000a__x000a_OVERWRITE       Yes, to a date between the Start Task and End Task dates on the advisory committee banner.   _x000a_" sqref="G193:G196 G186:G187 G133:G134">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196"/>
    <dataValidation allowBlank="1" showInputMessage="1" showErrorMessage="1" promptTitle="OPTIONAL - COMMITTEE WEBSITE" prompt="The Design Team may decide to develop an advisory committee website." sqref="B195"/>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0:G182">
      <formula1>S.AC.BANNER.Begin</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Task and End Task dates on the advisory committee banner.   _x000a_" sqref="G176">
      <formula1>S.AC.BANNER.Begin</formula1>
      <formula2>S.AC.BANNER.End</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172">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172">
      <formula1>S.AC.BANNER.End</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5 G137">
      <formula1>#REF!</formula1>
      <formula2>S.Notice.BANNER.End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59"/>
    <dataValidation type="list" allowBlank="1" showInputMessage="1" showErrorMessage="1" sqref="C100">
      <formula1>"A,P,R"</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87:G89">
      <formula1>S.Planning.BANNER.Begin</formula1>
      <formula2>S.Planning.BANNER.End</formula2>
    </dataValidation>
    <dataValidation type="date" allowBlank="1" showInputMessage="1" showErrorMessage="1" errorTitle="OUTSIDE VALIS DATE RANGE" error="Enter a date between the Start and End Task dates on the Planning banner" promptTitle="ENTER START DATE" prompt="DEFAULT  Start Task date on the Planning banner_x000a_ _x000a_OVERWRITE   Yes, to a date between the default and the end Task date on the Planning banner" sqref="G61:G65">
      <formula1>S.Planning.BANNER.Begin</formula1>
      <formula2>S.Planning.BANNER.End</formula2>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31">
      <formula1>S.Overview.BANNER.Start</formula1>
      <formula2>S.Notice.InOregonBulletin</formula2>
    </dataValidation>
    <dataValidation type="date" allowBlank="1" showInputMessage="1" showErrorMessage="1" errorTitle="OUTSIDE VALID DATE RANGE" error="Enter a date between the date to the left and the Start Task date on the 6- EQC preparation banner" promptTitle="TASK END" prompt="DEFAULT        Start Task date on Notice banner for permanent rules, Start Task date on EQC preparation banner for temporary rules_x000a__x000a_OVERWRITE    Yes, to  a date between the cell to the left and the Start Task date on the 6-EQCpreparation banner_x000a__x000a_" sqref="H55">
      <formula1>S.Planning.BANNER.Begin</formula1>
      <formula2>S.EQC.BANNER.Begin</formula2>
    </dataValidation>
    <dataValidation allowBlank="1" showInputMessage="1" showErrorMessage="1" promptTitle="LOCKED" prompt="This is the Task Start date entered on the Overview of Key Dates banner." sqref="G55"/>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down list of EQC dates." promptTitle="DROPDOWN LIST" prompt="DEFAULT   Calculated using the number of days added to the schedule through the choices above._x000a__x000a_OVERWRITE  Yes, by selecting EQC date from dropdown list. Dates in current year are exact. Dates in future years are approximate._x000a__x000a_" sqref="H43">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38 G39:H40">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38">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5">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4">
      <formula1>IF(S.SIP.Involved="N",WORKDAY(S.Notice.InOregonBulletin+13,1,S.DDL_DEQClosed),WORKDAY(S.Notice.OpenComment+29,1,S.DDL_DEQClosed))</formula1>
      <formula2>S.Notice.CloseComment</formula2>
    </dataValidation>
    <dataValidation type="list" allowBlank="1" showInputMessage="1" promptTitle="SELECT FROM DROP DOWN LIST" prompt="DEFAULT    If complexity =1, 60+ days before EQC meeting, otherwise 90+ before EQC meeeting. _x000a__x000a_OVERWRITE  Yes, select the Oregon Bulletin publication date. Bulletin always publishes on the 1st of the month regardless of holidays/ weekends/furloughs_x000a__x000a_" sqref="H30">
      <formula1>S.DDL_Bulletin</formula1>
    </dataValidation>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DEFAULT  The 15th of the month, earlier if the 15th is an office closure date, before the Oregon Bulletin publication month_x000a__x000a_OVERWRITE   Yes, to a date between the Start Task date on the Overview of Key Dates banner and the default" sqref="H29">
      <formula1>S.Overview.BANNER.Start</formula1>
      <formula2>VLOOKUP(S.Notice.InOregonBulletin,VL_Bulletin,2,FALSE)</formula2>
    </dataValidation>
    <dataValidation type="date"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3">
      <formula1>S.Overview.BANNER.Start</formula1>
      <formula2>S.Hearing.1stDate-15</formula2>
    </dataValidation>
    <dataValidation allowBlank="1" showInputMessage="1" showErrorMessage="1" errorTitle="LOCKED" error="Set under the Notice section as the date the lead emailed Rule Publications for final review and publication." sqref="G28"/>
    <dataValidation allowBlank="1" showInputMessage="1" showErrorMessage="1" errorTitle="LOCKED" error="5 work days before the earlier of Submit notice to SOS date or Open public comment date_x000a__x000a_Set under Notice section" promptTitle="Locked" prompt="5 work days before the earlier of Submit notice to SOS date or Open public comment date_x000a__x000a_Set under Notice section" sqref="H28"/>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2">
      <formula1>VLOOKUP(S.EQC.Meeting,VL_EQCActivities,2,FALSE)</formula1>
    </dataValidation>
    <dataValidation type="whole" operator="notEqual" allowBlank="1" showInputMessage="1" showErrorMessage="1" promptTitle="ENTER NUMBER" prompt="DEFAULT   0_x000a__x000a_OVERWRITE  Yes, to a negative or positive whole numbe." sqref="D44:E44">
      <formula1>S.General.DaysRecommended</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4">
      <formula1>S.StartRulemaking</formula1>
      <formula2>S.Notice.SubmitToEPA</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3">
      <formula1>S.Notice.OpenComment</formula1>
    </dataValidation>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22">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7 H20"/>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7 G20">
      <formula1>S.StartRulemaking</formula1>
      <formula2>S.EQC.Meeting</formula2>
    </dataValidation>
    <dataValidation allowBlank="1" showInputMessage="1" showErrorMessage="1" errorTitle="LOCKED" error="Change this date under on the Fee banner - End Task date " promptTitle="LOCKED" prompt="DEFAULT   Task End a Date on Fee banner_x000a_ _x000a__x000a_" sqref="H18"/>
    <dataValidation type="date" allowBlank="1" showInputMessage="1" showErrorMessage="1" errorTitle="OUTSIDE VALID DATE RANGE" error="Enter a date between the PREPARE TO DRAFT RULES date under the Planning bannerand either the SOS notice submittal date for permanent rules - OR - EQC staff report submittal date for temporary rules" promptTitle="ENTER START DATE" prompt="DEFAULT  The PREPARE TO DRAFT RULES date under the Planning banner_x000a__x000a_OVERWRITE  Yes, to a date between the default and either the SOS notice submittal date for permanent rules - OR - EQC staff report submittal date for temporary rules" sqref="G16 G18">
      <formula1>S.PrepareToDraftRules</formula1>
      <formula2>IF(S.General.RuleType=1,S.Notice.SubmitToSOS,S.EQC.SubmitStaffRpt)</formula2>
    </dataValidation>
    <dataValidation type="list" allowBlank="1" showInputMessage="1" showErrorMessage="1" sqref="C14">
      <formula1>"1,2,3"</formula1>
    </dataValidation>
    <dataValidation type="list" allowBlank="1" showInputMessage="1" showErrorMessage="1" sqref="C12">
      <formula1>"P,T"</formula1>
    </dataValidation>
    <dataValidation allowBlank="1" showInputMessage="1" showErrorMessage="1" errorTitle=" " error=" " promptTitle="ENTER DA APPROVAL DATE" prompt="Enter the date the Division Administrator approved work to develop the concept for this potential rulemaking." sqref="G7"/>
    <dataValidation allowBlank="1" showInputMessage="1" showErrorMessage="1" errorTitle="LOCKED" error="System generated to 60 days plus the number of Processing days to provide time for post-EQC activities such as closing the rulemaking record." promptTitle="LOCKED" prompt="System generated to 60 days plus the number of Processing days to provide time for post-EQC activities such as closing the rulemaking record." sqref="H7"/>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operator="equal" allowBlank="1" showInputMessage="1" showErrorMessage="1" promptTitle="ADJUST L8" prompt="_x000a_ENTER        A positive or negative whole number to adjust the date in L8._x000a__x000a_DEFAULT     Today" sqref="AAF3"/>
    <dataValidation allowBlank="1" showInputMessage="1" showErrorMessage="1" promptTitle="DAYS ADDED TO SCHEDULE" prompt="CALCULATION   For this section only, this colum represents the number of days addded to the schedule based on the selection made to the left _x000a_" sqref="E6"/>
    <dataValidation allowBlank="1" showInputMessage="1" showErrorMessage="1" errorTitle="LOCKED" error="Set under the Notice section." promptTitle="LOCKED" prompt="DEFAULT  21 work days before the earlier date between SOS submittal or Open public comment_x000a__x000a_OVERWRITE   No, change under Notice section" sqref="G26"/>
    <dataValidation allowBlank="1" showInputMessage="1" showErrorMessage="1" errorTitle="LOCKED" error="Set under Notice section" promptTitle="Locked" prompt="DEFAULT  7 workdays after start of preview period_x000a__x000a_OVERSWRITE  No, set under Notice section" sqref="H26"/>
    <dataValidation type="date" allowBlank="1" showInputMessage="1" showErrorMessage="1" errorTitle="OUT OF RANGE" error="Enter a date between the Start Task and End Task dates on the Planning banner" promptTitle="ENTER START DRAFT DATE" prompt="DEFAULT  The date the DA emailed approval_x000a__x000a_OVERWRITE   Yes, to a date between the default and the End Task date on the Planning banner" sqref="G102">
      <formula1>S.Planning.BANNER.Begin</formula1>
      <formula2>S.Planning.BANNER.End</formula2>
    </dataValidation>
    <dataValidation type="date" allowBlank="1" showInputMessage="1" showErrorMessage="1" errorTitle="OUT OF RANGE" error="Enter a date between the Start Task and End Task dates on the Planning banner" promptTitle="ENTER START DATE" prompt="DEFAULT  The date the manager sent email that approved adding the rulemaking to the plan._x000a__x000a_OVERWRITE   Yes, to a date between the default and the End Task date on the Planning banner" sqref="G111 G113:G116 G118:G121 G123">
      <formula1>S.Planning.BANNER.Begin</formula1>
      <formula2>S.Planning.BANNER.End</formula2>
    </dataValidation>
    <dataValidation type="date" allowBlank="1" showInputMessage="1" showErrorMessage="1" errorTitle="OUTSIDE VALID DATE RANGE" error="Enter a date between the Start and End Task dates on the Overview of Key Dates banner" promptTitle="ENTER START TASK DATE" prompt="DEFAULT  The Start Task date on the Planning banner_x000a__x000a_OVERWRITE   Yes, to a date between the Start and End Task dates on the Overview of Key Dates banner" sqref="G166">
      <formula1>S.Planning.BANNER.Begin</formula1>
      <formula2>S.Planning.BANNER.End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324">
      <formula1>S.AC.BANNER.Begin</formula1>
      <formula2>S.AC.BANNER.End</formula2>
    </dataValidation>
  </dataValidations>
  <hyperlinks>
    <hyperlink ref="C230" r:id="rId1" display="i"/>
    <hyperlink ref="C133" r:id="rId2" display="i"/>
    <hyperlink ref="C553" r:id="rId3" display="Q"/>
    <hyperlink ref="C179" r:id="rId4" display="i"/>
    <hyperlink ref="C214" r:id="rId5" display="i"/>
    <hyperlink ref="AAL180" r:id="rId6"/>
    <hyperlink ref="C222" r:id="rId7" display="i"/>
    <hyperlink ref="C535" r:id="rId8" location="receipt"/>
    <hyperlink ref="C59" r:id="rId9" display="i"/>
    <hyperlink ref="C154" r:id="rId10" display="i"/>
    <hyperlink ref="C721" r:id="rId11" display="i"/>
    <hyperlink ref="C80" r:id="rId12" display="i"/>
    <hyperlink ref="C728" r:id="rId13" display="i"/>
    <hyperlink ref="C512" r:id="rId14"/>
    <hyperlink ref="C470" r:id="rId15" display=" i"/>
    <hyperlink ref="C568" r:id="rId16" display="Q"/>
    <hyperlink ref="C205" r:id="rId17" display="i"/>
    <hyperlink ref="C226" r:id="rId18" display="i"/>
    <hyperlink ref="C495" r:id="rId19"/>
    <hyperlink ref="C514" r:id="rId20"/>
    <hyperlink ref="C464" location="HearingAndAdDates!A1" display="i"/>
    <hyperlink ref="C520" r:id="rId21"/>
    <hyperlink ref="C676" r:id="rId22"/>
    <hyperlink ref="C132" r:id="rId23" display="i"/>
    <hyperlink ref="C557" r:id="rId24" display="Q"/>
    <hyperlink ref="C621" r:id="rId25" display="i"/>
    <hyperlink ref="C528" r:id="rId26"/>
    <hyperlink ref="C461" r:id="rId27" display="i"/>
    <hyperlink ref="C501" r:id="rId28"/>
    <hyperlink ref="C345" r:id="rId29" display="i"/>
    <hyperlink ref="C598" r:id="rId30"/>
    <hyperlink ref="D38" r:id="rId31" display="i"/>
    <hyperlink ref="C151" r:id="rId32" display="i"/>
    <hyperlink ref="C381" r:id="rId33" display="i"/>
    <hyperlink ref="C73" r:id="rId34" display="i"/>
    <hyperlink ref="C99" r:id="rId35" display="i"/>
    <hyperlink ref="D39" r:id="rId36" display="i"/>
    <hyperlink ref="C212" r:id="rId37" display="i"/>
    <hyperlink ref="C235" r:id="rId38" display="i"/>
    <hyperlink ref="C258" r:id="rId39" display="i"/>
    <hyperlink ref="C281" r:id="rId40" display="i"/>
    <hyperlink ref="C304" r:id="rId41" display="i"/>
    <hyperlink ref="C237" r:id="rId42" display="i"/>
    <hyperlink ref="C260" r:id="rId43" display="i"/>
    <hyperlink ref="C283" r:id="rId44" display="i"/>
    <hyperlink ref="C306" r:id="rId45" display="i"/>
    <hyperlink ref="C245" r:id="rId46" display="i"/>
    <hyperlink ref="C268" r:id="rId47" display="i"/>
    <hyperlink ref="C291" r:id="rId48" display="i"/>
    <hyperlink ref="C314" r:id="rId49" display="i"/>
    <hyperlink ref="C249" r:id="rId50" display="i"/>
    <hyperlink ref="C272" r:id="rId51" display="i"/>
    <hyperlink ref="C295" r:id="rId52" display="i"/>
    <hyperlink ref="C318" r:id="rId53" display="i"/>
    <hyperlink ref="C253" r:id="rId54" display="i"/>
    <hyperlink ref="C276" r:id="rId55" display="i"/>
    <hyperlink ref="C299" r:id="rId56" display="i"/>
    <hyperlink ref="C322" r:id="rId57" display="i"/>
    <hyperlink ref="C395" r:id="rId58" display="i"/>
    <hyperlink ref="C634" r:id="rId59" display="i"/>
    <hyperlink ref="B386" r:id="rId60"/>
    <hyperlink ref="B387" r:id="rId61" display="mailto:JoKRanch@hotmail.com"/>
    <hyperlink ref="B388" r:id="rId62"/>
    <hyperlink ref="B389" r:id="rId63"/>
    <hyperlink ref="B390" r:id="rId64"/>
    <hyperlink ref="C177" r:id="rId65" display="i"/>
    <hyperlink ref="B188" r:id="rId66"/>
    <hyperlink ref="B189" r:id="rId67" display="mailto:JoKRanch@hotmail.com"/>
    <hyperlink ref="B190" r:id="rId68"/>
    <hyperlink ref="B191" r:id="rId69"/>
    <hyperlink ref="B192" r:id="rId70"/>
  </hyperlinks>
  <pageMargins left="0.32" right="0.25" top="0.36" bottom="0.36" header="0.3" footer="0.3"/>
  <pageSetup orientation="portrait" horizontalDpi="4294967293" r:id="rId71"/>
  <rowBreaks count="8" manualBreakCount="8">
    <brk id="51" min="1" max="7" man="1"/>
    <brk id="168" min="1" max="7" man="1"/>
    <brk id="231" min="1" max="7" man="1"/>
    <brk id="277" min="1" max="7" man="1"/>
    <brk id="326" min="1" max="7" man="1"/>
    <brk id="362" min="1" max="7" man="1"/>
    <brk id="546" min="1" max="7" man="1"/>
    <brk id="694" min="1" max="7" man="1"/>
  </rowBreaks>
  <ignoredErrors>
    <ignoredError sqref="G553:H553 G562:H565 H351:H352 G340:H344 G352 H703 H712:H713 G753:H753 H336 H710 G355:G357 H714" unlockedFormula="1"/>
  </ignoredErrors>
  <drawing r:id="rId72"/>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88"/>
      <c r="B1" s="170"/>
      <c r="C1" s="88"/>
      <c r="D1" s="38" t="s">
        <v>43</v>
      </c>
      <c r="E1" s="38" t="s">
        <v>46</v>
      </c>
      <c r="F1" s="38" t="s">
        <v>36</v>
      </c>
      <c r="G1" s="148" t="s">
        <v>66</v>
      </c>
    </row>
    <row r="2" spans="1:7" s="23" customFormat="1" ht="25.5" customHeight="1">
      <c r="A2" s="88"/>
      <c r="B2" s="907" t="s">
        <v>44</v>
      </c>
      <c r="C2" s="907"/>
      <c r="D2" s="88"/>
      <c r="E2" s="88"/>
      <c r="F2" s="88"/>
      <c r="G2" s="88"/>
    </row>
    <row r="3" spans="1:7" s="23" customFormat="1">
      <c r="A3" s="88"/>
      <c r="B3" s="170" t="s">
        <v>22</v>
      </c>
      <c r="C3" s="88" t="s">
        <v>48</v>
      </c>
      <c r="D3" s="172" t="s">
        <v>32</v>
      </c>
      <c r="E3" s="173" t="s">
        <v>88</v>
      </c>
      <c r="F3" s="173" t="s">
        <v>86</v>
      </c>
      <c r="G3" s="88"/>
    </row>
    <row r="4" spans="1:7" s="23" customFormat="1">
      <c r="A4" s="88"/>
      <c r="B4" s="170" t="s">
        <v>17</v>
      </c>
      <c r="C4" s="88" t="s">
        <v>78</v>
      </c>
      <c r="D4" s="174" t="s">
        <v>37</v>
      </c>
      <c r="E4" s="173" t="s">
        <v>87</v>
      </c>
      <c r="F4" s="227" t="s">
        <v>47</v>
      </c>
      <c r="G4" s="88"/>
    </row>
    <row r="5" spans="1:7" s="23" customFormat="1">
      <c r="A5" s="88"/>
      <c r="B5" s="170" t="s">
        <v>21</v>
      </c>
      <c r="C5" s="88"/>
      <c r="D5" s="169" t="s">
        <v>77</v>
      </c>
      <c r="E5" s="173" t="s">
        <v>89</v>
      </c>
      <c r="F5" s="227" t="s">
        <v>47</v>
      </c>
      <c r="G5" s="88"/>
    </row>
    <row r="6" spans="1:7" s="23" customFormat="1">
      <c r="A6" s="88"/>
      <c r="B6" s="170" t="s">
        <v>75</v>
      </c>
      <c r="C6" s="88" t="s">
        <v>76</v>
      </c>
      <c r="D6" s="169" t="s">
        <v>77</v>
      </c>
      <c r="E6" s="176" t="s">
        <v>90</v>
      </c>
      <c r="F6" s="227" t="s">
        <v>47</v>
      </c>
      <c r="G6" s="88"/>
    </row>
    <row r="7" spans="1:7" s="23" customFormat="1">
      <c r="A7" s="88"/>
      <c r="B7" s="170"/>
      <c r="C7" s="88"/>
      <c r="D7" s="168"/>
      <c r="E7" s="176"/>
      <c r="F7" s="175"/>
      <c r="G7" s="88"/>
    </row>
    <row r="8" spans="1:7" s="23" customFormat="1">
      <c r="A8" s="88"/>
      <c r="B8" s="170"/>
      <c r="C8" s="88"/>
      <c r="D8" s="168"/>
      <c r="E8" s="176"/>
      <c r="F8" s="175"/>
      <c r="G8" s="88"/>
    </row>
    <row r="9" spans="1:7" ht="18">
      <c r="A9" s="88"/>
      <c r="B9" s="907" t="s">
        <v>45</v>
      </c>
      <c r="C9" s="907"/>
      <c r="D9" s="180" t="s">
        <v>49</v>
      </c>
      <c r="E9" s="181" t="s">
        <v>50</v>
      </c>
      <c r="F9" s="88"/>
      <c r="G9" s="88"/>
    </row>
    <row r="10" spans="1:7">
      <c r="A10" s="88"/>
      <c r="B10" s="170"/>
      <c r="C10" s="171"/>
      <c r="D10" s="182" t="s">
        <v>41</v>
      </c>
      <c r="E10" s="173" t="s">
        <v>81</v>
      </c>
      <c r="F10" s="88" t="s">
        <v>82</v>
      </c>
      <c r="G10" s="88"/>
    </row>
    <row r="11" spans="1:7">
      <c r="A11" s="88"/>
      <c r="B11" s="170"/>
      <c r="C11" s="171"/>
      <c r="D11" s="182" t="s">
        <v>41</v>
      </c>
      <c r="E11" s="173" t="s">
        <v>84</v>
      </c>
      <c r="F11" s="88" t="s">
        <v>83</v>
      </c>
      <c r="G11" s="88"/>
    </row>
    <row r="12" spans="1:7" s="23" customFormat="1">
      <c r="A12" s="88"/>
      <c r="B12" s="170"/>
      <c r="C12" s="88"/>
      <c r="D12" s="179" t="s">
        <v>34</v>
      </c>
      <c r="E12" s="173" t="s">
        <v>42</v>
      </c>
      <c r="F12" s="88" t="s">
        <v>79</v>
      </c>
      <c r="G12" s="88"/>
    </row>
    <row r="13" spans="1:7" s="23" customFormat="1">
      <c r="A13" s="88"/>
      <c r="B13" s="170"/>
      <c r="C13" s="88"/>
      <c r="D13" s="178" t="s">
        <v>47</v>
      </c>
      <c r="E13" s="173" t="s">
        <v>40</v>
      </c>
      <c r="F13" s="88" t="s">
        <v>80</v>
      </c>
      <c r="G13" s="88"/>
    </row>
    <row r="14" spans="1:7" ht="18">
      <c r="A14" s="88"/>
      <c r="B14" s="907" t="s">
        <v>56</v>
      </c>
      <c r="C14" s="907"/>
      <c r="D14" s="88"/>
      <c r="E14" s="88"/>
      <c r="F14" s="88"/>
      <c r="G14" s="88"/>
    </row>
    <row r="15" spans="1:7">
      <c r="A15" s="88"/>
      <c r="B15" s="170"/>
      <c r="C15" s="88" t="s">
        <v>67</v>
      </c>
      <c r="D15" s="177" t="s">
        <v>29</v>
      </c>
      <c r="E15" s="173" t="s">
        <v>55</v>
      </c>
      <c r="F15" s="88" t="s">
        <v>58</v>
      </c>
      <c r="G15" s="88"/>
    </row>
    <row r="16" spans="1:7">
      <c r="A16" s="88"/>
      <c r="B16" s="170"/>
      <c r="C16" s="88"/>
      <c r="D16" s="25" t="s">
        <v>28</v>
      </c>
      <c r="E16" s="176" t="s">
        <v>57</v>
      </c>
      <c r="F16" s="88" t="s">
        <v>58</v>
      </c>
      <c r="G16" s="88"/>
    </row>
    <row r="17" spans="1:7">
      <c r="A17" s="88"/>
      <c r="B17" s="170"/>
      <c r="C17" s="88"/>
      <c r="D17" s="24" t="s">
        <v>27</v>
      </c>
      <c r="E17" s="176" t="s">
        <v>59</v>
      </c>
      <c r="F17" s="88" t="s">
        <v>58</v>
      </c>
      <c r="G17" s="88"/>
    </row>
    <row r="18" spans="1:7">
      <c r="A18" s="88"/>
      <c r="B18" s="170"/>
      <c r="C18" s="88"/>
      <c r="D18" s="88"/>
      <c r="E18" s="88"/>
      <c r="F18" s="88"/>
      <c r="G18" s="88"/>
    </row>
    <row r="19" spans="1:7">
      <c r="A19" s="88"/>
      <c r="B19" s="170"/>
      <c r="C19" s="88"/>
      <c r="D19" s="88"/>
      <c r="E19" s="88"/>
      <c r="F19" s="88"/>
      <c r="G19" s="88"/>
    </row>
    <row r="20" spans="1:7">
      <c r="A20" s="88"/>
      <c r="B20" s="170"/>
      <c r="C20" s="88"/>
      <c r="D20" s="88"/>
      <c r="E20" s="88"/>
      <c r="F20" s="88"/>
      <c r="G20" s="88"/>
    </row>
    <row r="21" spans="1:7">
      <c r="A21" s="88"/>
      <c r="B21" s="170"/>
      <c r="C21" s="88"/>
      <c r="D21" s="88"/>
      <c r="E21" s="88" t="s">
        <v>68</v>
      </c>
      <c r="F21" s="88" t="s">
        <v>0</v>
      </c>
      <c r="G21" s="88"/>
    </row>
    <row r="22" spans="1:7">
      <c r="A22" s="88"/>
      <c r="B22" s="170"/>
      <c r="C22" s="88"/>
      <c r="D22" s="88"/>
      <c r="E22" s="88" t="s">
        <v>69</v>
      </c>
      <c r="F22" s="88" t="s">
        <v>0</v>
      </c>
      <c r="G22" s="88"/>
    </row>
    <row r="23" spans="1:7">
      <c r="A23" s="88"/>
      <c r="B23" s="170"/>
      <c r="C23" s="88"/>
      <c r="D23" s="88"/>
      <c r="E23" s="88"/>
      <c r="F23" s="88"/>
      <c r="G23" s="88"/>
    </row>
    <row r="24" spans="1:7">
      <c r="A24" s="88"/>
      <c r="B24" s="170"/>
      <c r="C24" s="88"/>
      <c r="D24" s="88"/>
      <c r="E24" s="88"/>
      <c r="F24" s="88"/>
      <c r="G24" s="88"/>
    </row>
    <row r="25" spans="1:7">
      <c r="A25" s="88"/>
      <c r="B25" s="170"/>
      <c r="C25" s="88"/>
      <c r="D25" s="88"/>
      <c r="E25" s="88"/>
      <c r="F25" s="88"/>
      <c r="G25" s="88"/>
    </row>
    <row r="26" spans="1:7">
      <c r="A26" s="88"/>
      <c r="B26" s="170"/>
      <c r="C26" s="88"/>
      <c r="D26" s="88"/>
      <c r="E26" s="88"/>
      <c r="F26" s="88"/>
      <c r="G26" s="88"/>
    </row>
    <row r="27" spans="1:7">
      <c r="A27" s="88"/>
      <c r="B27" s="170"/>
      <c r="C27" s="88"/>
      <c r="D27" s="88"/>
      <c r="E27" s="88"/>
      <c r="F27" s="88"/>
      <c r="G27" s="88"/>
    </row>
    <row r="28" spans="1:7">
      <c r="A28" s="88"/>
      <c r="B28" s="170"/>
      <c r="C28" s="88"/>
      <c r="D28" s="88"/>
      <c r="E28" s="88"/>
      <c r="F28" s="88"/>
      <c r="G28" s="88"/>
    </row>
    <row r="29" spans="1:7">
      <c r="D29" s="88"/>
      <c r="E29" s="88"/>
      <c r="F29" s="88"/>
      <c r="G29" s="88"/>
    </row>
  </sheetData>
  <mergeCells count="3">
    <mergeCell ref="B2:C2"/>
    <mergeCell ref="B9:C9"/>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88"/>
      <c r="C1" s="88"/>
      <c r="D1" s="88"/>
      <c r="E1" s="88"/>
      <c r="F1" s="88"/>
      <c r="G1" s="88"/>
      <c r="H1" s="88"/>
      <c r="I1" s="88"/>
      <c r="J1" s="88"/>
      <c r="K1" s="88"/>
      <c r="L1" s="88"/>
      <c r="M1" s="88"/>
      <c r="N1" s="88"/>
      <c r="O1" s="88"/>
    </row>
    <row r="2" spans="1:19" ht="26.25" thickBot="1">
      <c r="A2" s="88"/>
      <c r="B2" s="908" t="s">
        <v>185</v>
      </c>
      <c r="C2" s="908"/>
      <c r="D2" s="908"/>
      <c r="E2" s="908"/>
      <c r="F2" s="908"/>
      <c r="G2" s="908"/>
      <c r="H2" s="908"/>
      <c r="I2" s="908"/>
      <c r="J2" s="908"/>
      <c r="K2" s="908"/>
      <c r="L2" s="908"/>
      <c r="M2" s="908"/>
      <c r="N2" s="908"/>
      <c r="O2" s="908"/>
      <c r="P2" s="592"/>
      <c r="Q2" s="88"/>
      <c r="R2" s="88"/>
      <c r="S2" s="88"/>
    </row>
    <row r="3" spans="1:19" ht="20.25">
      <c r="A3" s="88"/>
      <c r="B3" s="248"/>
      <c r="C3" s="323" t="s">
        <v>61</v>
      </c>
      <c r="D3" s="324"/>
      <c r="E3" s="325" t="s">
        <v>99</v>
      </c>
      <c r="F3" s="324"/>
      <c r="G3" s="326" t="s">
        <v>100</v>
      </c>
      <c r="H3" s="324"/>
      <c r="I3" s="327" t="s">
        <v>95</v>
      </c>
      <c r="J3" s="328"/>
      <c r="K3" s="327" t="s">
        <v>103</v>
      </c>
      <c r="L3" s="328"/>
      <c r="M3" s="327" t="s">
        <v>105</v>
      </c>
      <c r="N3" s="328"/>
      <c r="O3" s="591" t="s">
        <v>104</v>
      </c>
      <c r="P3" s="171"/>
      <c r="Q3" s="88"/>
      <c r="R3" s="88"/>
      <c r="S3" s="88"/>
    </row>
    <row r="4" spans="1:19" ht="90.75" customHeight="1">
      <c r="A4" s="88"/>
      <c r="B4" s="599" t="s">
        <v>212</v>
      </c>
      <c r="C4" s="909" t="s">
        <v>186</v>
      </c>
      <c r="D4" s="909"/>
      <c r="E4" s="251" t="s">
        <v>187</v>
      </c>
      <c r="F4" s="250"/>
      <c r="G4" s="251" t="s">
        <v>188</v>
      </c>
      <c r="H4" s="88"/>
      <c r="I4" s="251" t="s">
        <v>98</v>
      </c>
      <c r="J4" s="88"/>
      <c r="K4" s="251" t="s">
        <v>189</v>
      </c>
      <c r="L4" s="88"/>
      <c r="M4" s="251" t="s">
        <v>106</v>
      </c>
      <c r="N4" s="88"/>
      <c r="O4" s="251" t="s">
        <v>190</v>
      </c>
      <c r="P4" s="88"/>
      <c r="Q4" s="88"/>
      <c r="R4" s="88"/>
      <c r="S4" s="88"/>
    </row>
    <row r="5" spans="1:19" ht="17.25" customHeight="1" thickBot="1">
      <c r="A5" s="88"/>
      <c r="B5" s="322"/>
      <c r="C5" s="584" t="s">
        <v>92</v>
      </c>
      <c r="D5" s="311"/>
      <c r="E5" s="312"/>
      <c r="F5" s="250"/>
      <c r="G5" s="313" t="s">
        <v>93</v>
      </c>
      <c r="H5" s="88"/>
      <c r="I5" s="313" t="s">
        <v>94</v>
      </c>
      <c r="J5" s="88"/>
      <c r="K5" s="88"/>
      <c r="L5" s="88"/>
      <c r="M5" s="88"/>
      <c r="N5" s="88"/>
      <c r="O5" s="88"/>
      <c r="P5" s="88"/>
      <c r="Q5" s="88"/>
      <c r="R5" s="88"/>
      <c r="S5" s="88"/>
    </row>
    <row r="6" spans="1:19" ht="29.25" customHeight="1">
      <c r="A6" s="88"/>
      <c r="B6" s="322"/>
      <c r="C6" s="88"/>
      <c r="D6" s="88"/>
      <c r="E6" s="88"/>
      <c r="F6" s="88"/>
      <c r="G6" s="314" t="s">
        <v>0</v>
      </c>
      <c r="H6" s="88"/>
      <c r="I6" s="309" t="s">
        <v>102</v>
      </c>
      <c r="J6" s="88"/>
      <c r="K6" s="88"/>
      <c r="L6" s="88"/>
      <c r="M6" s="309" t="s">
        <v>102</v>
      </c>
      <c r="N6" s="88"/>
      <c r="O6" s="88"/>
      <c r="P6" s="88"/>
      <c r="Q6" s="88"/>
      <c r="R6" s="88"/>
      <c r="S6" s="88"/>
    </row>
    <row r="7" spans="1:19" ht="60" customHeight="1">
      <c r="A7" s="88"/>
      <c r="B7" s="321" t="s">
        <v>97</v>
      </c>
      <c r="C7" s="253" t="s">
        <v>0</v>
      </c>
      <c r="D7" s="315"/>
      <c r="E7" s="316"/>
      <c r="F7" s="315"/>
      <c r="G7" s="252" t="s">
        <v>96</v>
      </c>
      <c r="H7" s="315"/>
      <c r="I7" s="307" t="s">
        <v>191</v>
      </c>
      <c r="J7" s="315"/>
      <c r="K7" s="88"/>
      <c r="L7" s="319"/>
      <c r="M7" s="307" t="s">
        <v>192</v>
      </c>
      <c r="N7" s="319"/>
      <c r="O7" s="88"/>
      <c r="P7" s="88"/>
      <c r="Q7" s="88"/>
      <c r="R7" s="88"/>
      <c r="S7" s="88"/>
    </row>
    <row r="8" spans="1:19" ht="11.25" customHeight="1">
      <c r="A8" s="88"/>
      <c r="B8" s="598"/>
      <c r="C8" s="595" t="s">
        <v>0</v>
      </c>
      <c r="D8" s="587"/>
      <c r="E8" s="587"/>
      <c r="F8" s="587"/>
      <c r="G8" s="587"/>
      <c r="H8" s="587"/>
      <c r="I8" s="600"/>
      <c r="J8" s="587"/>
      <c r="K8" s="587"/>
      <c r="L8" s="588"/>
      <c r="M8" s="602"/>
      <c r="N8" s="588"/>
      <c r="O8" s="588"/>
      <c r="P8" s="589"/>
      <c r="Q8" s="88"/>
      <c r="R8" s="88"/>
      <c r="S8" s="88"/>
    </row>
    <row r="9" spans="1:19" ht="60" customHeight="1">
      <c r="A9" s="88"/>
      <c r="B9" s="585" t="s">
        <v>91</v>
      </c>
      <c r="C9" s="252" t="s">
        <v>193</v>
      </c>
      <c r="D9" s="586" t="s">
        <v>0</v>
      </c>
      <c r="E9" s="252" t="s">
        <v>194</v>
      </c>
      <c r="F9" s="586"/>
      <c r="G9" s="252" t="s">
        <v>96</v>
      </c>
      <c r="H9" s="586"/>
      <c r="I9" s="307" t="s">
        <v>101</v>
      </c>
      <c r="J9" s="587"/>
      <c r="K9" s="249" t="s">
        <v>211</v>
      </c>
      <c r="L9" s="588"/>
      <c r="M9" s="307" t="s">
        <v>195</v>
      </c>
      <c r="N9" s="588"/>
      <c r="O9" s="588"/>
      <c r="P9" s="589"/>
      <c r="Q9" s="88"/>
      <c r="R9" s="88"/>
      <c r="S9" s="88"/>
    </row>
    <row r="10" spans="1:19" ht="12" customHeight="1">
      <c r="A10" s="88"/>
      <c r="B10" s="590"/>
      <c r="C10" s="589"/>
      <c r="D10" s="589"/>
      <c r="E10" s="589"/>
      <c r="F10" s="589"/>
      <c r="G10" s="589"/>
      <c r="H10" s="589"/>
      <c r="I10" s="601"/>
      <c r="J10" s="589"/>
      <c r="K10" s="589"/>
      <c r="L10" s="589"/>
      <c r="M10" s="603"/>
      <c r="N10" s="589"/>
      <c r="O10" s="589"/>
      <c r="P10" s="589"/>
      <c r="Q10" s="88"/>
      <c r="R10" s="88"/>
      <c r="S10" s="88"/>
    </row>
    <row r="11" spans="1:19" ht="60" customHeight="1">
      <c r="A11" s="88"/>
      <c r="B11" s="320" t="s">
        <v>196</v>
      </c>
      <c r="C11" s="318"/>
      <c r="D11" s="315"/>
      <c r="E11" s="310" t="s">
        <v>197</v>
      </c>
      <c r="F11" s="315"/>
      <c r="G11" s="249" t="s">
        <v>198</v>
      </c>
      <c r="H11" s="315"/>
      <c r="I11" s="308" t="s">
        <v>199</v>
      </c>
      <c r="J11" s="315"/>
      <c r="K11" s="88"/>
      <c r="L11" s="319"/>
      <c r="M11" s="307" t="s">
        <v>200</v>
      </c>
      <c r="N11" s="319"/>
      <c r="O11" s="319"/>
      <c r="P11" s="88"/>
      <c r="Q11" s="88"/>
      <c r="R11" s="88"/>
      <c r="S11" s="88"/>
    </row>
    <row r="12" spans="1:19" ht="12" customHeight="1" thickBot="1">
      <c r="A12" s="88"/>
      <c r="B12" s="596"/>
      <c r="C12" s="597"/>
      <c r="D12" s="587"/>
      <c r="E12" s="594" t="s">
        <v>0</v>
      </c>
      <c r="F12" s="587"/>
      <c r="G12" s="587"/>
      <c r="H12" s="587"/>
      <c r="I12" s="604"/>
      <c r="J12" s="587"/>
      <c r="K12" s="587"/>
      <c r="L12" s="588"/>
      <c r="M12" s="605"/>
      <c r="N12" s="588"/>
      <c r="O12" s="588"/>
      <c r="P12" s="589"/>
      <c r="Q12" s="88"/>
      <c r="R12" s="88"/>
      <c r="S12" s="88"/>
    </row>
    <row r="13" spans="1:19" ht="60" customHeight="1">
      <c r="A13" s="88"/>
      <c r="B13" s="585" t="s">
        <v>201</v>
      </c>
      <c r="C13" s="249" t="s">
        <v>202</v>
      </c>
      <c r="D13" s="586" t="s">
        <v>0</v>
      </c>
      <c r="E13" s="249" t="s">
        <v>203</v>
      </c>
      <c r="F13" s="587"/>
      <c r="G13" s="587"/>
      <c r="H13" s="587"/>
      <c r="I13" s="587"/>
      <c r="J13" s="587"/>
      <c r="K13" s="249" t="s">
        <v>204</v>
      </c>
      <c r="L13" s="588"/>
      <c r="M13" s="589"/>
      <c r="N13" s="588"/>
      <c r="O13" s="249" t="s">
        <v>205</v>
      </c>
      <c r="P13" s="589"/>
      <c r="Q13" s="88"/>
      <c r="R13" s="88"/>
      <c r="S13" s="88"/>
    </row>
    <row r="14" spans="1:19" ht="11.25" customHeight="1">
      <c r="A14" s="88"/>
      <c r="B14" s="590"/>
      <c r="C14" s="593"/>
      <c r="D14" s="587"/>
      <c r="E14" s="594" t="s">
        <v>0</v>
      </c>
      <c r="F14" s="587"/>
      <c r="G14" s="587"/>
      <c r="H14" s="587"/>
      <c r="I14" s="595"/>
      <c r="J14" s="587"/>
      <c r="K14" s="587"/>
      <c r="L14" s="588"/>
      <c r="M14" s="588"/>
      <c r="N14" s="588"/>
      <c r="O14" s="588"/>
      <c r="P14" s="589"/>
      <c r="Q14" s="88"/>
      <c r="R14" s="88"/>
      <c r="S14" s="88"/>
    </row>
    <row r="15" spans="1:19" ht="60" customHeight="1">
      <c r="A15" s="88"/>
      <c r="B15" s="320" t="s">
        <v>206</v>
      </c>
      <c r="C15" s="249" t="s">
        <v>207</v>
      </c>
      <c r="D15" s="317" t="s">
        <v>0</v>
      </c>
      <c r="E15" s="88"/>
      <c r="F15" s="315"/>
      <c r="G15" s="315"/>
      <c r="H15" s="315"/>
      <c r="I15" s="315"/>
      <c r="J15" s="315"/>
      <c r="K15" s="88"/>
      <c r="L15" s="319"/>
      <c r="M15" s="88"/>
      <c r="N15" s="319"/>
      <c r="O15" s="249" t="s">
        <v>208</v>
      </c>
      <c r="P15" s="88"/>
      <c r="Q15" s="88"/>
      <c r="R15" s="88"/>
      <c r="S15" s="88"/>
    </row>
    <row r="16" spans="1:19" ht="12" customHeight="1">
      <c r="A16" s="88"/>
      <c r="B16" s="590"/>
      <c r="C16" s="593"/>
      <c r="D16" s="587"/>
      <c r="E16" s="594" t="s">
        <v>0</v>
      </c>
      <c r="F16" s="587"/>
      <c r="G16" s="587"/>
      <c r="H16" s="587"/>
      <c r="I16" s="595"/>
      <c r="J16" s="587"/>
      <c r="K16" s="587"/>
      <c r="L16" s="588"/>
      <c r="M16" s="588"/>
      <c r="N16" s="588"/>
      <c r="O16" s="588"/>
      <c r="P16" s="589"/>
      <c r="Q16" s="88"/>
      <c r="R16" s="88"/>
      <c r="S16" s="88"/>
    </row>
    <row r="17" spans="1:19" ht="60" customHeight="1">
      <c r="A17" s="88"/>
      <c r="B17" s="585" t="s">
        <v>209</v>
      </c>
      <c r="C17" s="589"/>
      <c r="D17" s="586" t="s">
        <v>0</v>
      </c>
      <c r="E17" s="589"/>
      <c r="F17" s="587"/>
      <c r="G17" s="587"/>
      <c r="H17" s="587"/>
      <c r="I17" s="587"/>
      <c r="J17" s="587"/>
      <c r="K17" s="589"/>
      <c r="L17" s="588"/>
      <c r="M17" s="589"/>
      <c r="N17" s="588"/>
      <c r="O17" s="249" t="s">
        <v>210</v>
      </c>
      <c r="P17" s="589"/>
      <c r="Q17" s="88"/>
      <c r="R17" s="88"/>
      <c r="S17" s="88"/>
    </row>
    <row r="18" spans="1:19" ht="9.75" customHeight="1">
      <c r="A18" s="88"/>
      <c r="B18" s="589"/>
      <c r="C18" s="589"/>
      <c r="D18" s="589"/>
      <c r="E18" s="589"/>
      <c r="F18" s="589"/>
      <c r="G18" s="589"/>
      <c r="H18" s="589"/>
      <c r="I18" s="589"/>
      <c r="J18" s="589"/>
      <c r="K18" s="589"/>
      <c r="L18" s="589"/>
      <c r="M18" s="589"/>
      <c r="N18" s="589"/>
      <c r="O18" s="589"/>
      <c r="P18" s="589"/>
      <c r="Q18" s="88"/>
      <c r="R18" s="88"/>
      <c r="S18" s="88"/>
    </row>
    <row r="19" spans="1:19">
      <c r="A19" s="88"/>
      <c r="B19" s="88"/>
      <c r="C19" s="88"/>
      <c r="D19" s="88"/>
      <c r="E19" s="88"/>
      <c r="F19" s="88"/>
      <c r="G19" s="88"/>
      <c r="H19" s="88"/>
      <c r="I19" s="88"/>
      <c r="J19" s="88"/>
      <c r="K19" s="88"/>
      <c r="L19" s="88"/>
      <c r="M19" s="88"/>
      <c r="N19" s="88"/>
      <c r="O19" s="88"/>
      <c r="P19" s="88"/>
      <c r="Q19" s="88"/>
      <c r="R19" s="88"/>
      <c r="S19" s="88"/>
    </row>
    <row r="20" spans="1:19" ht="84" customHeight="1">
      <c r="A20" s="88"/>
      <c r="B20" s="88"/>
      <c r="C20" s="88"/>
      <c r="D20" s="88"/>
      <c r="E20" s="88"/>
      <c r="F20" s="88"/>
      <c r="G20" s="88"/>
      <c r="H20" s="88"/>
      <c r="I20" s="88"/>
      <c r="J20" s="88"/>
      <c r="K20" s="88"/>
      <c r="L20" s="88"/>
      <c r="M20" s="88"/>
      <c r="N20" s="88"/>
      <c r="O20" s="88"/>
      <c r="P20" s="88"/>
      <c r="Q20" s="88"/>
      <c r="R20" s="88"/>
      <c r="S20" s="88"/>
    </row>
    <row r="21" spans="1:19">
      <c r="B21" s="88"/>
      <c r="C21" s="88"/>
      <c r="D21" s="88"/>
      <c r="E21" s="88"/>
      <c r="F21" s="88"/>
      <c r="G21" s="88"/>
      <c r="H21" s="88"/>
      <c r="I21" s="88"/>
      <c r="J21" s="88"/>
      <c r="K21" s="88"/>
      <c r="L21" s="88"/>
      <c r="M21" s="88"/>
      <c r="N21" s="88"/>
      <c r="O21" s="88"/>
      <c r="P21" s="88"/>
      <c r="Q21" s="88"/>
      <c r="R21" s="88"/>
      <c r="S21" s="88"/>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sheetPr codeName="Sheet4"/>
  <dimension ref="A1:L28"/>
  <sheetViews>
    <sheetView topLeftCell="C1" workbookViewId="0">
      <selection activeCell="G12" sqref="G12"/>
    </sheetView>
  </sheetViews>
  <sheetFormatPr defaultRowHeight="14.25"/>
  <cols>
    <col min="2" max="2" width="38.875" customWidth="1"/>
    <col min="3" max="3" width="18.375" customWidth="1"/>
    <col min="5" max="5" width="17.875" customWidth="1"/>
    <col min="6" max="6" width="2.75" customWidth="1"/>
    <col min="7" max="7" width="69.875" customWidth="1"/>
    <col min="8" max="8" width="2.75" customWidth="1"/>
  </cols>
  <sheetData>
    <row r="1" spans="1:12">
      <c r="A1" s="88"/>
      <c r="B1" s="88"/>
      <c r="C1" s="88"/>
      <c r="D1" s="88"/>
      <c r="E1" s="88"/>
      <c r="F1" s="88"/>
      <c r="G1" s="88"/>
      <c r="H1" s="88"/>
      <c r="I1" s="88"/>
      <c r="J1" s="88"/>
      <c r="K1" s="88"/>
      <c r="L1" s="88"/>
    </row>
    <row r="2" spans="1:12" s="23" customFormat="1" ht="54.75" customHeight="1">
      <c r="A2" s="88"/>
      <c r="B2" s="911" t="s">
        <v>528</v>
      </c>
      <c r="C2" s="911"/>
      <c r="D2" s="911"/>
      <c r="E2" s="911"/>
      <c r="F2" s="911"/>
      <c r="G2" s="911"/>
      <c r="H2" s="911"/>
      <c r="I2" s="88"/>
      <c r="J2" s="88"/>
      <c r="K2" s="88"/>
      <c r="L2" s="88"/>
    </row>
    <row r="3" spans="1:12" ht="36" customHeight="1">
      <c r="A3" s="88"/>
      <c r="B3" s="88"/>
      <c r="C3" s="295" t="s">
        <v>122</v>
      </c>
      <c r="D3" s="88"/>
      <c r="E3" s="295" t="s">
        <v>349</v>
      </c>
      <c r="F3" s="88"/>
      <c r="G3" s="759" t="s">
        <v>483</v>
      </c>
      <c r="H3" s="88"/>
      <c r="I3" s="88"/>
      <c r="J3" s="88"/>
      <c r="K3" s="88"/>
      <c r="L3" s="88"/>
    </row>
    <row r="4" spans="1:12" ht="18.75">
      <c r="A4" s="88"/>
      <c r="B4" s="294" t="s">
        <v>97</v>
      </c>
      <c r="C4" s="293" t="s">
        <v>520</v>
      </c>
      <c r="D4" s="88"/>
      <c r="E4" s="293" t="s">
        <v>531</v>
      </c>
      <c r="F4" s="88"/>
      <c r="G4" s="293" t="s">
        <v>532</v>
      </c>
      <c r="H4" s="822" t="str">
        <f>HYPERLINK("\\deqhq1\Rule_Resources\i\4-Caption.pdf","i")</f>
        <v>i</v>
      </c>
      <c r="I4" s="88"/>
      <c r="J4" s="88"/>
      <c r="K4" s="88"/>
      <c r="L4" s="88"/>
    </row>
    <row r="5" spans="1:12" ht="18.75">
      <c r="A5" s="88"/>
      <c r="B5" s="294" t="s">
        <v>126</v>
      </c>
      <c r="C5" s="293" t="s">
        <v>523</v>
      </c>
      <c r="D5" s="88"/>
      <c r="E5" s="88"/>
      <c r="F5" s="88"/>
      <c r="G5" s="88"/>
      <c r="H5" s="88"/>
      <c r="I5" s="88"/>
      <c r="J5" s="88"/>
      <c r="K5" s="88"/>
      <c r="L5" s="88"/>
    </row>
    <row r="6" spans="1:12" s="23" customFormat="1" ht="18.75">
      <c r="A6" s="88"/>
      <c r="B6" s="294" t="s">
        <v>110</v>
      </c>
      <c r="C6" s="293" t="s">
        <v>519</v>
      </c>
      <c r="D6" s="88"/>
      <c r="E6" s="88"/>
      <c r="F6" s="88"/>
      <c r="G6" s="841" t="s">
        <v>535</v>
      </c>
      <c r="H6" s="88"/>
      <c r="I6" s="88"/>
      <c r="J6" s="88"/>
      <c r="K6" s="88"/>
      <c r="L6" s="88"/>
    </row>
    <row r="7" spans="1:12" ht="18.75">
      <c r="A7" s="88"/>
      <c r="B7" s="294" t="s">
        <v>123</v>
      </c>
      <c r="C7" s="293" t="s">
        <v>281</v>
      </c>
      <c r="D7" s="88"/>
      <c r="E7" s="88"/>
      <c r="F7" s="88"/>
      <c r="G7" s="88"/>
      <c r="H7" s="88"/>
      <c r="I7" s="88"/>
      <c r="J7" s="88"/>
      <c r="K7" s="88"/>
      <c r="L7" s="88"/>
    </row>
    <row r="8" spans="1:12" ht="18.75">
      <c r="A8" s="88"/>
      <c r="B8" s="294" t="s">
        <v>124</v>
      </c>
      <c r="C8" s="293" t="s">
        <v>521</v>
      </c>
      <c r="D8" s="88"/>
      <c r="E8" s="88"/>
      <c r="F8" s="88"/>
      <c r="G8" s="88"/>
      <c r="H8" s="88"/>
      <c r="I8" s="88"/>
      <c r="J8" s="88"/>
      <c r="K8" s="88"/>
      <c r="L8" s="88"/>
    </row>
    <row r="9" spans="1:12" ht="18.75">
      <c r="A9" s="88"/>
      <c r="B9" s="294" t="s">
        <v>125</v>
      </c>
      <c r="C9" s="293" t="s">
        <v>111</v>
      </c>
      <c r="D9" s="88"/>
      <c r="E9" s="88"/>
      <c r="F9" s="88"/>
      <c r="G9" s="88"/>
      <c r="H9" s="88"/>
      <c r="I9" s="88"/>
      <c r="J9" s="88"/>
      <c r="K9" s="88"/>
      <c r="L9" s="88"/>
    </row>
    <row r="10" spans="1:12" ht="18.75">
      <c r="A10" s="88"/>
      <c r="B10" s="294" t="s">
        <v>109</v>
      </c>
      <c r="C10" s="293" t="s">
        <v>112</v>
      </c>
      <c r="D10" s="88"/>
      <c r="E10" s="88"/>
      <c r="F10" s="88"/>
      <c r="G10" s="88"/>
      <c r="H10" s="88"/>
      <c r="I10" s="88"/>
      <c r="J10" s="88"/>
      <c r="K10" s="88"/>
      <c r="L10" s="88"/>
    </row>
    <row r="11" spans="1:12" ht="18.75">
      <c r="A11" s="88"/>
      <c r="B11" s="294" t="s">
        <v>529</v>
      </c>
      <c r="C11" s="293" t="s">
        <v>522</v>
      </c>
      <c r="D11" s="88"/>
      <c r="E11" s="88"/>
      <c r="F11" s="88"/>
      <c r="G11" s="88"/>
      <c r="H11" s="88"/>
      <c r="I11" s="88"/>
      <c r="J11" s="88"/>
      <c r="K11" s="88"/>
      <c r="L11" s="88"/>
    </row>
    <row r="12" spans="1:12" ht="18.75">
      <c r="A12" s="88"/>
      <c r="B12" s="294" t="s">
        <v>108</v>
      </c>
      <c r="C12" s="293" t="s">
        <v>506</v>
      </c>
      <c r="D12" s="88"/>
      <c r="E12" s="88"/>
      <c r="F12" s="88"/>
      <c r="G12" s="88"/>
      <c r="H12" s="88"/>
      <c r="I12" s="88"/>
      <c r="J12" s="88"/>
      <c r="K12" s="88"/>
      <c r="L12" s="88"/>
    </row>
    <row r="13" spans="1:12" ht="18.75">
      <c r="A13" s="88"/>
      <c r="B13" s="294" t="s">
        <v>30</v>
      </c>
      <c r="C13" s="293" t="s">
        <v>346</v>
      </c>
      <c r="D13" s="88"/>
      <c r="E13" s="88"/>
      <c r="F13" s="88"/>
      <c r="G13" s="88"/>
      <c r="H13" s="88"/>
      <c r="I13" s="88"/>
      <c r="J13" s="88"/>
      <c r="K13" s="88"/>
      <c r="L13" s="88"/>
    </row>
    <row r="14" spans="1:12" s="23" customFormat="1" ht="18.75">
      <c r="A14" s="88"/>
      <c r="B14" s="294" t="s">
        <v>229</v>
      </c>
      <c r="C14" s="293" t="s">
        <v>524</v>
      </c>
      <c r="D14" s="88"/>
      <c r="E14" s="88"/>
      <c r="F14" s="88"/>
      <c r="G14" s="88"/>
      <c r="H14" s="88"/>
      <c r="I14" s="88"/>
      <c r="J14" s="88"/>
      <c r="K14" s="88"/>
      <c r="L14" s="88"/>
    </row>
    <row r="15" spans="1:12" ht="18.75">
      <c r="A15" s="88"/>
      <c r="B15" s="294" t="s">
        <v>120</v>
      </c>
      <c r="C15" s="293" t="s">
        <v>509</v>
      </c>
      <c r="D15" s="88"/>
      <c r="E15" s="88"/>
      <c r="F15" s="88"/>
      <c r="G15" s="88"/>
      <c r="H15" s="88"/>
      <c r="I15" s="88"/>
      <c r="J15" s="88"/>
      <c r="K15" s="88"/>
      <c r="L15" s="88"/>
    </row>
    <row r="16" spans="1:12" ht="18.75">
      <c r="A16" s="88"/>
      <c r="B16" s="294" t="s">
        <v>530</v>
      </c>
      <c r="C16" s="293" t="s">
        <v>525</v>
      </c>
      <c r="D16" s="88"/>
      <c r="E16" s="88"/>
      <c r="F16" s="88"/>
      <c r="G16" s="88"/>
      <c r="H16" s="88"/>
      <c r="I16" s="88"/>
      <c r="J16" s="88"/>
      <c r="K16" s="88"/>
      <c r="L16" s="88"/>
    </row>
    <row r="17" spans="1:12" ht="18.75">
      <c r="A17" s="88"/>
      <c r="B17" s="294" t="s">
        <v>127</v>
      </c>
      <c r="C17" s="293" t="s">
        <v>128</v>
      </c>
      <c r="D17" s="88" t="s">
        <v>484</v>
      </c>
      <c r="E17" s="910" t="s">
        <v>485</v>
      </c>
      <c r="F17" s="88"/>
      <c r="G17" s="88"/>
      <c r="H17" s="88"/>
      <c r="I17" s="88"/>
      <c r="J17" s="88"/>
      <c r="K17" s="88"/>
      <c r="L17" s="88"/>
    </row>
    <row r="18" spans="1:12" s="23" customFormat="1" ht="18.75">
      <c r="A18" s="88"/>
      <c r="B18" s="294" t="s">
        <v>129</v>
      </c>
      <c r="C18" s="293" t="s">
        <v>164</v>
      </c>
      <c r="D18" s="88"/>
      <c r="E18" s="910"/>
      <c r="F18" s="88"/>
      <c r="G18" s="88"/>
      <c r="H18" s="88"/>
      <c r="I18" s="88"/>
      <c r="J18" s="88"/>
      <c r="K18" s="88"/>
      <c r="L18" s="88"/>
    </row>
    <row r="19" spans="1:12" ht="18.75">
      <c r="A19" s="88"/>
      <c r="B19" s="294" t="s">
        <v>143</v>
      </c>
      <c r="C19" s="293" t="s">
        <v>144</v>
      </c>
      <c r="D19" s="88"/>
      <c r="E19" s="910"/>
      <c r="F19" s="88"/>
      <c r="G19" s="88"/>
      <c r="H19" s="88"/>
      <c r="I19" s="88"/>
      <c r="J19" s="88"/>
      <c r="K19" s="88"/>
      <c r="L19" s="88"/>
    </row>
    <row r="20" spans="1:12" ht="18.75">
      <c r="A20" s="88"/>
      <c r="B20" s="294" t="s">
        <v>163</v>
      </c>
      <c r="C20" s="293" t="s">
        <v>526</v>
      </c>
      <c r="D20" s="88"/>
      <c r="E20" s="88"/>
      <c r="F20" s="88"/>
      <c r="G20" s="88"/>
      <c r="H20" s="88"/>
      <c r="I20" s="88"/>
      <c r="J20" s="88"/>
      <c r="K20" s="88"/>
      <c r="L20" s="88"/>
    </row>
    <row r="21" spans="1:12" ht="18.75">
      <c r="A21" s="88"/>
      <c r="B21" s="294" t="s">
        <v>527</v>
      </c>
      <c r="C21" s="293" t="s">
        <v>347</v>
      </c>
      <c r="D21" s="88"/>
      <c r="E21" s="88"/>
      <c r="F21" s="88"/>
      <c r="G21" s="88"/>
      <c r="H21" s="88"/>
      <c r="I21" s="88"/>
      <c r="J21" s="88"/>
      <c r="K21" s="88"/>
      <c r="L21" s="88"/>
    </row>
    <row r="22" spans="1:12" ht="18.75">
      <c r="A22" s="88"/>
      <c r="B22" s="294" t="s">
        <v>490</v>
      </c>
      <c r="C22" s="293" t="s">
        <v>437</v>
      </c>
      <c r="D22" s="88"/>
      <c r="E22" s="88"/>
      <c r="F22" s="88"/>
      <c r="G22" s="88"/>
      <c r="H22" s="88"/>
      <c r="I22" s="88"/>
      <c r="J22" s="88"/>
      <c r="K22" s="88"/>
      <c r="L22" s="88"/>
    </row>
    <row r="23" spans="1:12">
      <c r="A23" s="88"/>
      <c r="B23" s="88"/>
      <c r="C23" s="88"/>
      <c r="D23" s="88"/>
      <c r="E23" s="88"/>
      <c r="F23" s="88"/>
      <c r="G23" s="88"/>
      <c r="H23" s="88"/>
      <c r="I23" s="88"/>
      <c r="J23" s="88"/>
      <c r="K23" s="88"/>
      <c r="L23" s="88"/>
    </row>
    <row r="24" spans="1:12">
      <c r="A24" s="88"/>
      <c r="B24" s="88"/>
      <c r="C24" s="88"/>
      <c r="D24" s="88"/>
      <c r="E24" s="88"/>
      <c r="F24" s="88"/>
      <c r="G24" s="88"/>
      <c r="H24" s="88"/>
      <c r="I24" s="88"/>
      <c r="J24" s="88"/>
      <c r="K24" s="88"/>
      <c r="L24" s="88"/>
    </row>
    <row r="25" spans="1:12">
      <c r="A25" s="88"/>
      <c r="B25" s="88"/>
      <c r="C25" s="88"/>
      <c r="D25" s="88"/>
      <c r="E25" s="88"/>
      <c r="F25" s="88"/>
      <c r="G25" s="88"/>
      <c r="H25" s="88"/>
      <c r="I25" s="88"/>
      <c r="J25" s="88"/>
      <c r="K25" s="88"/>
      <c r="L25" s="88"/>
    </row>
    <row r="26" spans="1:12">
      <c r="A26" s="88"/>
      <c r="B26" s="88"/>
      <c r="C26" s="88"/>
      <c r="D26" s="88"/>
      <c r="E26" s="88"/>
      <c r="F26" s="88"/>
      <c r="G26" s="88"/>
      <c r="H26" s="88"/>
      <c r="I26" s="88"/>
      <c r="J26" s="88"/>
      <c r="K26" s="88"/>
      <c r="L26" s="88"/>
    </row>
    <row r="27" spans="1:12" ht="199.5" customHeight="1">
      <c r="A27" s="88"/>
      <c r="B27" s="88"/>
      <c r="C27" s="88"/>
      <c r="D27" s="88"/>
      <c r="E27" s="88"/>
      <c r="F27" s="88"/>
      <c r="G27" s="88"/>
      <c r="H27" s="88"/>
      <c r="I27" s="88"/>
      <c r="J27" s="88"/>
      <c r="K27" s="88"/>
      <c r="L27" s="88"/>
    </row>
    <row r="28" spans="1:12">
      <c r="F28" s="88"/>
      <c r="H28" s="88"/>
      <c r="I28" s="88"/>
      <c r="J28" s="88"/>
      <c r="K28" s="88"/>
      <c r="L28" s="88"/>
    </row>
  </sheetData>
  <mergeCells count="2">
    <mergeCell ref="E17:E19"/>
    <mergeCell ref="B2:H2"/>
  </mergeCells>
  <dataValidations count="1">
    <dataValidation allowBlank="1" showInputMessage="1" showErrorMessage="1" promptTitle="ENTER CODE NAME" prompt="Enter the code name that is 6 characters or less for this rulemaking." sqref="E4:E5"/>
  </dataValidations>
  <hyperlinks>
    <hyperlink ref="G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67"/>
  <sheetViews>
    <sheetView workbookViewId="0"/>
  </sheetViews>
  <sheetFormatPr defaultRowHeight="14.25"/>
  <cols>
    <col min="2" max="2" width="36" customWidth="1"/>
    <col min="3" max="3" width="27.25" customWidth="1"/>
    <col min="4" max="4" width="4.625" customWidth="1"/>
    <col min="5" max="5" width="58.25" customWidth="1"/>
    <col min="6" max="6" width="25.875" customWidth="1"/>
  </cols>
  <sheetData>
    <row r="1" spans="1:13">
      <c r="A1" s="88"/>
      <c r="B1" s="88"/>
      <c r="C1" s="88"/>
      <c r="D1" s="88"/>
      <c r="E1" s="88"/>
      <c r="F1" s="88"/>
      <c r="G1" s="88"/>
      <c r="H1" s="88"/>
      <c r="I1" s="88"/>
      <c r="J1" s="88"/>
      <c r="K1" s="88"/>
      <c r="L1" s="88"/>
      <c r="M1" s="88"/>
    </row>
    <row r="2" spans="1:13" s="23" customFormat="1" ht="42" customHeight="1">
      <c r="A2" s="88"/>
      <c r="B2" s="679" t="s">
        <v>358</v>
      </c>
      <c r="C2" s="680">
        <f ca="1">TODAY()</f>
        <v>41575</v>
      </c>
      <c r="D2" s="88"/>
      <c r="E2" s="88"/>
      <c r="F2" s="88"/>
      <c r="G2" s="88"/>
      <c r="H2" s="88"/>
      <c r="I2" s="88"/>
      <c r="J2" s="88"/>
      <c r="K2" s="88"/>
      <c r="L2" s="88"/>
      <c r="M2" s="88"/>
    </row>
    <row r="3" spans="1:13" ht="18.75" thickBot="1">
      <c r="A3" s="88"/>
      <c r="B3" s="912" t="s">
        <v>356</v>
      </c>
      <c r="C3" s="912"/>
      <c r="D3" s="88"/>
      <c r="E3" s="678" t="s">
        <v>357</v>
      </c>
      <c r="F3" s="88"/>
      <c r="G3" s="88"/>
      <c r="H3" s="88"/>
      <c r="I3" s="88"/>
      <c r="J3" s="88"/>
      <c r="K3" s="88"/>
      <c r="L3" s="88"/>
      <c r="M3" s="88"/>
    </row>
    <row r="4" spans="1:13">
      <c r="A4" s="88"/>
      <c r="B4" s="675" t="str">
        <f>S.Hearing.1stCity</f>
        <v>LRAPA</v>
      </c>
      <c r="C4" s="676">
        <f>S.Hearing.1stDate</f>
        <v>41652</v>
      </c>
      <c r="D4" s="88"/>
      <c r="E4" s="760"/>
      <c r="F4" s="88"/>
      <c r="G4" s="88"/>
      <c r="H4" s="88"/>
      <c r="I4" s="88"/>
      <c r="J4" s="88"/>
      <c r="K4" s="88"/>
      <c r="L4" s="88"/>
      <c r="M4" s="88"/>
    </row>
    <row r="5" spans="1:13">
      <c r="A5" s="88"/>
      <c r="B5" s="675" t="str">
        <f>IF(S.Hearing.2ndInvolve="N","-blank -",S.Hearing.2ndCity)</f>
        <v>-blank -</v>
      </c>
      <c r="C5" s="677" t="str">
        <f>IF(S.Hearing.2ndInvolve="N","-blank -",S.Hearing.2ndDate)</f>
        <v>-blank -</v>
      </c>
      <c r="D5" s="88"/>
      <c r="E5" s="760"/>
      <c r="F5" s="88"/>
      <c r="G5" s="88"/>
      <c r="H5" s="88"/>
      <c r="I5" s="88"/>
      <c r="J5" s="88"/>
      <c r="K5" s="88"/>
      <c r="L5" s="88"/>
      <c r="M5" s="88"/>
    </row>
    <row r="6" spans="1:13">
      <c r="A6" s="88"/>
      <c r="B6" s="675" t="str">
        <f>IF(S.Hearing.3rdInvolve="N","-blank -",S.Hearing.3rdCity)</f>
        <v>-blank -</v>
      </c>
      <c r="C6" s="677" t="str">
        <f>IF(S.Hearing.3rdInvolve="N","-blank -",S.Hearing.3rdDate)</f>
        <v>-blank -</v>
      </c>
      <c r="D6" s="88"/>
      <c r="E6" s="760"/>
      <c r="F6" s="88"/>
      <c r="G6" s="88"/>
      <c r="H6" s="88"/>
      <c r="I6" s="88"/>
      <c r="J6" s="88"/>
      <c r="K6" s="88"/>
      <c r="L6" s="88"/>
      <c r="M6" s="88"/>
    </row>
    <row r="7" spans="1:13">
      <c r="A7" s="88"/>
      <c r="B7" s="675" t="str">
        <f>IF(S.Hearing.4thInvolve="N","-blank -",S.Hearing.4thCity)</f>
        <v>-blank -</v>
      </c>
      <c r="C7" s="677" t="str">
        <f>IF(S.Hearing.4thInvolve="N","-blank -",S.Hearing.4thDate)</f>
        <v>-blank -</v>
      </c>
      <c r="D7" s="88"/>
      <c r="E7" s="760"/>
      <c r="F7" s="88"/>
      <c r="G7" s="88"/>
      <c r="H7" s="88"/>
      <c r="I7" s="88"/>
      <c r="J7" s="88"/>
      <c r="K7" s="88"/>
      <c r="L7" s="88"/>
      <c r="M7" s="88"/>
    </row>
    <row r="8" spans="1:13">
      <c r="A8" s="88"/>
      <c r="B8" s="675" t="str">
        <f>IF(S.Hearing.5thInvolve="N","-blank -",S.Hearing.5thCity)</f>
        <v>-blank -</v>
      </c>
      <c r="C8" s="677" t="str">
        <f>IF(S.Hearing.5thInvolve="N","-blank -",S.Hearing.5thDate)</f>
        <v>-blank -</v>
      </c>
      <c r="D8" s="88"/>
      <c r="E8" s="760"/>
      <c r="F8" s="88"/>
      <c r="G8" s="88"/>
      <c r="H8" s="88"/>
      <c r="I8" s="88"/>
      <c r="J8" s="88"/>
      <c r="K8" s="88"/>
      <c r="L8" s="88"/>
      <c r="M8" s="88"/>
    </row>
    <row r="9" spans="1:13">
      <c r="A9" s="88"/>
      <c r="B9" s="675" t="str">
        <f>IF(S.Hearing.6thInvolve="N","-blank -",S.Hearing.6thCity)</f>
        <v>-blank -</v>
      </c>
      <c r="C9" s="677" t="str">
        <f>IF(S.Hearing.6thInvolve="N","-blank -",S.Hearing.6thDate)</f>
        <v>-blank -</v>
      </c>
      <c r="D9" s="88"/>
      <c r="E9" s="760"/>
      <c r="F9" s="88"/>
      <c r="G9" s="88"/>
      <c r="H9" s="88"/>
      <c r="I9" s="88"/>
      <c r="J9" s="88"/>
      <c r="K9" s="88"/>
      <c r="L9" s="88"/>
      <c r="M9" s="88"/>
    </row>
    <row r="10" spans="1:13">
      <c r="A10" s="88"/>
      <c r="B10" s="675" t="str">
        <f>IF(S.Hearing.7thInvolve="N","-blank -",S.Hearing.7thCity)</f>
        <v>-blank -</v>
      </c>
      <c r="C10" s="677" t="str">
        <f>IF(S.Hearing.7thInvolve="N","-blank -",S.Hearing.7thDate)</f>
        <v>-blank -</v>
      </c>
      <c r="D10" s="88"/>
      <c r="E10" s="760"/>
      <c r="F10" s="88"/>
      <c r="G10" s="88"/>
      <c r="H10" s="88"/>
      <c r="I10" s="88"/>
      <c r="J10" s="88"/>
      <c r="K10" s="88"/>
      <c r="L10" s="88"/>
      <c r="M10" s="88"/>
    </row>
    <row r="11" spans="1:13">
      <c r="A11" s="88"/>
      <c r="B11" s="675" t="str">
        <f>IF(S.Hearing.8thtInvolve="N","-blank -",S.Hearing.8thCity)</f>
        <v>-blank -</v>
      </c>
      <c r="C11" s="677" t="str">
        <f>IF(S.Hearing.8thtInvolve="N","-blank -",S.Hearing.8thDate)</f>
        <v>-blank -</v>
      </c>
      <c r="D11" s="88"/>
      <c r="E11" s="760"/>
      <c r="F11" s="88"/>
      <c r="G11" s="88"/>
      <c r="H11" s="88"/>
      <c r="I11" s="88"/>
      <c r="J11" s="88"/>
      <c r="K11" s="88"/>
      <c r="L11" s="88"/>
      <c r="M11" s="88"/>
    </row>
    <row r="12" spans="1:13">
      <c r="A12" s="88"/>
      <c r="B12" s="675"/>
      <c r="C12" s="675"/>
      <c r="D12" s="88"/>
      <c r="E12" s="681"/>
      <c r="F12" s="88"/>
      <c r="G12" s="88"/>
      <c r="H12" s="88"/>
      <c r="I12" s="88"/>
      <c r="J12" s="88"/>
      <c r="K12" s="88"/>
      <c r="L12" s="88"/>
      <c r="M12" s="88"/>
    </row>
    <row r="13" spans="1:13">
      <c r="A13" s="88"/>
      <c r="B13" s="675"/>
      <c r="C13" s="675"/>
      <c r="D13" s="88"/>
      <c r="E13" s="681"/>
      <c r="F13" s="88"/>
      <c r="G13" s="88"/>
      <c r="H13" s="88"/>
      <c r="I13" s="88"/>
      <c r="J13" s="88"/>
      <c r="K13" s="88"/>
      <c r="L13" s="88"/>
      <c r="M13" s="88"/>
    </row>
    <row r="14" spans="1:13">
      <c r="A14" s="88"/>
      <c r="B14" s="675"/>
      <c r="C14" s="675"/>
      <c r="D14" s="88"/>
      <c r="E14" s="681"/>
      <c r="F14" s="88"/>
      <c r="G14" s="88"/>
      <c r="H14" s="88"/>
      <c r="I14" s="88"/>
      <c r="J14" s="88"/>
      <c r="K14" s="88"/>
      <c r="L14" s="88"/>
      <c r="M14" s="88"/>
    </row>
    <row r="15" spans="1:13" ht="18.75" thickBot="1">
      <c r="A15" s="88"/>
      <c r="B15" s="912" t="s">
        <v>355</v>
      </c>
      <c r="C15" s="912"/>
      <c r="D15" s="88"/>
      <c r="E15" s="681"/>
      <c r="F15" s="88"/>
      <c r="G15" s="88"/>
      <c r="H15" s="88"/>
      <c r="I15" s="88"/>
      <c r="J15" s="88"/>
      <c r="K15" s="88"/>
      <c r="L15" s="88"/>
      <c r="M15" s="88"/>
    </row>
    <row r="16" spans="1:13">
      <c r="A16" s="88"/>
      <c r="B16" s="675" t="str">
        <f>S.Notice.AD.PubID1</f>
        <v>NOTICE.AD01.OREGONIAN</v>
      </c>
      <c r="C16" s="676">
        <f>S.Notice.AD.PubDate1</f>
        <v>41619</v>
      </c>
      <c r="D16" s="88"/>
      <c r="E16" s="760"/>
      <c r="F16" s="88"/>
      <c r="G16" s="88"/>
      <c r="H16" s="88"/>
      <c r="I16" s="88"/>
      <c r="J16" s="88"/>
      <c r="K16" s="88"/>
      <c r="L16" s="88"/>
      <c r="M16" s="88"/>
    </row>
    <row r="17" spans="1:13">
      <c r="A17" s="88"/>
      <c r="B17" s="675" t="str">
        <f>S.Notice.AD.PubID2</f>
        <v>NOTICE.AD02.REGISTERGUARD</v>
      </c>
      <c r="C17" s="676">
        <f>S.Notice.AD.PubDate2</f>
        <v>41619</v>
      </c>
      <c r="D17" s="88"/>
      <c r="E17" s="760"/>
      <c r="F17" s="88"/>
      <c r="G17" s="88"/>
      <c r="H17" s="88"/>
      <c r="I17" s="88"/>
      <c r="J17" s="88"/>
      <c r="K17" s="88"/>
      <c r="L17" s="88"/>
      <c r="M17" s="88"/>
    </row>
    <row r="18" spans="1:13">
      <c r="A18" s="88"/>
      <c r="B18" s="675" t="str">
        <f>S.Notice.AD.PubID3</f>
        <v>NOTICE.AD03.[Cottage Grove Sentinel]</v>
      </c>
      <c r="C18" s="676">
        <f>S.Notice.AD.PubDate3</f>
        <v>41619</v>
      </c>
      <c r="D18" s="88"/>
      <c r="E18" s="760"/>
      <c r="F18" s="88"/>
      <c r="G18" s="88"/>
      <c r="H18" s="88"/>
      <c r="I18" s="88"/>
      <c r="J18" s="88"/>
      <c r="K18" s="88"/>
      <c r="L18" s="88"/>
      <c r="M18" s="88"/>
    </row>
    <row r="19" spans="1:13">
      <c r="A19" s="88"/>
      <c r="B19" s="675" t="str">
        <f>S.Notice.AD.PubID4</f>
        <v>NOTICE.AD04.[Beacon]</v>
      </c>
      <c r="C19" s="676">
        <f>S.Notice.AD.PubDate4</f>
        <v>41619</v>
      </c>
      <c r="D19" s="88"/>
      <c r="E19" s="760"/>
      <c r="F19" s="88"/>
      <c r="G19" s="88"/>
      <c r="H19" s="88"/>
      <c r="I19" s="88"/>
      <c r="J19" s="88"/>
      <c r="K19" s="88"/>
      <c r="L19" s="88"/>
      <c r="M19" s="88"/>
    </row>
    <row r="20" spans="1:13">
      <c r="A20" s="88"/>
      <c r="B20" s="675" t="str">
        <f>S.Notice.AD.PubID5</f>
        <v>NOTICE.AD05.[INSERT NAME PUBLICATION]</v>
      </c>
      <c r="C20" s="676">
        <f>S.Notice.AD.PubDate5</f>
        <v>41619</v>
      </c>
      <c r="D20" s="88"/>
      <c r="E20" s="760"/>
      <c r="F20" s="88"/>
      <c r="G20" s="88"/>
      <c r="H20" s="88"/>
      <c r="I20" s="88"/>
      <c r="J20" s="88"/>
      <c r="K20" s="88"/>
      <c r="L20" s="88"/>
      <c r="M20" s="88"/>
    </row>
    <row r="21" spans="1:13">
      <c r="A21" s="88"/>
      <c r="B21" s="675" t="str">
        <f>S.Notice.AD.PubID6</f>
        <v>NOTICE.AD06.[INSERT NAME PUBLICATION]</v>
      </c>
      <c r="C21" s="676">
        <f>S.Notice.AD.PubDate6</f>
        <v>41619</v>
      </c>
      <c r="D21" s="88"/>
      <c r="E21" s="760"/>
      <c r="F21" s="88"/>
      <c r="G21" s="88"/>
      <c r="H21" s="88"/>
      <c r="I21" s="88"/>
      <c r="J21" s="88"/>
      <c r="K21" s="88"/>
      <c r="L21" s="88"/>
      <c r="M21" s="88"/>
    </row>
    <row r="22" spans="1:13">
      <c r="A22" s="88"/>
      <c r="B22" s="675" t="str">
        <f>S.Notice.AD.PubID7</f>
        <v>NOTICE.AD07.[INSERT NAME PUBLICATION]</v>
      </c>
      <c r="C22" s="676">
        <f>S.Notice.AD.PubDate7</f>
        <v>41619</v>
      </c>
      <c r="D22" s="88"/>
      <c r="E22" s="760"/>
      <c r="F22" s="88"/>
      <c r="G22" s="88"/>
      <c r="H22" s="88"/>
      <c r="I22" s="88"/>
      <c r="J22" s="88"/>
      <c r="K22" s="88"/>
      <c r="L22" s="88"/>
      <c r="M22" s="88"/>
    </row>
    <row r="23" spans="1:13">
      <c r="A23" s="88"/>
      <c r="B23" s="675" t="str">
        <f>S.Notice.AD.PubID8</f>
        <v>NOTICE.AD08.[INSERT NAME PUBLICATION]</v>
      </c>
      <c r="C23" s="676">
        <f>S.Notice.AD.PubDate8</f>
        <v>41619</v>
      </c>
      <c r="D23" s="88"/>
      <c r="E23" s="760"/>
      <c r="F23" s="88"/>
      <c r="G23" s="88"/>
      <c r="H23" s="88"/>
      <c r="I23" s="88"/>
      <c r="J23" s="88"/>
      <c r="K23" s="88"/>
      <c r="L23" s="88"/>
      <c r="M23" s="88"/>
    </row>
    <row r="24" spans="1:13">
      <c r="A24" s="88"/>
      <c r="B24" s="88"/>
      <c r="C24" s="88"/>
      <c r="D24" s="88"/>
      <c r="E24" s="88"/>
      <c r="F24" s="88"/>
      <c r="G24" s="88"/>
      <c r="H24" s="88"/>
      <c r="I24" s="88"/>
      <c r="J24" s="88"/>
      <c r="K24" s="88"/>
      <c r="L24" s="88"/>
      <c r="M24" s="88"/>
    </row>
    <row r="25" spans="1:13">
      <c r="A25" s="88"/>
      <c r="B25" s="88"/>
      <c r="C25" s="88"/>
      <c r="D25" s="88"/>
      <c r="E25" s="88"/>
      <c r="F25" s="88"/>
      <c r="G25" s="88"/>
      <c r="H25" s="88"/>
      <c r="I25" s="88"/>
      <c r="J25" s="88"/>
      <c r="K25" s="88"/>
      <c r="L25" s="88"/>
      <c r="M25" s="88"/>
    </row>
    <row r="26" spans="1:13">
      <c r="A26" s="88"/>
      <c r="B26" s="88"/>
      <c r="C26" s="88"/>
      <c r="D26" s="88"/>
      <c r="E26" s="88"/>
      <c r="F26" s="88"/>
      <c r="G26" s="88"/>
      <c r="H26" s="88"/>
      <c r="I26" s="88"/>
      <c r="J26" s="88"/>
      <c r="K26" s="88"/>
      <c r="L26" s="88"/>
      <c r="M26" s="88"/>
    </row>
    <row r="27" spans="1:13">
      <c r="A27" s="88"/>
      <c r="B27" s="88"/>
      <c r="C27" s="88"/>
      <c r="D27" s="88"/>
      <c r="E27" s="88"/>
      <c r="F27" s="88"/>
      <c r="G27" s="88"/>
      <c r="H27" s="88"/>
      <c r="I27" s="88"/>
      <c r="J27" s="88"/>
      <c r="K27" s="88"/>
      <c r="L27" s="88"/>
      <c r="M27" s="88"/>
    </row>
    <row r="28" spans="1:13">
      <c r="A28" s="88"/>
      <c r="B28" s="88"/>
      <c r="C28" s="88"/>
      <c r="D28" s="88"/>
      <c r="E28" s="88"/>
      <c r="F28" s="88"/>
      <c r="G28" s="88"/>
      <c r="H28" s="88"/>
      <c r="I28" s="88"/>
      <c r="J28" s="88"/>
      <c r="K28" s="88"/>
      <c r="L28" s="88"/>
      <c r="M28" s="88"/>
    </row>
    <row r="29" spans="1:13">
      <c r="A29" s="88"/>
      <c r="B29" s="88"/>
      <c r="C29" s="88"/>
      <c r="D29" s="88"/>
      <c r="E29" s="88"/>
      <c r="F29" s="88"/>
      <c r="G29" s="88"/>
      <c r="H29" s="88"/>
      <c r="I29" s="88"/>
      <c r="J29" s="88"/>
      <c r="K29" s="88"/>
      <c r="L29" s="88"/>
      <c r="M29" s="88"/>
    </row>
    <row r="30" spans="1:13">
      <c r="A30" s="88"/>
      <c r="B30" s="88"/>
      <c r="C30" s="88"/>
      <c r="D30" s="88"/>
      <c r="E30" s="88"/>
      <c r="F30" s="88"/>
      <c r="G30" s="88"/>
      <c r="H30" s="88"/>
      <c r="I30" s="88"/>
      <c r="J30" s="88"/>
      <c r="K30" s="88"/>
      <c r="L30" s="88"/>
      <c r="M30" s="88"/>
    </row>
    <row r="31" spans="1:13">
      <c r="A31" s="88"/>
      <c r="B31" s="88"/>
      <c r="C31" s="88"/>
      <c r="D31" s="88"/>
      <c r="E31" s="88"/>
      <c r="F31" s="88"/>
      <c r="G31" s="88"/>
      <c r="H31" s="88"/>
      <c r="I31" s="88"/>
      <c r="J31" s="88"/>
      <c r="K31" s="88"/>
      <c r="L31" s="88"/>
      <c r="M31" s="88"/>
    </row>
    <row r="32" spans="1:13">
      <c r="A32" s="88"/>
      <c r="B32" s="88"/>
      <c r="C32" s="88"/>
      <c r="D32" s="88"/>
      <c r="E32" s="88"/>
      <c r="F32" s="88"/>
      <c r="G32" s="88"/>
      <c r="H32" s="88"/>
      <c r="I32" s="88"/>
      <c r="J32" s="88"/>
      <c r="K32" s="88"/>
      <c r="L32" s="88"/>
      <c r="M32" s="88"/>
    </row>
    <row r="33" spans="1:13">
      <c r="A33" s="88"/>
      <c r="B33" s="88"/>
      <c r="C33" s="88"/>
      <c r="D33" s="88"/>
      <c r="E33" s="88"/>
      <c r="F33" s="88"/>
      <c r="G33" s="88"/>
      <c r="H33" s="88"/>
      <c r="I33" s="88"/>
      <c r="J33" s="88"/>
      <c r="K33" s="88"/>
      <c r="L33" s="88"/>
      <c r="M33" s="88"/>
    </row>
    <row r="34" spans="1:13">
      <c r="A34" s="88"/>
      <c r="B34" s="88"/>
      <c r="C34" s="88"/>
      <c r="D34" s="88"/>
      <c r="E34" s="88"/>
      <c r="F34" s="88"/>
      <c r="G34" s="88"/>
      <c r="H34" s="88"/>
      <c r="I34" s="88"/>
      <c r="J34" s="88"/>
      <c r="K34" s="88"/>
      <c r="L34" s="88"/>
      <c r="M34" s="88"/>
    </row>
    <row r="35" spans="1:13">
      <c r="A35" s="88"/>
      <c r="B35" s="88"/>
      <c r="C35" s="88"/>
      <c r="D35" s="88"/>
      <c r="E35" s="88"/>
      <c r="F35" s="88"/>
      <c r="G35" s="88"/>
      <c r="H35" s="88"/>
      <c r="I35" s="88"/>
      <c r="J35" s="88"/>
      <c r="K35" s="88"/>
      <c r="L35" s="88"/>
      <c r="M35" s="88"/>
    </row>
    <row r="36" spans="1:13">
      <c r="A36" s="88"/>
      <c r="B36" s="88"/>
      <c r="C36" s="88"/>
      <c r="D36" s="88"/>
      <c r="E36" s="88"/>
      <c r="F36" s="88"/>
      <c r="G36" s="88"/>
      <c r="H36" s="88"/>
      <c r="I36" s="88"/>
      <c r="J36" s="88"/>
      <c r="K36" s="88"/>
      <c r="L36" s="88"/>
      <c r="M36" s="88"/>
    </row>
    <row r="37" spans="1:13">
      <c r="A37" s="88"/>
      <c r="B37" s="88"/>
      <c r="C37" s="88"/>
      <c r="D37" s="88"/>
      <c r="E37" s="88"/>
      <c r="F37" s="88"/>
      <c r="G37" s="88"/>
      <c r="H37" s="88"/>
      <c r="I37" s="88"/>
      <c r="J37" s="88"/>
      <c r="K37" s="88"/>
      <c r="L37" s="88"/>
      <c r="M37" s="88"/>
    </row>
    <row r="38" spans="1:13">
      <c r="A38" s="88"/>
      <c r="B38" s="88"/>
      <c r="C38" s="88"/>
      <c r="D38" s="88"/>
      <c r="E38" s="88"/>
      <c r="F38" s="88"/>
      <c r="G38" s="88"/>
      <c r="H38" s="88"/>
      <c r="I38" s="88"/>
      <c r="J38" s="88"/>
      <c r="K38" s="88"/>
      <c r="L38" s="88"/>
      <c r="M38" s="88"/>
    </row>
    <row r="39" spans="1:13">
      <c r="A39" s="88"/>
      <c r="B39" s="88"/>
      <c r="C39" s="88"/>
      <c r="D39" s="88"/>
      <c r="E39" s="88"/>
      <c r="F39" s="88"/>
      <c r="G39" s="88"/>
      <c r="H39" s="88"/>
      <c r="I39" s="88"/>
      <c r="J39" s="88"/>
      <c r="K39" s="88"/>
      <c r="L39" s="88"/>
      <c r="M39" s="88"/>
    </row>
    <row r="40" spans="1:13">
      <c r="A40" s="88"/>
      <c r="B40" s="88"/>
      <c r="C40" s="88"/>
      <c r="D40" s="88"/>
      <c r="E40" s="88"/>
      <c r="F40" s="88"/>
      <c r="G40" s="88"/>
      <c r="H40" s="88"/>
      <c r="I40" s="88"/>
      <c r="J40" s="88"/>
      <c r="K40" s="88"/>
      <c r="L40" s="88"/>
      <c r="M40" s="88"/>
    </row>
    <row r="41" spans="1:13">
      <c r="A41" s="88"/>
      <c r="B41" s="88"/>
      <c r="C41" s="88"/>
      <c r="D41" s="88"/>
      <c r="E41" s="88"/>
      <c r="F41" s="88"/>
      <c r="G41" s="88"/>
      <c r="H41" s="88"/>
      <c r="I41" s="88"/>
      <c r="J41" s="88"/>
      <c r="K41" s="88"/>
      <c r="L41" s="88"/>
      <c r="M41" s="88"/>
    </row>
    <row r="42" spans="1:13">
      <c r="A42" s="88"/>
      <c r="B42" s="88"/>
      <c r="C42" s="88"/>
      <c r="D42" s="88"/>
      <c r="E42" s="88"/>
      <c r="F42" s="88"/>
      <c r="G42" s="88"/>
      <c r="H42" s="88"/>
      <c r="I42" s="88"/>
      <c r="J42" s="88"/>
      <c r="K42" s="88"/>
      <c r="L42" s="88"/>
      <c r="M42" s="88"/>
    </row>
    <row r="43" spans="1:13">
      <c r="A43" s="88"/>
      <c r="B43" s="88"/>
      <c r="C43" s="88"/>
      <c r="D43" s="88"/>
      <c r="E43" s="88"/>
      <c r="F43" s="88"/>
      <c r="G43" s="88"/>
      <c r="H43" s="88"/>
      <c r="I43" s="88"/>
      <c r="J43" s="88"/>
      <c r="K43" s="88"/>
      <c r="L43" s="88"/>
      <c r="M43" s="88"/>
    </row>
    <row r="44" spans="1:13">
      <c r="A44" s="88"/>
      <c r="B44" s="88"/>
      <c r="C44" s="88"/>
      <c r="D44" s="88"/>
      <c r="E44" s="88"/>
      <c r="F44" s="88"/>
      <c r="G44" s="88"/>
      <c r="H44" s="88"/>
      <c r="I44" s="88"/>
      <c r="J44" s="88"/>
      <c r="K44" s="88"/>
      <c r="L44" s="88"/>
      <c r="M44" s="88"/>
    </row>
    <row r="45" spans="1:13">
      <c r="A45" s="88"/>
      <c r="B45" s="88"/>
      <c r="C45" s="88"/>
      <c r="D45" s="88"/>
      <c r="E45" s="88"/>
      <c r="F45" s="88"/>
      <c r="G45" s="88"/>
      <c r="H45" s="88"/>
      <c r="I45" s="88"/>
      <c r="J45" s="88"/>
      <c r="K45" s="88"/>
      <c r="L45" s="88"/>
      <c r="M45" s="88"/>
    </row>
    <row r="46" spans="1:13">
      <c r="A46" s="88"/>
      <c r="B46" s="88"/>
      <c r="C46" s="88"/>
      <c r="D46" s="88"/>
      <c r="E46" s="88"/>
      <c r="F46" s="88"/>
      <c r="G46" s="88"/>
      <c r="H46" s="88"/>
      <c r="I46" s="88"/>
      <c r="J46" s="88"/>
      <c r="K46" s="88"/>
      <c r="L46" s="88"/>
      <c r="M46" s="88"/>
    </row>
    <row r="47" spans="1:13">
      <c r="A47" s="88"/>
      <c r="B47" s="88"/>
      <c r="C47" s="88"/>
      <c r="D47" s="88"/>
      <c r="E47" s="88"/>
      <c r="F47" s="88"/>
      <c r="G47" s="88"/>
      <c r="H47" s="88"/>
      <c r="I47" s="88"/>
      <c r="J47" s="88"/>
      <c r="K47" s="88"/>
      <c r="L47" s="88"/>
      <c r="M47" s="88"/>
    </row>
    <row r="48" spans="1:13">
      <c r="A48" s="88"/>
      <c r="B48" s="88"/>
      <c r="C48" s="88"/>
      <c r="D48" s="88"/>
      <c r="E48" s="88"/>
      <c r="F48" s="88"/>
      <c r="G48" s="88"/>
      <c r="H48" s="88"/>
      <c r="I48" s="88"/>
      <c r="J48" s="88"/>
      <c r="K48" s="88"/>
      <c r="L48" s="88"/>
      <c r="M48" s="88"/>
    </row>
    <row r="49" spans="1:13">
      <c r="A49" s="88"/>
      <c r="B49" s="88"/>
      <c r="C49" s="88"/>
      <c r="D49" s="88"/>
      <c r="E49" s="88"/>
      <c r="F49" s="88"/>
      <c r="G49" s="88"/>
      <c r="H49" s="88"/>
      <c r="I49" s="88"/>
      <c r="J49" s="88"/>
      <c r="K49" s="88"/>
      <c r="L49" s="88"/>
      <c r="M49" s="88"/>
    </row>
    <row r="50" spans="1:13">
      <c r="A50" s="88"/>
      <c r="B50" s="88"/>
      <c r="C50" s="88"/>
      <c r="D50" s="88"/>
      <c r="E50" s="88"/>
      <c r="F50" s="88"/>
      <c r="G50" s="88"/>
      <c r="H50" s="88"/>
      <c r="I50" s="88"/>
      <c r="J50" s="88"/>
      <c r="K50" s="88"/>
      <c r="L50" s="88"/>
      <c r="M50" s="88"/>
    </row>
    <row r="51" spans="1:13">
      <c r="A51" s="88"/>
      <c r="B51" s="88"/>
      <c r="C51" s="88"/>
      <c r="D51" s="88"/>
      <c r="E51" s="88"/>
      <c r="F51" s="88"/>
      <c r="G51" s="88"/>
      <c r="H51" s="88"/>
      <c r="I51" s="88"/>
      <c r="J51" s="88"/>
      <c r="K51" s="88"/>
      <c r="L51" s="88"/>
      <c r="M51" s="88"/>
    </row>
    <row r="52" spans="1:13">
      <c r="A52" s="88"/>
      <c r="B52" s="88"/>
      <c r="C52" s="88"/>
      <c r="D52" s="88"/>
      <c r="E52" s="88"/>
      <c r="F52" s="88"/>
      <c r="G52" s="88"/>
      <c r="H52" s="88"/>
      <c r="I52" s="88"/>
      <c r="J52" s="88"/>
      <c r="K52" s="88"/>
      <c r="L52" s="88"/>
      <c r="M52" s="88"/>
    </row>
    <row r="53" spans="1:13">
      <c r="A53" s="88"/>
      <c r="B53" s="88"/>
      <c r="C53" s="88"/>
      <c r="D53" s="88"/>
      <c r="E53" s="88"/>
      <c r="F53" s="88"/>
      <c r="G53" s="88"/>
      <c r="H53" s="88"/>
      <c r="I53" s="88"/>
      <c r="J53" s="88"/>
      <c r="K53" s="88"/>
      <c r="L53" s="88"/>
      <c r="M53" s="88"/>
    </row>
    <row r="54" spans="1:13">
      <c r="A54" s="88"/>
      <c r="B54" s="88"/>
      <c r="C54" s="88"/>
      <c r="D54" s="88"/>
      <c r="E54" s="88"/>
      <c r="F54" s="88"/>
      <c r="G54" s="88"/>
      <c r="H54" s="88"/>
      <c r="I54" s="88"/>
      <c r="J54" s="88"/>
      <c r="K54" s="88"/>
      <c r="L54" s="88"/>
      <c r="M54" s="88"/>
    </row>
    <row r="55" spans="1:13">
      <c r="A55" s="88"/>
      <c r="B55" s="88"/>
      <c r="C55" s="88"/>
      <c r="D55" s="88"/>
      <c r="E55" s="88"/>
      <c r="F55" s="88"/>
      <c r="G55" s="88"/>
      <c r="H55" s="88"/>
      <c r="I55" s="88"/>
      <c r="J55" s="88"/>
      <c r="K55" s="88"/>
      <c r="L55" s="88"/>
      <c r="M55" s="88"/>
    </row>
    <row r="56" spans="1:13">
      <c r="A56" s="88"/>
      <c r="B56" s="88"/>
      <c r="C56" s="88"/>
      <c r="D56" s="88"/>
      <c r="E56" s="88"/>
      <c r="F56" s="88"/>
      <c r="G56" s="88"/>
      <c r="H56" s="88"/>
      <c r="I56" s="88"/>
      <c r="J56" s="88"/>
      <c r="K56" s="88"/>
      <c r="L56" s="88"/>
      <c r="M56" s="88"/>
    </row>
    <row r="57" spans="1:13">
      <c r="A57" s="88"/>
      <c r="B57" s="88"/>
      <c r="C57" s="88"/>
      <c r="D57" s="88"/>
      <c r="E57" s="88"/>
      <c r="F57" s="88"/>
      <c r="G57" s="88"/>
      <c r="H57" s="88"/>
      <c r="I57" s="88"/>
      <c r="J57" s="88"/>
      <c r="K57" s="88"/>
      <c r="L57" s="88"/>
      <c r="M57" s="88"/>
    </row>
    <row r="58" spans="1:13">
      <c r="A58" s="88"/>
      <c r="B58" s="88"/>
      <c r="C58" s="88"/>
      <c r="D58" s="88"/>
      <c r="E58" s="88"/>
      <c r="F58" s="88"/>
      <c r="G58" s="88"/>
      <c r="H58" s="88"/>
      <c r="I58" s="88"/>
      <c r="J58" s="88"/>
      <c r="K58" s="88"/>
      <c r="L58" s="88"/>
      <c r="M58" s="88"/>
    </row>
    <row r="59" spans="1:13">
      <c r="A59" s="88"/>
      <c r="B59" s="88"/>
      <c r="C59" s="88"/>
      <c r="D59" s="88"/>
      <c r="E59" s="88"/>
      <c r="F59" s="88"/>
      <c r="G59" s="88"/>
      <c r="H59" s="88"/>
      <c r="I59" s="88"/>
      <c r="J59" s="88"/>
      <c r="K59" s="88"/>
      <c r="L59" s="88"/>
      <c r="M59" s="88"/>
    </row>
    <row r="60" spans="1:13">
      <c r="A60" s="88"/>
      <c r="B60" s="88"/>
      <c r="C60" s="88"/>
      <c r="D60" s="88"/>
      <c r="E60" s="88"/>
      <c r="F60" s="88"/>
      <c r="G60" s="88"/>
      <c r="H60" s="88"/>
      <c r="I60" s="88"/>
      <c r="J60" s="88"/>
      <c r="K60" s="88"/>
      <c r="L60" s="88"/>
      <c r="M60" s="88"/>
    </row>
    <row r="61" spans="1:13">
      <c r="A61" s="88"/>
      <c r="B61" s="88"/>
      <c r="C61" s="88"/>
      <c r="D61" s="88"/>
      <c r="E61" s="88"/>
      <c r="F61" s="88"/>
      <c r="G61" s="88"/>
      <c r="H61" s="88"/>
      <c r="I61" s="88"/>
      <c r="J61" s="88"/>
      <c r="K61" s="88"/>
      <c r="L61" s="88"/>
      <c r="M61" s="88"/>
    </row>
    <row r="62" spans="1:13">
      <c r="A62" s="88"/>
      <c r="B62" s="88"/>
      <c r="C62" s="88"/>
      <c r="D62" s="88"/>
      <c r="E62" s="88"/>
      <c r="F62" s="88"/>
      <c r="G62" s="88"/>
      <c r="H62" s="88"/>
      <c r="I62" s="88"/>
      <c r="J62" s="88"/>
      <c r="K62" s="88"/>
      <c r="L62" s="88"/>
      <c r="M62" s="88"/>
    </row>
    <row r="63" spans="1:13">
      <c r="A63" s="88"/>
      <c r="B63" s="88"/>
      <c r="C63" s="88"/>
      <c r="D63" s="88"/>
      <c r="E63" s="88"/>
      <c r="F63" s="88"/>
      <c r="G63" s="88"/>
      <c r="H63" s="88"/>
      <c r="I63" s="88"/>
      <c r="J63" s="88"/>
      <c r="K63" s="88"/>
      <c r="L63" s="88"/>
      <c r="M63" s="88"/>
    </row>
    <row r="64" spans="1:13">
      <c r="A64" s="88"/>
      <c r="B64" s="88"/>
      <c r="C64" s="88"/>
      <c r="D64" s="88"/>
      <c r="E64" s="88"/>
      <c r="F64" s="88"/>
      <c r="G64" s="88"/>
      <c r="H64" s="88"/>
      <c r="I64" s="88"/>
      <c r="J64" s="88"/>
      <c r="K64" s="88"/>
      <c r="L64" s="88"/>
      <c r="M64" s="88"/>
    </row>
    <row r="65" spans="1:13">
      <c r="A65" s="88"/>
      <c r="B65" s="88"/>
      <c r="C65" s="88"/>
      <c r="D65" s="88"/>
      <c r="E65" s="88"/>
      <c r="F65" s="88"/>
      <c r="G65" s="88"/>
      <c r="H65" s="88"/>
      <c r="I65" s="88"/>
      <c r="J65" s="88"/>
      <c r="K65" s="88"/>
      <c r="L65" s="88"/>
      <c r="M65" s="88"/>
    </row>
    <row r="66" spans="1:13">
      <c r="A66" s="88"/>
      <c r="B66" s="88"/>
      <c r="C66" s="88"/>
      <c r="D66" s="88"/>
      <c r="E66" s="88"/>
      <c r="F66" s="88"/>
      <c r="G66" s="88"/>
      <c r="H66" s="88"/>
      <c r="I66" s="88"/>
      <c r="J66" s="88"/>
      <c r="K66" s="88"/>
      <c r="L66" s="88"/>
      <c r="M66" s="88"/>
    </row>
    <row r="67" spans="1:13">
      <c r="A67" s="88"/>
      <c r="B67" s="88"/>
      <c r="C67" s="88"/>
    </row>
  </sheetData>
  <mergeCells count="2">
    <mergeCell ref="B15:C15"/>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753830D4D1F94CBB46C058B52F3F35" ma:contentTypeVersion="" ma:contentTypeDescription="Create a new document." ma:contentTypeScope="" ma:versionID="343cc7057351d162a9a355df52b814bf">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C94FEAA3-96F6-4321-AEB8-3958BD503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178</vt:i4>
      </vt:variant>
    </vt:vector>
  </HeadingPairs>
  <TitlesOfParts>
    <vt:vector size="185" baseType="lpstr">
      <vt:lpstr>DDLs</vt:lpstr>
      <vt:lpstr>ScheduleOfTasks</vt:lpstr>
      <vt:lpstr>ConditionalFormat</vt:lpstr>
      <vt:lpstr>AddToPlan</vt:lpstr>
      <vt:lpstr>Names</vt:lpstr>
      <vt:lpstr>Sheet1</vt:lpstr>
      <vt:lpstr>HearingAndAdDates</vt:lpstr>
      <vt:lpstr>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S.DDL_Bulletin</vt:lpstr>
      <vt:lpstr>S.DDL_DEQClosed</vt:lpstr>
      <vt:lpstr>S.DDL_EQCMeeting</vt:lpstr>
      <vt:lpstr>S.Default6</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S.EQC.DirReport</vt:lpstr>
      <vt:lpstr>S.EQC.FacHearing</vt:lpstr>
      <vt:lpstr>S.EQC.InfoItem</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S.Hearing.2ndCity</vt:lpstr>
      <vt:lpstr>S.Hearing.2ndDate</vt:lpstr>
      <vt:lpstr>S.Hearing.2ndInvolve</vt:lpstr>
      <vt:lpstr>S.Hearing.3rdCity</vt:lpstr>
      <vt:lpstr>S.Hearing.3rdDate</vt:lpstr>
      <vt:lpstr>S.Hearing.3rdInvolve</vt:lpstr>
      <vt:lpstr>S.Hearing.4thCity</vt:lpstr>
      <vt:lpstr>S.Hearing.4thDate</vt:lpstr>
      <vt:lpstr>S.Hearing.4thInvolve</vt:lpstr>
      <vt:lpstr>S.Hearing.5thCity</vt:lpstr>
      <vt:lpstr>S.Hearing.5thDate</vt:lpstr>
      <vt:lpstr>S.Hearing.5thInvolve</vt:lpstr>
      <vt:lpstr>S.Hearing.6thCity</vt:lpstr>
      <vt:lpstr>S.Hearing.6thDate</vt:lpstr>
      <vt:lpstr>S.Hearing.6thInvolve</vt:lpstr>
      <vt:lpstr>S.Hearing.7thCity</vt:lpstr>
      <vt:lpstr>S.Hearing.7thDate</vt:lpstr>
      <vt:lpstr>S.Hearing.7thInvolve</vt:lpstr>
      <vt:lpstr>S.Hearing.8thCity</vt:lpstr>
      <vt:lpstr>S.Hearing.8thDate</vt:lpstr>
      <vt:lpstr>S.Hearing.8thtInvolve</vt:lpstr>
      <vt:lpstr>S.Hearing.BANNER.Begin</vt:lpstr>
      <vt:lpstr>S.Hearing.BANNER.End</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S.Notice.DABriefing</vt:lpstr>
      <vt:lpstr>S.Notice.DASNotification</vt:lpstr>
      <vt:lpstr>S.Notice.EMAIL.RulePublication</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S.Notice.OpenComment</vt:lpstr>
      <vt:lpstr>S.Notice.PreviewBegin</vt:lpstr>
      <vt:lpstr>S.Notice.PreviewEnd</vt:lpstr>
      <vt:lpstr>S.Notice.StartDraft</vt:lpstr>
      <vt:lpstr>S.Notice.SubmitToSOS</vt:lpstr>
      <vt:lpstr>S.Overview.BANNER.End</vt:lpstr>
      <vt:lpstr>S.Overview.BANNER.Start</vt:lpstr>
      <vt:lpstr>S.Planning.AddConcepToPlanDate</vt:lpstr>
      <vt:lpstr>S.Planning.ApproveCommunicationsLoop2</vt:lpstr>
      <vt:lpstr>S.Planning.ApproveCommunicationsLoop3</vt:lpstr>
      <vt:lpstr>S.Planning.ApproveCommunicationsLoop4</vt:lpstr>
      <vt:lpstr>S.Planning.BANNER.Begin</vt:lpstr>
      <vt:lpstr>S.Planning.BANNER.End</vt:lpstr>
      <vt:lpstr>S.Planning.CommunicationsPlan</vt:lpstr>
      <vt:lpstr>S.Planning.DecisionToAddToPlan</vt:lpstr>
      <vt:lpstr>S.Planning.ExpandTeam</vt:lpstr>
      <vt:lpstr>S.Planning.MessageMap</vt:lpstr>
      <vt:lpstr>S.Planning.ProgramWebPage</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S.RuleDevelopmentLink</vt:lpstr>
      <vt:lpstr>S.SIP.End</vt:lpstr>
      <vt:lpstr>S.SIP.Involved</vt:lpstr>
      <vt:lpstr>S.SIP.Start</vt:lpstr>
      <vt:lpstr>S.Staff.AAG</vt:lpstr>
      <vt:lpstr>S.Staff.AgencyRulesCoordinator</vt:lpstr>
      <vt:lpstr>S.Staff.AssistDA</vt:lpstr>
      <vt:lpstr>S.Staff.Budget</vt:lpstr>
      <vt:lpstr>S.Staff.CheifPublicAffairsOfficer</vt:lpstr>
      <vt:lpstr>S.Staff.DA</vt:lpstr>
      <vt:lpstr>S.Staff.Director</vt:lpstr>
      <vt:lpstr>S.Staff.DivisionRulesCoordinator</vt:lpstr>
      <vt:lpstr>S.Staff.EQCAssistant</vt:lpstr>
      <vt:lpstr>S.Staff.Fiscal</vt:lpstr>
      <vt:lpstr>S.Staff.HearingsOfficer</vt:lpstr>
      <vt:lpstr>S.Staff.Lead</vt:lpstr>
      <vt:lpstr>S.Staff.LegislativeLiason</vt:lpstr>
      <vt:lpstr>S.Staff.Mgr</vt:lpstr>
      <vt:lpstr>S.Staff.OCOCommunication</vt:lpstr>
      <vt:lpstr>S.Staff.SIPCo</vt:lpstr>
      <vt:lpstr>S.Staff.Support</vt:lpstr>
      <vt:lpstr>S.Staff.TimeAccounting</vt:lpstr>
      <vt:lpstr>S.Staff.WebMaster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2013-10-24T15:59:05Z</cp:lastPrinted>
  <dcterms:created xsi:type="dcterms:W3CDTF">2012-04-11T21:44:01Z</dcterms:created>
  <dcterms:modified xsi:type="dcterms:W3CDTF">2013-10-29T00:31:04Z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0x010100D2753830D4D1F94CBB46C058B52F3F35</vt:lpwstr>
  </property>
</Properties>
</file>