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9" activeTab="19"/>
  </bookViews>
  <sheets>
    <sheet name="DDLs" sheetId="84" state="hidden" r:id="rId1"/>
    <sheet name="VersionControl" sheetId="120" state="hidden" r:id="rId2"/>
    <sheet name="Passwords" sheetId="121" state="hidden" r:id="rId3"/>
    <sheet name="Summary" sheetId="88" r:id="rId4"/>
    <sheet name="Workload" sheetId="119" state="hidden" r:id="rId5"/>
    <sheet name="1ProjectRecord" sheetId="89" r:id="rId6"/>
    <sheet name="2Risks" sheetId="90" r:id="rId7"/>
    <sheet name="3CoreTeam" sheetId="107" r:id="rId8"/>
    <sheet name="4Advisors" sheetId="108" r:id="rId9"/>
    <sheet name="5InterestedStaff" sheetId="109" r:id="rId10"/>
    <sheet name="6OtherDivisions" sheetId="106" r:id="rId11"/>
    <sheet name="7Regions" sheetId="105" r:id="rId12"/>
    <sheet name="8FinancialServices" sheetId="95" r:id="rId13"/>
    <sheet name="9OCO" sheetId="110" r:id="rId14"/>
    <sheet name="10OrgServices" sheetId="112" r:id="rId15"/>
    <sheet name="11TechServices" sheetId="113" r:id="rId16"/>
    <sheet name="12OCE" sheetId="117" r:id="rId17"/>
    <sheet name="13LEAD" sheetId="115" r:id="rId18"/>
    <sheet name="14Intergovernmental" sheetId="114" r:id="rId19"/>
    <sheet name="15CustomParticipants" sheetId="116" r:id="rId20"/>
  </sheets>
  <definedNames>
    <definedName name="P.1PlanYear">'1ProjectRecord'!$G$6</definedName>
    <definedName name="_xlnm.Print_Area" localSheetId="14">'10OrgServices'!$C$2:$Q$77</definedName>
    <definedName name="_xlnm.Print_Area" localSheetId="15">'11TechServices'!$C$2:$Q$61</definedName>
    <definedName name="_xlnm.Print_Area" localSheetId="16">'12OCE'!$C$2:$Q$29</definedName>
    <definedName name="_xlnm.Print_Area" localSheetId="17">'13LEAD'!$C$2:$Q$62</definedName>
    <definedName name="_xlnm.Print_Area" localSheetId="18">'14Intergovernmental'!$C$2:$Q$109</definedName>
    <definedName name="_xlnm.Print_Area" localSheetId="19">'15CustomParticipants'!$C$2:$Q$75</definedName>
    <definedName name="_xlnm.Print_Area" localSheetId="5">'1ProjectRecord'!$C$2:$S$24</definedName>
    <definedName name="_xlnm.Print_Area" localSheetId="6">'2Risks'!$C$2:$I$21</definedName>
    <definedName name="_xlnm.Print_Area" localSheetId="7">'3CoreTeam'!$C$2:$Q$53</definedName>
    <definedName name="_xlnm.Print_Area" localSheetId="8">'4Advisors'!$C$2:$Q$41</definedName>
    <definedName name="_xlnm.Print_Area" localSheetId="9">'5InterestedStaff'!$C$2:$Q$31</definedName>
    <definedName name="_xlnm.Print_Area" localSheetId="10">'6OtherDivisions'!$C$2:$Q$80</definedName>
    <definedName name="_xlnm.Print_Area" localSheetId="11">'7Regions'!$C$2:$Q$59</definedName>
    <definedName name="_xlnm.Print_Area" localSheetId="12">'8FinancialServices'!$C$2:$Q$61</definedName>
    <definedName name="_xlnm.Print_Area" localSheetId="13">'9OCO'!$C$2:$Q$61</definedName>
    <definedName name="_xlnm.Print_Area" localSheetId="3">Summary!$C$2:$R$36</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D34" i="88"/>
  <c r="D33"/>
  <c r="L30"/>
  <c r="L31"/>
  <c r="L32"/>
  <c r="L33"/>
  <c r="L34"/>
  <c r="L35"/>
  <c r="E35"/>
  <c r="E34"/>
  <c r="E33"/>
  <c r="E32"/>
  <c r="E31"/>
  <c r="E30"/>
  <c r="H7" i="89"/>
  <c r="G21" l="1"/>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6"/>
  <c r="H224"/>
  <c r="F225"/>
  <c r="F224"/>
  <c r="F223"/>
  <c r="F222"/>
  <c r="F221"/>
  <c r="F21"/>
  <c r="F20"/>
  <c r="H20"/>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88"/>
  <c r="I290"/>
  <c r="T15" i="117"/>
  <c r="F220" i="119"/>
  <c r="F219"/>
  <c r="F218"/>
  <c r="F217"/>
  <c r="F216"/>
  <c r="F215"/>
  <c r="F214"/>
  <c r="F213"/>
  <c r="F212"/>
  <c r="F211"/>
  <c r="F210"/>
  <c r="F209"/>
  <c r="F208"/>
  <c r="F207"/>
  <c r="F206"/>
  <c r="F205"/>
  <c r="F204"/>
  <c r="F203"/>
  <c r="F202"/>
  <c r="F201"/>
  <c r="F200"/>
  <c r="F199"/>
  <c r="F198"/>
  <c r="F197"/>
  <c r="F196"/>
  <c r="F195"/>
  <c r="F194"/>
  <c r="F193"/>
  <c r="F192"/>
  <c r="F191"/>
  <c r="F190"/>
  <c r="F189"/>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
  <c r="A5"/>
  <c r="A221"/>
  <c r="A222"/>
  <c r="A223"/>
  <c r="A224"/>
  <c r="A225"/>
  <c r="A6"/>
  <c r="A226"/>
  <c r="A227"/>
  <c r="B21"/>
  <c r="B5"/>
  <c r="B221"/>
  <c r="B222"/>
  <c r="B223"/>
  <c r="B224"/>
  <c r="B225"/>
  <c r="B6"/>
  <c r="B226"/>
  <c r="B227"/>
  <c r="A215"/>
  <c r="A216"/>
  <c r="A217"/>
  <c r="A218"/>
  <c r="A219"/>
  <c r="A220"/>
  <c r="A20"/>
  <c r="B215"/>
  <c r="B216"/>
  <c r="B217"/>
  <c r="B218"/>
  <c r="B219"/>
  <c r="B220"/>
  <c r="B20"/>
  <c r="A228"/>
  <c r="A229"/>
  <c r="A230"/>
  <c r="A231"/>
  <c r="A232"/>
  <c r="A233"/>
  <c r="A234"/>
  <c r="B228"/>
  <c r="B229"/>
  <c r="B230"/>
  <c r="B231"/>
  <c r="B232"/>
  <c r="B233"/>
  <c r="B234"/>
  <c r="A200"/>
  <c r="A201"/>
  <c r="A202"/>
  <c r="A203"/>
  <c r="A204"/>
  <c r="A205"/>
  <c r="A206"/>
  <c r="A207"/>
  <c r="A208"/>
  <c r="A209"/>
  <c r="B200"/>
  <c r="B201"/>
  <c r="B202"/>
  <c r="B203"/>
  <c r="B204"/>
  <c r="B205"/>
  <c r="B206"/>
  <c r="B207"/>
  <c r="B208"/>
  <c r="B209"/>
  <c r="A199"/>
  <c r="A210"/>
  <c r="A211"/>
  <c r="B199"/>
  <c r="B210"/>
  <c r="B211"/>
  <c r="A212"/>
  <c r="A213"/>
  <c r="A214"/>
  <c r="B212"/>
  <c r="B213"/>
  <c r="B214"/>
  <c r="A235"/>
  <c r="A236"/>
  <c r="A237"/>
  <c r="B235"/>
  <c r="B236"/>
  <c r="B237"/>
  <c r="A238"/>
  <c r="A239"/>
  <c r="A240"/>
  <c r="B238"/>
  <c r="B239"/>
  <c r="B240"/>
  <c r="F188"/>
  <c r="F187"/>
  <c r="F186"/>
  <c r="F185"/>
  <c r="F184"/>
  <c r="F183"/>
  <c r="F182"/>
  <c r="F181"/>
  <c r="F180"/>
  <c r="F179"/>
  <c r="F178"/>
  <c r="F177"/>
  <c r="F176"/>
  <c r="F175"/>
  <c r="F174"/>
  <c r="F173"/>
  <c r="F172"/>
  <c r="F171"/>
  <c r="F170"/>
  <c r="F169"/>
  <c r="F168"/>
  <c r="F167"/>
  <c r="F166"/>
  <c r="F165"/>
  <c r="A166"/>
  <c r="A167"/>
  <c r="A168"/>
  <c r="A169"/>
  <c r="A170"/>
  <c r="A171"/>
  <c r="A172"/>
  <c r="A173"/>
  <c r="A174"/>
  <c r="A175"/>
  <c r="A176"/>
  <c r="A177"/>
  <c r="B166"/>
  <c r="B167"/>
  <c r="B168"/>
  <c r="B169"/>
  <c r="B170"/>
  <c r="B171"/>
  <c r="B172"/>
  <c r="B173"/>
  <c r="B174"/>
  <c r="B175"/>
  <c r="B176"/>
  <c r="B177"/>
  <c r="A178"/>
  <c r="A179"/>
  <c r="A180"/>
  <c r="A181"/>
  <c r="A182"/>
  <c r="A183"/>
  <c r="A184"/>
  <c r="A185"/>
  <c r="A186"/>
  <c r="A187"/>
  <c r="A188"/>
  <c r="A189"/>
  <c r="B178"/>
  <c r="B179"/>
  <c r="B180"/>
  <c r="B181"/>
  <c r="B182"/>
  <c r="B183"/>
  <c r="B184"/>
  <c r="B185"/>
  <c r="B186"/>
  <c r="B187"/>
  <c r="B188"/>
  <c r="B189"/>
  <c r="F164"/>
  <c r="F163"/>
  <c r="F162"/>
  <c r="F161"/>
  <c r="F160"/>
  <c r="F159"/>
  <c r="F158"/>
  <c r="F157"/>
  <c r="F156"/>
  <c r="F155"/>
  <c r="F154"/>
  <c r="F153"/>
  <c r="F152"/>
  <c r="F151"/>
  <c r="F150"/>
  <c r="F149"/>
  <c r="F148"/>
  <c r="F147"/>
  <c r="F146"/>
  <c r="F145"/>
  <c r="F144"/>
  <c r="F143"/>
  <c r="F142"/>
  <c r="F141"/>
  <c r="F140"/>
  <c r="F139"/>
  <c r="F138"/>
  <c r="F137"/>
  <c r="F136"/>
  <c r="F135"/>
  <c r="F134"/>
  <c r="F133"/>
  <c r="A163"/>
  <c r="A164"/>
  <c r="A165"/>
  <c r="A190"/>
  <c r="B163"/>
  <c r="B164"/>
  <c r="B165"/>
  <c r="B190"/>
  <c r="A191"/>
  <c r="A192"/>
  <c r="A193"/>
  <c r="A194"/>
  <c r="B191"/>
  <c r="B192"/>
  <c r="B193"/>
  <c r="B194"/>
  <c r="A195"/>
  <c r="A196"/>
  <c r="A197"/>
  <c r="A198"/>
  <c r="B195"/>
  <c r="B196"/>
  <c r="B197"/>
  <c r="B198"/>
  <c r="F132"/>
  <c r="F131"/>
  <c r="F130"/>
  <c r="F19"/>
  <c r="F129"/>
  <c r="F128"/>
  <c r="F127"/>
  <c r="F18"/>
  <c r="F126"/>
  <c r="F125"/>
  <c r="F124"/>
  <c r="F17"/>
  <c r="F123"/>
  <c r="F122"/>
  <c r="F121"/>
  <c r="F120"/>
  <c r="A120"/>
  <c r="A121"/>
  <c r="A122"/>
  <c r="A123"/>
  <c r="A17"/>
  <c r="A124"/>
  <c r="A125"/>
  <c r="A126"/>
  <c r="A18"/>
  <c r="A127"/>
  <c r="A128"/>
  <c r="A129"/>
  <c r="B120"/>
  <c r="B121"/>
  <c r="B122"/>
  <c r="B123"/>
  <c r="B17"/>
  <c r="B124"/>
  <c r="B125"/>
  <c r="B126"/>
  <c r="B18"/>
  <c r="B127"/>
  <c r="B128"/>
  <c r="B129"/>
  <c r="A19"/>
  <c r="A130"/>
  <c r="A131"/>
  <c r="A132"/>
  <c r="A133"/>
  <c r="A134"/>
  <c r="A135"/>
  <c r="A136"/>
  <c r="A137"/>
  <c r="A138"/>
  <c r="A139"/>
  <c r="A140"/>
  <c r="B19"/>
  <c r="B130"/>
  <c r="B131"/>
  <c r="B132"/>
  <c r="B133"/>
  <c r="B134"/>
  <c r="B135"/>
  <c r="B136"/>
  <c r="B137"/>
  <c r="B138"/>
  <c r="B139"/>
  <c r="B140"/>
  <c r="A141"/>
  <c r="A142"/>
  <c r="A143"/>
  <c r="A144"/>
  <c r="A145"/>
  <c r="A146"/>
  <c r="A147"/>
  <c r="A148"/>
  <c r="A149"/>
  <c r="A150"/>
  <c r="A151"/>
  <c r="A152"/>
  <c r="B141"/>
  <c r="B142"/>
  <c r="B143"/>
  <c r="B144"/>
  <c r="B145"/>
  <c r="B146"/>
  <c r="B147"/>
  <c r="B148"/>
  <c r="B149"/>
  <c r="B150"/>
  <c r="B151"/>
  <c r="B152"/>
  <c r="F119"/>
  <c r="F118"/>
  <c r="F117"/>
  <c r="F116"/>
  <c r="F115"/>
  <c r="F114"/>
  <c r="F113"/>
  <c r="F16"/>
  <c r="F112"/>
  <c r="F111"/>
  <c r="F110"/>
  <c r="F109"/>
  <c r="F108"/>
  <c r="F107"/>
  <c r="F106"/>
  <c r="F105"/>
  <c r="F101"/>
  <c r="F104"/>
  <c r="F103"/>
  <c r="F102"/>
  <c r="F100"/>
  <c r="F99"/>
  <c r="F98"/>
  <c r="F97"/>
  <c r="F96"/>
  <c r="F95"/>
  <c r="F94"/>
  <c r="F93"/>
  <c r="F92"/>
  <c r="F91"/>
  <c r="F15"/>
  <c r="F14"/>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B162"/>
  <c r="B161"/>
  <c r="B160"/>
  <c r="B159"/>
  <c r="B158"/>
  <c r="B157"/>
  <c r="B156"/>
  <c r="B155"/>
  <c r="B154"/>
  <c r="B153"/>
  <c r="B119"/>
  <c r="B118"/>
  <c r="B117"/>
  <c r="B116"/>
  <c r="B115"/>
  <c r="B114"/>
  <c r="B113"/>
  <c r="B16"/>
  <c r="B112"/>
  <c r="B111"/>
  <c r="B110"/>
  <c r="B109"/>
  <c r="B108"/>
  <c r="B107"/>
  <c r="B106"/>
  <c r="B105"/>
  <c r="B104"/>
  <c r="B103"/>
  <c r="B102"/>
  <c r="B101"/>
  <c r="B100"/>
  <c r="B99"/>
  <c r="B98"/>
  <c r="B97"/>
  <c r="B96"/>
  <c r="B95"/>
  <c r="B94"/>
  <c r="B93"/>
  <c r="B92"/>
  <c r="B91"/>
  <c r="B15"/>
  <c r="B14"/>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13"/>
  <c r="B25"/>
  <c r="B24"/>
  <c r="B12"/>
  <c r="B11"/>
  <c r="B10"/>
  <c r="B23"/>
  <c r="B22"/>
  <c r="B9"/>
  <c r="B4"/>
  <c r="B8"/>
  <c r="B7"/>
  <c r="B3"/>
  <c r="F30"/>
  <c r="F29"/>
  <c r="F28"/>
  <c r="F27"/>
  <c r="F26"/>
  <c r="F13"/>
  <c r="F24"/>
  <c r="F25"/>
  <c r="A3"/>
  <c r="A7"/>
  <c r="A8"/>
  <c r="A4"/>
  <c r="A9"/>
  <c r="A22"/>
  <c r="A23"/>
  <c r="A10"/>
  <c r="A11"/>
  <c r="A12"/>
  <c r="A24"/>
  <c r="A25"/>
  <c r="A13"/>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14"/>
  <c r="A15"/>
  <c r="A91"/>
  <c r="A92"/>
  <c r="A93"/>
  <c r="A94"/>
  <c r="A95"/>
  <c r="A96"/>
  <c r="A97"/>
  <c r="A98"/>
  <c r="A99"/>
  <c r="A100"/>
  <c r="A101"/>
  <c r="A102"/>
  <c r="A103"/>
  <c r="A104"/>
  <c r="A105"/>
  <c r="A106"/>
  <c r="A107"/>
  <c r="A108"/>
  <c r="A109"/>
  <c r="A110"/>
  <c r="A111"/>
  <c r="A112"/>
  <c r="A16"/>
  <c r="A113"/>
  <c r="A114"/>
  <c r="A115"/>
  <c r="A116"/>
  <c r="A117"/>
  <c r="A118"/>
  <c r="A119"/>
  <c r="A153"/>
  <c r="A154"/>
  <c r="A155"/>
  <c r="A156"/>
  <c r="A157"/>
  <c r="A158"/>
  <c r="A159"/>
  <c r="A160"/>
  <c r="A161"/>
  <c r="A162"/>
  <c r="F12"/>
  <c r="F11"/>
  <c r="F10"/>
  <c r="F22"/>
  <c r="F23"/>
  <c r="F9"/>
  <c r="F4"/>
  <c r="F8"/>
  <c r="F7"/>
  <c r="F3"/>
  <c r="D25"/>
  <c r="D24"/>
  <c r="D23"/>
  <c r="D22"/>
  <c r="S48" i="105"/>
  <c r="G86" i="119" s="1"/>
  <c r="H86" s="1"/>
  <c r="H22" i="88"/>
  <c r="E22"/>
  <c r="T14" i="109"/>
  <c r="S14"/>
  <c r="U14" s="1"/>
  <c r="T16"/>
  <c r="S16"/>
  <c r="U16" s="1"/>
  <c r="T17"/>
  <c r="S17"/>
  <c r="U17" s="1"/>
  <c r="T15"/>
  <c r="S15"/>
  <c r="U15" s="1"/>
  <c r="T18"/>
  <c r="S18"/>
  <c r="U18" s="1"/>
  <c r="I291" i="119" l="1"/>
  <c r="I289"/>
  <c r="I272"/>
  <c r="J296"/>
  <c r="J279"/>
  <c r="J295"/>
  <c r="J280"/>
  <c r="G29"/>
  <c r="H29" s="1"/>
  <c r="I281"/>
  <c r="J273"/>
  <c r="G28"/>
  <c r="H28" s="1"/>
  <c r="I282"/>
  <c r="I265"/>
  <c r="G26"/>
  <c r="H26" s="1"/>
  <c r="I283"/>
  <c r="I266"/>
  <c r="I274"/>
  <c r="I275"/>
  <c r="I267"/>
  <c r="I86"/>
  <c r="J86"/>
  <c r="I277"/>
  <c r="J292"/>
  <c r="J284"/>
  <c r="J276"/>
  <c r="J268"/>
  <c r="J293"/>
  <c r="J285"/>
  <c r="J269"/>
  <c r="I270"/>
  <c r="J294"/>
  <c r="J278"/>
  <c r="I224"/>
  <c r="J224"/>
  <c r="G30"/>
  <c r="H30" s="1"/>
  <c r="G27"/>
  <c r="H27"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8" i="119"/>
  <c r="I28"/>
  <c r="I27"/>
  <c r="J27"/>
  <c r="J29"/>
  <c r="I29"/>
  <c r="J26"/>
  <c r="I26"/>
  <c r="I30"/>
  <c r="J30"/>
  <c r="U3" i="117"/>
  <c r="T3"/>
  <c r="S3"/>
  <c r="U2" i="113"/>
  <c r="T2"/>
  <c r="S2"/>
  <c r="D27" i="117"/>
  <c r="T25"/>
  <c r="S25"/>
  <c r="T24"/>
  <c r="S24"/>
  <c r="T23"/>
  <c r="S23"/>
  <c r="T22"/>
  <c r="S22"/>
  <c r="T18"/>
  <c r="S18"/>
  <c r="T17"/>
  <c r="S17"/>
  <c r="T16"/>
  <c r="S16"/>
  <c r="G190" i="119" s="1"/>
  <c r="H190" s="1"/>
  <c r="S15" i="117"/>
  <c r="E5"/>
  <c r="U5"/>
  <c r="T5"/>
  <c r="U25" l="1"/>
  <c r="G196" i="119"/>
  <c r="H196" s="1"/>
  <c r="J190"/>
  <c r="I190"/>
  <c r="U23" i="117"/>
  <c r="G194" i="119"/>
  <c r="H194" s="1"/>
  <c r="U15" i="117"/>
  <c r="G189" i="119"/>
  <c r="H189" s="1"/>
  <c r="U22" i="117"/>
  <c r="G193" i="119"/>
  <c r="H193" s="1"/>
  <c r="U18" i="117"/>
  <c r="G192" i="119"/>
  <c r="H192" s="1"/>
  <c r="U17" i="117"/>
  <c r="G191" i="119"/>
  <c r="H191" s="1"/>
  <c r="U24" i="117"/>
  <c r="G195" i="119"/>
  <c r="H195" s="1"/>
  <c r="U16" i="117"/>
  <c r="S7"/>
  <c r="T4"/>
  <c r="T6" s="1"/>
  <c r="S4"/>
  <c r="I195" i="119" l="1"/>
  <c r="J195"/>
  <c r="J189"/>
  <c r="I189"/>
  <c r="U4" i="117"/>
  <c r="H18" i="88" s="1"/>
  <c r="I193" i="119"/>
  <c r="J193"/>
  <c r="J196"/>
  <c r="I196"/>
  <c r="I192"/>
  <c r="J192"/>
  <c r="J191"/>
  <c r="I191"/>
  <c r="I194"/>
  <c r="J194"/>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6" i="119"/>
  <c r="H116" s="1"/>
  <c r="U23" i="110"/>
  <c r="G117" i="119"/>
  <c r="H117"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5" i="119" s="1"/>
  <c r="H5" s="1"/>
  <c r="T15" i="114"/>
  <c r="S15"/>
  <c r="G21" i="119" s="1"/>
  <c r="H21"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8" i="119" s="1"/>
  <c r="H198" s="1"/>
  <c r="T16" i="115"/>
  <c r="S16"/>
  <c r="G197" i="119" s="1"/>
  <c r="H197" s="1"/>
  <c r="E6" i="115"/>
  <c r="U5"/>
  <c r="T5"/>
  <c r="E18" i="88"/>
  <c r="U3" i="115"/>
  <c r="T3"/>
  <c r="S3"/>
  <c r="D17" i="88"/>
  <c r="D16"/>
  <c r="D15"/>
  <c r="U35" i="115" l="1"/>
  <c r="G208" i="119"/>
  <c r="H208" s="1"/>
  <c r="U58" i="115"/>
  <c r="G220" i="119"/>
  <c r="H220" s="1"/>
  <c r="U41" i="114"/>
  <c r="G232" i="119"/>
  <c r="H232" s="1"/>
  <c r="U66" i="114"/>
  <c r="G244" i="119"/>
  <c r="H244" s="1"/>
  <c r="U18" i="115"/>
  <c r="G199" i="119"/>
  <c r="H199" s="1"/>
  <c r="U41" i="115"/>
  <c r="G211" i="119"/>
  <c r="H211" s="1"/>
  <c r="U50" i="115"/>
  <c r="G215" i="119"/>
  <c r="H215" s="1"/>
  <c r="U65" i="114"/>
  <c r="G243" i="119"/>
  <c r="H243" s="1"/>
  <c r="I117"/>
  <c r="J117"/>
  <c r="J197"/>
  <c r="I197"/>
  <c r="U32" i="115"/>
  <c r="G205" i="119"/>
  <c r="H205" s="1"/>
  <c r="U39" i="115"/>
  <c r="G209" i="119"/>
  <c r="H209" s="1"/>
  <c r="U48" i="115"/>
  <c r="G213" i="119"/>
  <c r="H213" s="1"/>
  <c r="U55" i="115"/>
  <c r="G217" i="119"/>
  <c r="H217" s="1"/>
  <c r="U31" i="114"/>
  <c r="G6" i="119"/>
  <c r="H6" s="1"/>
  <c r="U47" i="114"/>
  <c r="G233" i="119"/>
  <c r="H233" s="1"/>
  <c r="U54" i="114"/>
  <c r="G237" i="119"/>
  <c r="H237" s="1"/>
  <c r="U70" i="114"/>
  <c r="G245" i="119"/>
  <c r="H245" s="1"/>
  <c r="U82" i="114"/>
  <c r="G252" i="119"/>
  <c r="H252" s="1"/>
  <c r="U89" i="114"/>
  <c r="G256" i="119"/>
  <c r="H256" s="1"/>
  <c r="U26" i="115"/>
  <c r="G204" i="119"/>
  <c r="H204" s="1"/>
  <c r="U18" i="114"/>
  <c r="G222" i="119"/>
  <c r="H222" s="1"/>
  <c r="U50" i="114"/>
  <c r="G236" i="119"/>
  <c r="H236" s="1"/>
  <c r="U81" i="114"/>
  <c r="G251" i="119"/>
  <c r="H251" s="1"/>
  <c r="U34" i="115"/>
  <c r="G207" i="119"/>
  <c r="H207" s="1"/>
  <c r="U17" i="114"/>
  <c r="G221" i="119"/>
  <c r="H221" s="1"/>
  <c r="U49" i="114"/>
  <c r="G235" i="119"/>
  <c r="H235" s="1"/>
  <c r="U80" i="114"/>
  <c r="G250" i="119"/>
  <c r="H250" s="1"/>
  <c r="I198"/>
  <c r="J198"/>
  <c r="U24" i="115"/>
  <c r="G202" i="119"/>
  <c r="H202" s="1"/>
  <c r="U33" i="115"/>
  <c r="G206" i="119"/>
  <c r="H206" s="1"/>
  <c r="U40" i="115"/>
  <c r="G210" i="119"/>
  <c r="H210" s="1"/>
  <c r="U49" i="115"/>
  <c r="G214" i="119"/>
  <c r="H214" s="1"/>
  <c r="U56" i="115"/>
  <c r="G218" i="119"/>
  <c r="H218" s="1"/>
  <c r="I5"/>
  <c r="J5"/>
  <c r="U23" i="114"/>
  <c r="G223" i="119"/>
  <c r="H223" s="1"/>
  <c r="U39" i="114"/>
  <c r="G230" i="119"/>
  <c r="H230" s="1"/>
  <c r="U48" i="114"/>
  <c r="G234" i="119"/>
  <c r="H234" s="1"/>
  <c r="U55" i="114"/>
  <c r="G238" i="119"/>
  <c r="H238" s="1"/>
  <c r="U64" i="114"/>
  <c r="G242" i="119"/>
  <c r="H242" s="1"/>
  <c r="U71" i="114"/>
  <c r="G246" i="119"/>
  <c r="H246" s="1"/>
  <c r="I249"/>
  <c r="J249"/>
  <c r="U86" i="114"/>
  <c r="G253" i="119"/>
  <c r="H253" s="1"/>
  <c r="U42" i="115"/>
  <c r="G212" i="119"/>
  <c r="H212" s="1"/>
  <c r="U25" i="114"/>
  <c r="G225" i="119"/>
  <c r="H225" s="1"/>
  <c r="U57" i="114"/>
  <c r="G240" i="119"/>
  <c r="H240" s="1"/>
  <c r="U88" i="114"/>
  <c r="G255" i="119"/>
  <c r="H255" s="1"/>
  <c r="I116"/>
  <c r="J116"/>
  <c r="U25" i="115"/>
  <c r="G203" i="119"/>
  <c r="H203" s="1"/>
  <c r="U57" i="115"/>
  <c r="G219" i="119"/>
  <c r="H219" s="1"/>
  <c r="U40" i="114"/>
  <c r="G231" i="119"/>
  <c r="H231" s="1"/>
  <c r="U72" i="114"/>
  <c r="G247" i="119"/>
  <c r="H247" s="1"/>
  <c r="U19" i="115"/>
  <c r="G200" i="119"/>
  <c r="H200" s="1"/>
  <c r="U51" i="115"/>
  <c r="G216" i="119"/>
  <c r="H216" s="1"/>
  <c r="U73" i="114"/>
  <c r="G248" i="119"/>
  <c r="H248" s="1"/>
  <c r="U56" i="114"/>
  <c r="G239" i="119"/>
  <c r="H239" s="1"/>
  <c r="U87" i="114"/>
  <c r="G254" i="119"/>
  <c r="H254" s="1"/>
  <c r="U23" i="115"/>
  <c r="G201" i="119"/>
  <c r="H201" s="1"/>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73" i="119" s="1"/>
  <c r="H173" s="1"/>
  <c r="T25" i="113"/>
  <c r="S25"/>
  <c r="T24"/>
  <c r="S24"/>
  <c r="T23"/>
  <c r="S23"/>
  <c r="T22"/>
  <c r="S22"/>
  <c r="T18"/>
  <c r="S18"/>
  <c r="T17"/>
  <c r="S17"/>
  <c r="T16"/>
  <c r="S16"/>
  <c r="G166" i="119" s="1"/>
  <c r="H166" s="1"/>
  <c r="T15" i="113"/>
  <c r="S15"/>
  <c r="G165" i="119" s="1"/>
  <c r="H165"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5" i="119" s="1"/>
  <c r="H135" s="1"/>
  <c r="T16" i="112"/>
  <c r="S16"/>
  <c r="T15"/>
  <c r="S15"/>
  <c r="U4"/>
  <c r="T4"/>
  <c r="U2"/>
  <c r="T2"/>
  <c r="S2"/>
  <c r="D13" i="88"/>
  <c r="D12"/>
  <c r="D11"/>
  <c r="D10"/>
  <c r="T27" i="109"/>
  <c r="S27"/>
  <c r="G34" i="119" s="1"/>
  <c r="H34" s="1"/>
  <c r="T26" i="109"/>
  <c r="S26"/>
  <c r="G33" i="119" s="1"/>
  <c r="H33" s="1"/>
  <c r="T25" i="109"/>
  <c r="S25"/>
  <c r="G32" i="119" s="1"/>
  <c r="H32" s="1"/>
  <c r="T24" i="109"/>
  <c r="S24"/>
  <c r="G31" i="119" s="1"/>
  <c r="H31" s="1"/>
  <c r="T13" i="109"/>
  <c r="S13"/>
  <c r="I216" i="119" l="1"/>
  <c r="J216"/>
  <c r="I219"/>
  <c r="J219"/>
  <c r="J234"/>
  <c r="I234"/>
  <c r="I202"/>
  <c r="J202"/>
  <c r="J222"/>
  <c r="I222"/>
  <c r="I211"/>
  <c r="J211"/>
  <c r="I165"/>
  <c r="J165"/>
  <c r="J231"/>
  <c r="I231"/>
  <c r="J238"/>
  <c r="I238"/>
  <c r="I235"/>
  <c r="J235"/>
  <c r="I236"/>
  <c r="J236"/>
  <c r="I6"/>
  <c r="J6"/>
  <c r="I215"/>
  <c r="J215"/>
  <c r="I239"/>
  <c r="J239"/>
  <c r="J212"/>
  <c r="I212"/>
  <c r="I242"/>
  <c r="J242"/>
  <c r="I210"/>
  <c r="J210"/>
  <c r="J250"/>
  <c r="I250"/>
  <c r="J251"/>
  <c r="I251"/>
  <c r="J256"/>
  <c r="I256"/>
  <c r="J233"/>
  <c r="I233"/>
  <c r="I209"/>
  <c r="J209"/>
  <c r="I244"/>
  <c r="J244"/>
  <c r="I218"/>
  <c r="J218"/>
  <c r="I221"/>
  <c r="J221"/>
  <c r="I245"/>
  <c r="J245"/>
  <c r="J220"/>
  <c r="I220"/>
  <c r="I33"/>
  <c r="J33"/>
  <c r="I31"/>
  <c r="J31"/>
  <c r="I241"/>
  <c r="J241"/>
  <c r="I254"/>
  <c r="J254"/>
  <c r="I200"/>
  <c r="J200"/>
  <c r="J203"/>
  <c r="I203"/>
  <c r="I225"/>
  <c r="J225"/>
  <c r="I246"/>
  <c r="J246"/>
  <c r="I230"/>
  <c r="J230"/>
  <c r="I214"/>
  <c r="J214"/>
  <c r="I207"/>
  <c r="J207"/>
  <c r="J204"/>
  <c r="I204"/>
  <c r="J237"/>
  <c r="I237"/>
  <c r="I213"/>
  <c r="J213"/>
  <c r="I199"/>
  <c r="J199"/>
  <c r="I208"/>
  <c r="J208"/>
  <c r="I34"/>
  <c r="J34"/>
  <c r="I201"/>
  <c r="J201"/>
  <c r="J240"/>
  <c r="I240"/>
  <c r="I217"/>
  <c r="J217"/>
  <c r="I135"/>
  <c r="J135"/>
  <c r="I173"/>
  <c r="J173"/>
  <c r="J253"/>
  <c r="I253"/>
  <c r="I205"/>
  <c r="J205"/>
  <c r="J248"/>
  <c r="I248"/>
  <c r="I255"/>
  <c r="J255"/>
  <c r="J206"/>
  <c r="I206"/>
  <c r="J252"/>
  <c r="I252"/>
  <c r="J232"/>
  <c r="I232"/>
  <c r="I32"/>
  <c r="J32"/>
  <c r="J229"/>
  <c r="I229"/>
  <c r="I247"/>
  <c r="J247"/>
  <c r="J223"/>
  <c r="I223"/>
  <c r="J243"/>
  <c r="I243"/>
  <c r="J166"/>
  <c r="I166"/>
  <c r="I228"/>
  <c r="J228"/>
  <c r="J227"/>
  <c r="I227"/>
  <c r="I226"/>
  <c r="J226"/>
  <c r="E24" i="88"/>
  <c r="E20"/>
  <c r="G13" i="119"/>
  <c r="H13" s="1"/>
  <c r="U18" i="113"/>
  <c r="G168" i="119"/>
  <c r="H168" s="1"/>
  <c r="U34" i="113"/>
  <c r="G176" i="119"/>
  <c r="H176" s="1"/>
  <c r="U50" i="113"/>
  <c r="G184" i="119"/>
  <c r="H184" s="1"/>
  <c r="U57" i="113"/>
  <c r="G188" i="119"/>
  <c r="H188" s="1"/>
  <c r="U22" i="112"/>
  <c r="G137" i="119"/>
  <c r="H137" s="1"/>
  <c r="U47" i="112"/>
  <c r="G149" i="119"/>
  <c r="H149" s="1"/>
  <c r="U17" i="113"/>
  <c r="G167" i="119"/>
  <c r="H167" s="1"/>
  <c r="U40" i="113"/>
  <c r="G179" i="119"/>
  <c r="H179" s="1"/>
  <c r="U18" i="112"/>
  <c r="G136" i="119"/>
  <c r="H136" s="1"/>
  <c r="U41" i="112"/>
  <c r="G148" i="119"/>
  <c r="H148" s="1"/>
  <c r="U66" i="112"/>
  <c r="G160" i="119"/>
  <c r="H160" s="1"/>
  <c r="U23" i="113"/>
  <c r="G170" i="119"/>
  <c r="H170" s="1"/>
  <c r="U32" i="113"/>
  <c r="G174" i="119"/>
  <c r="H174" s="1"/>
  <c r="U39" i="113"/>
  <c r="G178" i="119"/>
  <c r="H178" s="1"/>
  <c r="U48" i="113"/>
  <c r="G182" i="119"/>
  <c r="H182" s="1"/>
  <c r="U55" i="113"/>
  <c r="G186" i="119"/>
  <c r="H186" s="1"/>
  <c r="U24" i="113"/>
  <c r="G171" i="119"/>
  <c r="H171" s="1"/>
  <c r="U50" i="112"/>
  <c r="G152" i="119"/>
  <c r="H152" s="1"/>
  <c r="U24" i="112"/>
  <c r="G139" i="119"/>
  <c r="H139" s="1"/>
  <c r="U33" i="112"/>
  <c r="G143" i="119"/>
  <c r="H143" s="1"/>
  <c r="U40" i="112"/>
  <c r="G147" i="119"/>
  <c r="H147" s="1"/>
  <c r="U49" i="112"/>
  <c r="G151" i="119"/>
  <c r="H151" s="1"/>
  <c r="U56" i="112"/>
  <c r="G155" i="119"/>
  <c r="H155" s="1"/>
  <c r="U65" i="112"/>
  <c r="G159" i="119"/>
  <c r="H159" s="1"/>
  <c r="U72" i="112"/>
  <c r="G163" i="119"/>
  <c r="H163" s="1"/>
  <c r="U25" i="113"/>
  <c r="G172" i="119"/>
  <c r="H172" s="1"/>
  <c r="S7" i="112"/>
  <c r="G133" i="119"/>
  <c r="H133" s="1"/>
  <c r="U38" i="112"/>
  <c r="G145" i="119"/>
  <c r="H145" s="1"/>
  <c r="U63" i="112"/>
  <c r="G157" i="119"/>
  <c r="H157" s="1"/>
  <c r="U49" i="113"/>
  <c r="G183" i="119"/>
  <c r="H183" s="1"/>
  <c r="U34" i="112"/>
  <c r="G144" i="119"/>
  <c r="H144" s="1"/>
  <c r="U73" i="112"/>
  <c r="G164" i="119"/>
  <c r="H164" s="1"/>
  <c r="U38" i="113"/>
  <c r="G177" i="119"/>
  <c r="H177" s="1"/>
  <c r="U47" i="113"/>
  <c r="G181" i="119"/>
  <c r="H181" s="1"/>
  <c r="U54" i="113"/>
  <c r="G185" i="119"/>
  <c r="H185" s="1"/>
  <c r="U41" i="113"/>
  <c r="G180" i="119"/>
  <c r="H180" s="1"/>
  <c r="U31" i="112"/>
  <c r="G141" i="119"/>
  <c r="H141" s="1"/>
  <c r="U54" i="112"/>
  <c r="G153" i="119"/>
  <c r="H153" s="1"/>
  <c r="U70" i="112"/>
  <c r="G161" i="119"/>
  <c r="H161" s="1"/>
  <c r="U33" i="113"/>
  <c r="G175" i="119"/>
  <c r="H175" s="1"/>
  <c r="U56" i="113"/>
  <c r="G187" i="119"/>
  <c r="H187" s="1"/>
  <c r="U25" i="112"/>
  <c r="G140" i="119"/>
  <c r="H140" s="1"/>
  <c r="U57" i="112"/>
  <c r="G156" i="119"/>
  <c r="H156" s="1"/>
  <c r="U22" i="113"/>
  <c r="G169" i="119"/>
  <c r="H169" s="1"/>
  <c r="U16" i="112"/>
  <c r="G134" i="119"/>
  <c r="H134" s="1"/>
  <c r="U23" i="112"/>
  <c r="G138" i="119"/>
  <c r="H138" s="1"/>
  <c r="U32" i="112"/>
  <c r="G142" i="119"/>
  <c r="H142" s="1"/>
  <c r="U39" i="112"/>
  <c r="G146" i="119"/>
  <c r="H146" s="1"/>
  <c r="U48" i="112"/>
  <c r="G150" i="119"/>
  <c r="H150" s="1"/>
  <c r="U55" i="112"/>
  <c r="G154" i="119"/>
  <c r="H154" s="1"/>
  <c r="U64" i="112"/>
  <c r="G158" i="119"/>
  <c r="H158" s="1"/>
  <c r="U71" i="112"/>
  <c r="G162" i="119"/>
  <c r="H162"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4" i="119" s="1"/>
  <c r="H114"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23" i="119" s="1"/>
  <c r="H23" s="1"/>
  <c r="T43" i="107"/>
  <c r="S43"/>
  <c r="G22" i="119" s="1"/>
  <c r="H22" s="1"/>
  <c r="T37" i="107"/>
  <c r="S37"/>
  <c r="G9" i="119" s="1"/>
  <c r="H9" s="1"/>
  <c r="T31" i="107"/>
  <c r="S31"/>
  <c r="G4" i="119" s="1"/>
  <c r="H4" s="1"/>
  <c r="T19" i="107"/>
  <c r="S19"/>
  <c r="G7" i="119" s="1"/>
  <c r="H7" s="1"/>
  <c r="S13" i="107"/>
  <c r="T13"/>
  <c r="T25"/>
  <c r="S25"/>
  <c r="G8" i="119" s="1"/>
  <c r="H8" s="1"/>
  <c r="U4" i="107"/>
  <c r="T4"/>
  <c r="U2"/>
  <c r="T2"/>
  <c r="S2"/>
  <c r="T75" i="106"/>
  <c r="S75"/>
  <c r="T74"/>
  <c r="S74"/>
  <c r="T73"/>
  <c r="S73"/>
  <c r="T72"/>
  <c r="S72"/>
  <c r="T67"/>
  <c r="S67"/>
  <c r="T66"/>
  <c r="S66"/>
  <c r="T65"/>
  <c r="S65"/>
  <c r="T64"/>
  <c r="S64"/>
  <c r="G59" i="119" s="1"/>
  <c r="H59" s="1"/>
  <c r="S2" i="106"/>
  <c r="U2"/>
  <c r="T2"/>
  <c r="T57"/>
  <c r="S57"/>
  <c r="T56"/>
  <c r="S56"/>
  <c r="T55"/>
  <c r="S55"/>
  <c r="G56" i="119" s="1"/>
  <c r="H56" s="1"/>
  <c r="T54" i="106"/>
  <c r="S54"/>
  <c r="T50"/>
  <c r="S50"/>
  <c r="T49"/>
  <c r="S49"/>
  <c r="T48"/>
  <c r="S48"/>
  <c r="T47"/>
  <c r="S47"/>
  <c r="G51" i="119" s="1"/>
  <c r="H51" s="1"/>
  <c r="T40" i="106"/>
  <c r="S40"/>
  <c r="T39"/>
  <c r="S39"/>
  <c r="T38"/>
  <c r="S38"/>
  <c r="T37"/>
  <c r="S37"/>
  <c r="T33"/>
  <c r="S33"/>
  <c r="T32"/>
  <c r="S32"/>
  <c r="T31"/>
  <c r="S31"/>
  <c r="T30"/>
  <c r="S30"/>
  <c r="G43" i="119" s="1"/>
  <c r="H43" s="1"/>
  <c r="T23" i="106"/>
  <c r="S23"/>
  <c r="T22"/>
  <c r="S22"/>
  <c r="T21"/>
  <c r="S21"/>
  <c r="T20"/>
  <c r="S20"/>
  <c r="T16"/>
  <c r="S16"/>
  <c r="T15"/>
  <c r="S15"/>
  <c r="T14"/>
  <c r="S14"/>
  <c r="T13"/>
  <c r="S13"/>
  <c r="G35" i="119" s="1"/>
  <c r="H35" s="1"/>
  <c r="U4" i="106"/>
  <c r="T4"/>
  <c r="T5" i="95"/>
  <c r="U5"/>
  <c r="U3"/>
  <c r="T3"/>
  <c r="S3"/>
  <c r="J114" i="119" l="1"/>
  <c r="I114"/>
  <c r="I138"/>
  <c r="J138"/>
  <c r="I148"/>
  <c r="J148"/>
  <c r="J156"/>
  <c r="I156"/>
  <c r="I155"/>
  <c r="J155"/>
  <c r="I23"/>
  <c r="J23"/>
  <c r="J59"/>
  <c r="I59"/>
  <c r="I154"/>
  <c r="J154"/>
  <c r="I181"/>
  <c r="J181"/>
  <c r="I35"/>
  <c r="J35"/>
  <c r="I161"/>
  <c r="J161"/>
  <c r="J133"/>
  <c r="I133"/>
  <c r="I160"/>
  <c r="J160"/>
  <c r="I4"/>
  <c r="J4"/>
  <c r="J162"/>
  <c r="I162"/>
  <c r="J146"/>
  <c r="I146"/>
  <c r="I169"/>
  <c r="J169"/>
  <c r="I164"/>
  <c r="J164"/>
  <c r="I145"/>
  <c r="J145"/>
  <c r="I159"/>
  <c r="J159"/>
  <c r="I143"/>
  <c r="J143"/>
  <c r="I22"/>
  <c r="J22"/>
  <c r="I153"/>
  <c r="J153"/>
  <c r="I152"/>
  <c r="J152"/>
  <c r="J51"/>
  <c r="I51"/>
  <c r="J142"/>
  <c r="I142"/>
  <c r="I185"/>
  <c r="J185"/>
  <c r="I139"/>
  <c r="J139"/>
  <c r="I140"/>
  <c r="J140"/>
  <c r="I151"/>
  <c r="J151"/>
  <c r="J149"/>
  <c r="I149"/>
  <c r="J43"/>
  <c r="I43"/>
  <c r="I158"/>
  <c r="J158"/>
  <c r="I144"/>
  <c r="J144"/>
  <c r="J150"/>
  <c r="I150"/>
  <c r="I134"/>
  <c r="J134"/>
  <c r="J141"/>
  <c r="I141"/>
  <c r="I177"/>
  <c r="J177"/>
  <c r="J157"/>
  <c r="I157"/>
  <c r="I163"/>
  <c r="J163"/>
  <c r="J147"/>
  <c r="I147"/>
  <c r="I136"/>
  <c r="J136"/>
  <c r="I137"/>
  <c r="J137"/>
  <c r="I167"/>
  <c r="J167"/>
  <c r="I168"/>
  <c r="J168"/>
  <c r="I170"/>
  <c r="J170"/>
  <c r="J172"/>
  <c r="I172"/>
  <c r="I171"/>
  <c r="J171"/>
  <c r="I175"/>
  <c r="J175"/>
  <c r="I176"/>
  <c r="J176"/>
  <c r="J174"/>
  <c r="I174"/>
  <c r="J180"/>
  <c r="I180"/>
  <c r="I179"/>
  <c r="J179"/>
  <c r="I178"/>
  <c r="J178"/>
  <c r="I183"/>
  <c r="J183"/>
  <c r="J182"/>
  <c r="I182"/>
  <c r="J184"/>
  <c r="I184"/>
  <c r="J186"/>
  <c r="I186"/>
  <c r="J187"/>
  <c r="I187"/>
  <c r="J188"/>
  <c r="I188"/>
  <c r="I56"/>
  <c r="J56"/>
  <c r="H24" i="88"/>
  <c r="H20"/>
  <c r="S4" i="114"/>
  <c r="M4" s="1"/>
  <c r="G24" i="119"/>
  <c r="H24" s="1"/>
  <c r="G25"/>
  <c r="H25" s="1"/>
  <c r="U66" i="106"/>
  <c r="G61" i="119"/>
  <c r="H61" s="1"/>
  <c r="U33" i="106"/>
  <c r="G46" i="119"/>
  <c r="H46" s="1"/>
  <c r="U57" i="106"/>
  <c r="G58" i="119"/>
  <c r="H58" s="1"/>
  <c r="U24" i="110"/>
  <c r="G118" i="119"/>
  <c r="H118" s="1"/>
  <c r="U49" i="110"/>
  <c r="G128" i="119"/>
  <c r="H128" s="1"/>
  <c r="U15" i="106"/>
  <c r="G37" i="119"/>
  <c r="H37" s="1"/>
  <c r="U56" i="106"/>
  <c r="G57" i="119"/>
  <c r="H57" s="1"/>
  <c r="U18" i="110"/>
  <c r="G115" i="119"/>
  <c r="H115" s="1"/>
  <c r="U32" i="110"/>
  <c r="G121" i="119"/>
  <c r="H121" s="1"/>
  <c r="U39" i="110"/>
  <c r="G124" i="119"/>
  <c r="H124" s="1"/>
  <c r="U48" i="110"/>
  <c r="G127" i="119"/>
  <c r="H127" s="1"/>
  <c r="U55" i="110"/>
  <c r="G130" i="119"/>
  <c r="H130" s="1"/>
  <c r="U72" i="106"/>
  <c r="G63" i="119"/>
  <c r="H63" s="1"/>
  <c r="U74" i="106"/>
  <c r="G65" i="119"/>
  <c r="H65" s="1"/>
  <c r="U16" i="106"/>
  <c r="G38" i="119"/>
  <c r="H38" s="1"/>
  <c r="U50" i="106"/>
  <c r="G54" i="119"/>
  <c r="H54" s="1"/>
  <c r="U33" i="110"/>
  <c r="G122" i="119"/>
  <c r="H122" s="1"/>
  <c r="U32" i="106"/>
  <c r="G45" i="119"/>
  <c r="H45" s="1"/>
  <c r="U49" i="106"/>
  <c r="G53" i="119"/>
  <c r="H53" s="1"/>
  <c r="U21" i="106"/>
  <c r="G40" i="119"/>
  <c r="H40" s="1"/>
  <c r="U31" i="106"/>
  <c r="G44" i="119"/>
  <c r="H44" s="1"/>
  <c r="U38" i="106"/>
  <c r="G48" i="119"/>
  <c r="H48" s="1"/>
  <c r="U48" i="106"/>
  <c r="G52" i="119"/>
  <c r="H52" s="1"/>
  <c r="U31" i="110"/>
  <c r="G120" i="119"/>
  <c r="H120" s="1"/>
  <c r="U38" i="110"/>
  <c r="G17" i="119"/>
  <c r="H17" s="1"/>
  <c r="U47" i="110"/>
  <c r="G18" i="119"/>
  <c r="H18" s="1"/>
  <c r="U54" i="110"/>
  <c r="G19" i="119"/>
  <c r="H19" s="1"/>
  <c r="U40" i="106"/>
  <c r="G50" i="119"/>
  <c r="H50" s="1"/>
  <c r="U65" i="106"/>
  <c r="G60" i="119"/>
  <c r="H60" s="1"/>
  <c r="U22" i="106"/>
  <c r="G41" i="119"/>
  <c r="H41" s="1"/>
  <c r="U67" i="106"/>
  <c r="G62" i="119"/>
  <c r="H62" s="1"/>
  <c r="U23" i="106"/>
  <c r="G42" i="119"/>
  <c r="H42" s="1"/>
  <c r="S7" i="110"/>
  <c r="G16" i="119"/>
  <c r="H16" s="1"/>
  <c r="U40" i="110"/>
  <c r="G125" i="119"/>
  <c r="H125" s="1"/>
  <c r="U56" i="110"/>
  <c r="G131" i="119"/>
  <c r="H131" s="1"/>
  <c r="U73" i="106"/>
  <c r="G64" i="119"/>
  <c r="H64" s="1"/>
  <c r="U39" i="106"/>
  <c r="G49" i="119"/>
  <c r="H49" s="1"/>
  <c r="U14" i="106"/>
  <c r="G36" i="119"/>
  <c r="H36" s="1"/>
  <c r="U75" i="106"/>
  <c r="G66" i="119"/>
  <c r="H66" s="1"/>
  <c r="U20" i="106"/>
  <c r="V23" s="1"/>
  <c r="G39" i="119"/>
  <c r="H39" s="1"/>
  <c r="U37" i="106"/>
  <c r="G47" i="119"/>
  <c r="H47" s="1"/>
  <c r="U54" i="106"/>
  <c r="G55" i="119"/>
  <c r="H55" s="1"/>
  <c r="U16" i="110"/>
  <c r="G113" i="119"/>
  <c r="H113" s="1"/>
  <c r="U25" i="110"/>
  <c r="G119" i="119"/>
  <c r="H119" s="1"/>
  <c r="U34" i="110"/>
  <c r="G123" i="119"/>
  <c r="H123" s="1"/>
  <c r="U41" i="110"/>
  <c r="G126" i="119"/>
  <c r="H126" s="1"/>
  <c r="U50" i="110"/>
  <c r="G129" i="119"/>
  <c r="H129" s="1"/>
  <c r="U57" i="110"/>
  <c r="G132" i="119"/>
  <c r="H132"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71" i="119" s="1"/>
  <c r="H71" s="1"/>
  <c r="T16" i="105"/>
  <c r="S16"/>
  <c r="T15"/>
  <c r="S15"/>
  <c r="T14"/>
  <c r="S14"/>
  <c r="G68" i="119" s="1"/>
  <c r="H68" s="1"/>
  <c r="T13" i="105"/>
  <c r="S13"/>
  <c r="G67" i="119" s="1"/>
  <c r="H67" s="1"/>
  <c r="S6" i="107" l="1"/>
  <c r="I24" i="119"/>
  <c r="J24"/>
  <c r="I39"/>
  <c r="J39"/>
  <c r="I118"/>
  <c r="J118"/>
  <c r="I63"/>
  <c r="J63"/>
  <c r="I129"/>
  <c r="J129"/>
  <c r="I113"/>
  <c r="J113"/>
  <c r="I131"/>
  <c r="J131"/>
  <c r="J127"/>
  <c r="I127"/>
  <c r="J67"/>
  <c r="I67"/>
  <c r="I119"/>
  <c r="J119"/>
  <c r="I130"/>
  <c r="J130"/>
  <c r="J25"/>
  <c r="I25"/>
  <c r="I128"/>
  <c r="J128"/>
  <c r="J71"/>
  <c r="I71"/>
  <c r="I132"/>
  <c r="J132"/>
  <c r="I115"/>
  <c r="J115"/>
  <c r="I123"/>
  <c r="J123"/>
  <c r="J121"/>
  <c r="I121"/>
  <c r="I126"/>
  <c r="J126"/>
  <c r="I55"/>
  <c r="J55"/>
  <c r="J125"/>
  <c r="I125"/>
  <c r="J124"/>
  <c r="I124"/>
  <c r="J120"/>
  <c r="I120"/>
  <c r="I47"/>
  <c r="J47"/>
  <c r="I122"/>
  <c r="J122"/>
  <c r="J3"/>
  <c r="I3"/>
  <c r="J68"/>
  <c r="I68"/>
  <c r="I37"/>
  <c r="J37"/>
  <c r="I38"/>
  <c r="J38"/>
  <c r="J36"/>
  <c r="I36"/>
  <c r="I65"/>
  <c r="J65"/>
  <c r="J66"/>
  <c r="I66"/>
  <c r="I64"/>
  <c r="J64"/>
  <c r="J60"/>
  <c r="I60"/>
  <c r="I61"/>
  <c r="J61"/>
  <c r="I62"/>
  <c r="J62"/>
  <c r="I58"/>
  <c r="J58"/>
  <c r="I57"/>
  <c r="J57"/>
  <c r="V57" i="106"/>
  <c r="J52" i="119"/>
  <c r="I52"/>
  <c r="J53"/>
  <c r="I53"/>
  <c r="I54"/>
  <c r="J54"/>
  <c r="I48"/>
  <c r="J48"/>
  <c r="J50"/>
  <c r="I50"/>
  <c r="I49"/>
  <c r="J49"/>
  <c r="J40"/>
  <c r="I40"/>
  <c r="J41"/>
  <c r="I41"/>
  <c r="J42"/>
  <c r="I42"/>
  <c r="I45"/>
  <c r="J45"/>
  <c r="I46"/>
  <c r="J46"/>
  <c r="J44"/>
  <c r="I44"/>
  <c r="V75" i="106"/>
  <c r="V50"/>
  <c r="V40"/>
  <c r="U29" i="105"/>
  <c r="G75" i="119"/>
  <c r="H75" s="1"/>
  <c r="U16" i="105"/>
  <c r="G70" i="119"/>
  <c r="H70" s="1"/>
  <c r="U23" i="105"/>
  <c r="G74" i="119"/>
  <c r="H74" s="1"/>
  <c r="U15" i="105"/>
  <c r="G69" i="119"/>
  <c r="H69" s="1"/>
  <c r="U22" i="105"/>
  <c r="G73" i="119"/>
  <c r="H73" s="1"/>
  <c r="U31" i="105"/>
  <c r="G77" i="119"/>
  <c r="H77" s="1"/>
  <c r="G81"/>
  <c r="H81" s="1"/>
  <c r="U47" i="105"/>
  <c r="G85" i="119"/>
  <c r="H85" s="1"/>
  <c r="U54" i="105"/>
  <c r="G89" i="119"/>
  <c r="H89" s="1"/>
  <c r="V67" i="106"/>
  <c r="U32" i="105"/>
  <c r="G78" i="119"/>
  <c r="H78" s="1"/>
  <c r="G82"/>
  <c r="H82" s="1"/>
  <c r="W40" i="106"/>
  <c r="U52" i="105"/>
  <c r="G87" i="119"/>
  <c r="H87" s="1"/>
  <c r="U55" i="105"/>
  <c r="G90" i="119"/>
  <c r="H90" s="1"/>
  <c r="U21" i="105"/>
  <c r="G72" i="119"/>
  <c r="H72" s="1"/>
  <c r="U30" i="105"/>
  <c r="G76" i="119"/>
  <c r="H76" s="1"/>
  <c r="G80"/>
  <c r="H80" s="1"/>
  <c r="U53" i="105"/>
  <c r="G88" i="119"/>
  <c r="H88" s="1"/>
  <c r="U36" i="105"/>
  <c r="G79" i="119"/>
  <c r="H79" s="1"/>
  <c r="U45" i="105"/>
  <c r="G83" i="119"/>
  <c r="H83" s="1"/>
  <c r="U46" i="105"/>
  <c r="G84" i="119"/>
  <c r="H8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4" i="119" s="1"/>
  <c r="H14" s="1"/>
  <c r="D14" i="88"/>
  <c r="D7"/>
  <c r="H2"/>
  <c r="I87" i="119" l="1"/>
  <c r="J87"/>
  <c r="J75"/>
  <c r="I75"/>
  <c r="I79"/>
  <c r="J79"/>
  <c r="I83"/>
  <c r="J83"/>
  <c r="J88"/>
  <c r="I88"/>
  <c r="I90"/>
  <c r="J90"/>
  <c r="I89"/>
  <c r="J89"/>
  <c r="J84"/>
  <c r="I84"/>
  <c r="J85"/>
  <c r="I85"/>
  <c r="I82"/>
  <c r="J82"/>
  <c r="I81"/>
  <c r="J81"/>
  <c r="I76"/>
  <c r="J76"/>
  <c r="I80"/>
  <c r="J80"/>
  <c r="I78"/>
  <c r="J78"/>
  <c r="I77"/>
  <c r="J77"/>
  <c r="I70"/>
  <c r="J70"/>
  <c r="I69"/>
  <c r="J69"/>
  <c r="I74"/>
  <c r="J74"/>
  <c r="I73"/>
  <c r="J73"/>
  <c r="I72"/>
  <c r="J72"/>
  <c r="U38" i="95"/>
  <c r="G101" i="119"/>
  <c r="H101" s="1"/>
  <c r="U24" i="95"/>
  <c r="G95" i="119"/>
  <c r="H95" s="1"/>
  <c r="U56" i="95"/>
  <c r="G111" i="119"/>
  <c r="H111" s="1"/>
  <c r="U32" i="95"/>
  <c r="G98" i="119"/>
  <c r="H98" s="1"/>
  <c r="U34" i="95"/>
  <c r="G100" i="119"/>
  <c r="H100" s="1"/>
  <c r="U33" i="95"/>
  <c r="G99" i="119"/>
  <c r="H99" s="1"/>
  <c r="U40" i="95"/>
  <c r="G103" i="119"/>
  <c r="H103" s="1"/>
  <c r="U22" i="95"/>
  <c r="G93" i="119"/>
  <c r="H93" s="1"/>
  <c r="U49" i="95"/>
  <c r="G107" i="119"/>
  <c r="H107" s="1"/>
  <c r="U16" i="95"/>
  <c r="G15" i="119"/>
  <c r="H15" s="1"/>
  <c r="U18" i="95"/>
  <c r="G92" i="119"/>
  <c r="H92" s="1"/>
  <c r="U55" i="95"/>
  <c r="G110" i="119"/>
  <c r="H110" s="1"/>
  <c r="U31" i="95"/>
  <c r="G97" i="119"/>
  <c r="H97" s="1"/>
  <c r="U17" i="95"/>
  <c r="G91" i="119"/>
  <c r="H91" s="1"/>
  <c r="U47" i="95"/>
  <c r="G105" i="119"/>
  <c r="H105" s="1"/>
  <c r="U54" i="95"/>
  <c r="G109" i="119"/>
  <c r="H109" s="1"/>
  <c r="U23" i="95"/>
  <c r="G94" i="119"/>
  <c r="H94" s="1"/>
  <c r="U39" i="95"/>
  <c r="G102" i="119"/>
  <c r="H102" s="1"/>
  <c r="U25" i="95"/>
  <c r="G96" i="119"/>
  <c r="H96" s="1"/>
  <c r="U41" i="95"/>
  <c r="G104" i="119"/>
  <c r="H104" s="1"/>
  <c r="U50" i="95"/>
  <c r="G108" i="119"/>
  <c r="H108" s="1"/>
  <c r="U57" i="95"/>
  <c r="G112" i="119"/>
  <c r="H112" s="1"/>
  <c r="U48" i="95"/>
  <c r="G106" i="119"/>
  <c r="H106" s="1"/>
  <c r="H12" i="88"/>
  <c r="S5" i="110"/>
  <c r="S7" i="95"/>
  <c r="H15" i="88"/>
  <c r="H10"/>
  <c r="T4" i="95"/>
  <c r="E14" i="88" s="1"/>
  <c r="S5" i="108"/>
  <c r="M5" s="1"/>
  <c r="S4"/>
  <c r="E10" i="88"/>
  <c r="E13"/>
  <c r="S4" i="107"/>
  <c r="T5"/>
  <c r="S5" s="1"/>
  <c r="M5" s="1"/>
  <c r="H9" i="88"/>
  <c r="U4" i="105"/>
  <c r="U15" i="95"/>
  <c r="S4"/>
  <c r="U16" i="88" s="1"/>
  <c r="Q16" s="1"/>
  <c r="J104" i="119" l="1"/>
  <c r="I104"/>
  <c r="I94"/>
  <c r="J94"/>
  <c r="I101"/>
  <c r="J101"/>
  <c r="J102"/>
  <c r="I102"/>
  <c r="I91"/>
  <c r="J91"/>
  <c r="I95"/>
  <c r="J95"/>
  <c r="I109"/>
  <c r="J109"/>
  <c r="J93"/>
  <c r="I93"/>
  <c r="J97"/>
  <c r="I97"/>
  <c r="I96"/>
  <c r="J96"/>
  <c r="I105"/>
  <c r="J105"/>
  <c r="I92"/>
  <c r="J92"/>
  <c r="J103"/>
  <c r="I103"/>
  <c r="I111"/>
  <c r="J111"/>
  <c r="J112"/>
  <c r="I112"/>
  <c r="I110"/>
  <c r="J110"/>
  <c r="I108"/>
  <c r="J108"/>
  <c r="I107"/>
  <c r="J107"/>
  <c r="I106"/>
  <c r="J106"/>
  <c r="I100"/>
  <c r="J100"/>
  <c r="I99"/>
  <c r="J99"/>
  <c r="I98"/>
  <c r="J98"/>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<sst xmlns="http://schemas.openxmlformats.org/spreadsheetml/2006/main" count="4550" uniqueCount="636">
  <si>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</si>
  <si>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</si>
  <si>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</si>
  <si>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</si>
  <si>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</si>
  <si>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</si>
  <si>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</si>
  <si>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</si>
  <si>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</si>
  <si>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</si>
  <si>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</si>
  <si>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</si>
  <si>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</si>
  <si>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</si>
  <si>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</si>
  <si>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</si>
  <si>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</si>
  <si>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</si>
  <si>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</si>
  <si>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</si>
  <si>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</si>
  <si>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</si>
  <si>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</si>
  <si>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</si>
  <si>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</si>
  <si>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</si>
  <si>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</si>
  <si>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</si>
  <si>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</si>
  <si>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</si>
  <si>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</si>
  <si>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</si>
  <si>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</si>
  <si>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</si>
  <si>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</si>
  <si>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</si>
  <si>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</si>
  <si>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</si>
  <si>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</si>
  <si>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</si>
  <si>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</si>
  <si>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</si>
  <si>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</si>
  <si>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</si>
  <si>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</si>
  <si>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</si>
  <si>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</si>
  <si>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</si>
  <si>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</si>
  <si>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</si>
  <si>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</si>
  <si>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</si>
  <si>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</si>
  <si>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</si>
  <si>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</si>
  <si>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</si>
  <si>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</si>
  <si>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</si>
  <si>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</si>
  <si>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</si>
  <si>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</si>
  <si>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</si>
  <si>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</si>
  <si>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</si>
  <si>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</si>
  <si>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</si>
  <si>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</si>
  <si>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</si>
  <si>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</si>
  <si>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</si>
  <si>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</si>
  <si>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</si>
  <si>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</si>
  <si>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</si>
  <si>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</si>
  <si>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</si>
  <si>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</si>
  <si>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</si>
  <si>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</si>
  <si>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</si>
  <si>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</si>
  <si>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</si>
  <si>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</si>
  <si>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</si>
  <si>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</si>
  <si>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</si>
  <si>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</si>
  <si>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</si>
  <si>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</si>
  <si>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</si>
  <si>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</si>
  <si>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</si>
  <si>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</si>
  <si>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</si>
  <si>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</si>
  <si>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</si>
  <si>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</si>
  <si>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</si>
  <si>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</si>
  <si>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</si>
  <si>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</si>
  <si>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</si>
  <si>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</si>
  <si>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</si>
  <si>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</si>
  <si>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</si>
  <si>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</si>
  <si>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</si>
  <si>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</si>
  <si>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</si>
  <si>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</si>
  <si>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</si>
  <si>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</si>
  <si>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</si>
  <si>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</si>
  <si>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</si>
  <si>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</si>
  <si>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</si>
  <si>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</si>
  <si>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</si>
  <si>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</si>
  <si>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</si>
  <si>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</si>
  <si>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</si>
  <si>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</si>
  <si>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</si>
  <si>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</si>
  <si>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</si>
  <si>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</si>
  <si>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</si>
  <si>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</si>
  <si>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</si>
  <si>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</si>
  <si>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</si>
  <si>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</si>
  <si>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</si>
  <si>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</si>
  <si>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</si>
  <si>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</si>
  <si>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</si>
  <si>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</si>
  <si>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</si>
  <si>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</si>
  <si>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</si>
  <si>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</si>
  <si>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</si>
  <si>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</si>
  <si>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</si>
  <si>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</si>
  <si>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</si>
  <si>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</si>
  <si>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</si>
  <si>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</si>
  <si>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</si>
  <si>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</si>
  <si>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</si>
  <si>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</si>
  <si>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</si>
  <si>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</si>
  <si>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</si>
  <si>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</si>
  <si>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</si>
  <si>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</si>
  <si>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</si>
  <si>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</si>
  <si>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</si>
  <si>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</si>
  <si>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</si>
  <si>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</si>
  <si>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</si>
  <si>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</si>
  <si>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</si>
  <si>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</si>
  <si>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</si>
  <si>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</si>
  <si>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</si>
  <si>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</si>
  <si>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</si>
  <si>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</si>
  <si>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</si>
  <si>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</si>
  <si>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</si>
  <si>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</si>
  <si>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</si>
  <si>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</si>
  <si>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</si>
  <si>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</si>
  <si>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</si>
  <si>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</si>
  <si>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</si>
  <si>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</si>
  <si>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</si>
  <si>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</si>
  <si>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</si>
  <si>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</si>
  <si>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</si>
  <si>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</si>
  <si>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</si>
  <si>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</si>
  <si>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</si>
  <si>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</si>
  <si>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</si>
  <si>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</si>
  <si>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</si>
  <si>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</si>
  <si>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</si>
  <si>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</si>
  <si>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</si>
  <si>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</si>
  <si>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</si>
  <si>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</si>
  <si>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</si>
  <si>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</si>
  <si>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</si>
  <si>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</si>
  <si>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</si>
  <si>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</si>
  <si>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</si>
  <si>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</si>
  <si>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</si>
  <si>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</si>
  <si>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</si>
  <si>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</si>
  <si>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</si>
  <si>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</si>
  <si>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</si>
  <si>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</si>
  <si>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</si>
  <si>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</si>
  <si>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</si>
  <si>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</si>
  <si>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</si>
  <si>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</si>
  <si>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</si>
  <si>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</si>
  <si>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</si>
  <si>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</si>
  <si>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</si>
  <si>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</si>
  <si>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</si>
  <si>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</si>
  <si>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</si>
  <si>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</si>
  <si>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</si>
  <si>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</si>
  <si>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</si>
  <si>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</si>
  <si>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</si>
  <si>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</si>
  <si>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</si>
  <si>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</si>
  <si>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</si>
  <si>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</si>
  <si>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</si>
  <si>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</si>
  <si>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</si>
  <si>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</si>
  <si>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</si>
  <si>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</si>
  <si>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</si>
  <si>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</si>
  <si>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</si>
  <si>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</si>
  <si>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</si>
  <si>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</si>
  <si>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</si>
  <si>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</si>
  <si>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</si>
  <si>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</si>
  <si>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</si>
  <si>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</si>
  <si>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</si>
  <si>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</si>
  <si>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</si>
  <si>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</si>
  <si>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</si>
  <si>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</si>
  <si>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</si>
  <si>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</si>
  <si>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</si>
  <si>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</si>
  <si>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</si>
  <si>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</si>
  <si>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</si>
  <si>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</si>
  <si>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</si>
  <si>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</si>
  <si>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</si>
  <si>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</si>
  <si>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</si>
  <si>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</si>
  <si>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</si>
  <si>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</si>
  <si>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</si>
  <si>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</si>
  <si>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</si>
  <si>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</si>
  <si>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</si>
  <si>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</si>
  <si>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</si>
  <si>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</si>
  <si>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</si>
  <si>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</si>
  <si>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</si>
  <si>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</si>
  <si>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</si>
  <si>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</si>
  <si>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</si>
  <si>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</si>
  <si>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</si>
  <si>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</si>
  <si>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</si>
  <si>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</si>
  <si>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</si>
  <si>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</si>
  <si>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</si>
  <si>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</si>
  <si>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</si>
  <si>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</si>
  <si>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</si>
  <si>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</si>
  <si>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</si>
  <si>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</si>
  <si>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</si>
  <si>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</si>
  <si>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</si>
  <si>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</si>
  <si>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</si>
  <si>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</si>
  <si>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</si>
  <si>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</si>
  <si>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</si>
  <si>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</si>
  <si>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</si>
  <si>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</si>
  <si>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</si>
  <si>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</si>
  <si>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</si>
  <si>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</si>
  <si>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</si>
  <si>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</si>
  <si>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</si>
  <si>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</si>
  <si>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</si>
  <si>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</si>
  <si>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</si>
  <si>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</si>
  <si>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</si>
  <si>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</si>
  <si>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</si>
  <si>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</si>
  <si>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</si>
  <si>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</si>
  <si>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</si>
  <si>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</si>
  <si>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</si>
  <si>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</si>
  <si>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</si>
  <si>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</si>
  <si>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</si>
  <si>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</si>
  <si>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</si>
  <si>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</si>
  <si>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</si>
  <si>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</si>
  <si>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</si>
  <si>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</si>
  <si>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</si>
  <si>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</si>
  <si>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</si>
  <si>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</si>
  <si>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</si>
  <si>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</si>
  <si>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</si>
  <si>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</si>
  <si>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</si>
  <si>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</si>
  <si>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</si>
  <si>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</si>
  <si>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</si>
  <si>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</si>
  <si>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</si>
  <si>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</si>
  <si>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</si>
  <si>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</si>
  <si>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</si>
  <si>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</si>
  <si>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</si>
  <si>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</si>
  <si>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</si>
  <si>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</si>
  <si>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</si>
  <si>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</si>
  <si>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</si>
  <si>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</si>
  <si>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</si>
  <si>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</si>
  <si>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</si>
  <si>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</si>
  <si>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</si>
  <si>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</si>
  <si>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</si>
  <si>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</si>
  <si>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</si>
  <si>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</si>
  <si>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</si>
  <si>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</si>
  <si>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</si>
  <si>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</si>
  <si>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</si>
  <si>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</si>
  <si>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</si>
  <si>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</si>
  <si>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</si>
  <si>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</si>
  <si>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</si>
  <si>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</si>
  <si>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</si>
  <si>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</si>
  <si>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</si>
  <si>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</si>
  <si>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</si>
  <si>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</si>
  <si>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</si>
  <si>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</si>
  <si>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</si>
  <si>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</si>
  <si>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</si>
  <si>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</si>
  <si>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</si>
  <si>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</si>
  <si>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</si>
  <si>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</si>
  <si>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</si>
  <si>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</si>
  <si>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</si>
  <si>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</si>
  <si>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</si>
  <si>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</si>
  <si>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</si>
  <si>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</si>
  <si>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</si>
  <si>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</si>
  <si>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</si>
  <si>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</si>
  <si>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</si>
  <si>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</si>
  <si>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</si>
  <si>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</si>
  <si>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</si>
  <si>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</si>
  <si>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</si>
  <si>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</si>
  <si>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</si>
  <si>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</si>
  <si>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</si>
  <si>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</si>
  <si>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</si>
  <si>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</si>
  <si>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</si>
  <si>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</si>
  <si>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</si>
  <si>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</si>
  <si>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</si>
  <si>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</si>
  <si>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</si>
  <si>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</si>
  <si>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</si>
  <si>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</si>
  <si>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</si>
  <si>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</si>
  <si>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</si>
  <si>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</si>
  <si>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</si>
  <si>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</si>
  <si>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</si>
  <si>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</si>
  <si>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</si>
  <si>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</si>
  <si>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</si>
  <si>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</si>
  <si>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</si>
  <si>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</si>
  <si>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</si>
  <si>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</si>
  <si>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</si>
  <si>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</si>
  <si>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</si>
  <si>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</si>
  <si>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</si>
  <si>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</si>
  <si>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</si>
  <si>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</si>
  <si>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</si>
  <si>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</si>
  <si>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</si>
  <si>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</si>
  <si>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</si>
  <si>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</si>
  <si>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</si>
  <si>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</si>
  <si>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</si>
  <si>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</si>
  <si>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</si>
  <si>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</si>
  <si>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</si>
  <si>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</si>
  <si>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</si>
  <si>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</si>
  <si>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</si>
  <si>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</si>
  <si>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</si>
  <si>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</si>
  <si>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</si>
  <si>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</si>
  <si>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</si>
  <si>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</si>
  <si>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</si>
  <si>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</si>
  <si>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</si>
  <si>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</si>
  <si>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</si>
  <si>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</si>
  <si>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</si>
  <si>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</si>
  <si>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</si>
  <si>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</si>
  <si>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</si>
  <si>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</si>
  <si>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</si>
  <si>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</si>
  <si>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</si>
  <si>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</si>
  <si>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</si>
  <si>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</si>
  <si>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</si>
  <si>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</si>
  <si>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</si>
  <si>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</si>
  <si>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</si>
  <si>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</si>
  <si>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</si>
  <si>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</si>
  <si>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</si>
  <si>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</si>
  <si>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</si>
  <si>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</si>
  <si>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</si>
  <si>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</si>
  <si>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</si>
  <si>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</si>
  <si>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</si>
  <si>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</si>
  <si>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</si>
  <si>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</si>
  <si>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</si>
  <si>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</si>
  <si>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</si>
  <si>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</si>
  <si>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</si>
  <si>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</si>
  <si>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</si>
  <si>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</si>
  <si>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</si>
  <si>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</si>
  <si>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</si>
  <si>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</si>
  <si>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</si>
  <si>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</si>
  <si>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</si>
  <si>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</si>
  <si>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</si>
  <si>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</si>
  <si>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</si>
  <si>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</si>
  <si>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</si>
  <si>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</si>
  <si>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</si>
  <si>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</si>
  <si>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</si>
  <si>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</si>
  <si>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</si>
  <si>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</si>
  <si>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</si>
  <si>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</si>
  <si>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</si>
  <si>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</si>
  <si>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</si>
  <si>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</si>
  <si>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</si>
  <si>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</si>
  <si>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can't enter info</t>
  </si>
  <si>
    <t>commissioner name misspelled</t>
  </si>
  <si>
    <t>Changed from O'Keeffee to O'Keeffe. THIS VERSION IS RELEASED FOR ALL 2013 RMs</t>
  </si>
  <si>
    <t>Rule name</t>
  </si>
  <si>
    <t>Program</t>
  </si>
  <si>
    <t>Password</t>
  </si>
  <si>
    <t>PDCA</t>
  </si>
  <si>
    <t>NESHAP &amp; NSPS</t>
  </si>
  <si>
    <t>HSEN</t>
  </si>
  <si>
    <t>GHG Reporting (Division 215)</t>
  </si>
  <si>
    <t>RGHG</t>
  </si>
  <si>
    <t>ACDP Fee Increase (Division 216)</t>
  </si>
  <si>
    <t>Regional Haze Update - Mgr 14</t>
  </si>
  <si>
    <t>Regional Haze Update - Mgr 15</t>
  </si>
  <si>
    <t>Oregon Smoke Management Plan Review</t>
  </si>
  <si>
    <t>Infrastructure SIP - SO2, NO2 &amp; Lead</t>
  </si>
  <si>
    <t>Infrastructure SIP - PM2.5 - Mgr 14</t>
  </si>
  <si>
    <t>Infrastructure SIP - PM2.5 - Mgr 15</t>
  </si>
  <si>
    <t>Oregon LEV Update</t>
  </si>
  <si>
    <t>LRAPA - 2008 Industrial Streamlining</t>
  </si>
  <si>
    <t>LRAPA - 2010 Industrial Streamlining</t>
  </si>
  <si>
    <t>LRAPA PM2.5 &amp; GHG</t>
  </si>
  <si>
    <t>LRAPA - Open Burning</t>
  </si>
  <si>
    <t>AQ</t>
  </si>
  <si>
    <t>igeR</t>
  </si>
  <si>
    <t>gerO</t>
  </si>
  <si>
    <t>rfnI</t>
  </si>
  <si>
    <t>PARL</t>
  </si>
  <si>
    <t>LRStrm10</t>
  </si>
  <si>
    <t xml:space="preserve">LRAPA - 2010 Industrial Streamlining </t>
  </si>
  <si>
    <t>⧀ Go to Summary</t>
  </si>
  <si>
    <t>Stringency review of LRAPA's 2010 Industrial Streamlining titles</t>
  </si>
  <si>
    <t>Robin Williams</t>
  </si>
  <si>
    <t>Jim Roys</t>
  </si>
  <si>
    <t>Jill Inahara</t>
  </si>
  <si>
    <t>Uri Papish</t>
  </si>
  <si>
    <t>Andy Ginsburg</t>
  </si>
  <si>
    <t xml:space="preserve">Work with DEQ staff and coordinate rulemaking through process and proper documents            
</t>
  </si>
  <si>
    <t>Max Hueftle</t>
  </si>
  <si>
    <t>Robbye Lanier</t>
  </si>
  <si>
    <t>Review and determine status of SIP submission</t>
  </si>
  <si>
    <t>Justin Spenillo</t>
  </si>
  <si>
    <t>AQ Permit Program Update rulemaking</t>
  </si>
  <si>
    <t>No, work on the AQ Permit Program Update rulemaking will be delayed</t>
  </si>
  <si>
    <t>Process Assistant</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</si>
</sst>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b/>
      <u/>
      <sz val="11"/>
      <color theme="1"/>
      <name val="Cambria"/>
      <family val="1"/>
      <scheme val="minor"/>
    </font>
    <font>
      <sz val="11"/>
      <color theme="4" tint="-0.499984740745262"/>
      <name val="Calibri"/>
      <family val="2"/>
    </font>
    <font>
      <sz val="12"/>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82">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8"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0" fillId="0" borderId="0" xfId="0"/>
    <xf numFmtId="164" fontId="0" fillId="0" borderId="0" xfId="0"/>
    <xf numFmtId="164" fontId="4" fillId="0" borderId="0" xfId="0" applyFont="1" applyAlignment="1">
      <alignment horizontal="center"/>
    </xf>
    <xf numFmtId="164" fontId="121" fillId="0" borderId="0" xfId="0" applyFont="1"/>
    <xf numFmtId="0" fontId="18" fillId="2" borderId="1" xfId="1" applyNumberFormat="1" applyFont="1" applyFill="1" applyBorder="1" applyAlignment="1" applyProtection="1">
      <alignment horizontal="left" vertical="center" indent="1"/>
      <protection locked="0"/>
    </xf>
    <xf numFmtId="0" fontId="0" fillId="0" borderId="0" xfId="0" applyNumberFormat="1" applyAlignment="1">
      <alignment vertical="top"/>
    </xf>
    <xf numFmtId="164" fontId="0" fillId="0" borderId="0" xfId="0" applyAlignment="1">
      <alignment horizontal="left" vertical="top"/>
    </xf>
    <xf numFmtId="0" fontId="0" fillId="0" borderId="0" xfId="0" applyNumberFormat="1" applyAlignment="1">
      <alignment horizontal="left" vertical="top"/>
    </xf>
    <xf numFmtId="1" fontId="0" fillId="0" borderId="0" xfId="0" applyNumberFormat="1" applyAlignment="1">
      <alignment horizontal="center" vertical="center"/>
    </xf>
    <xf numFmtId="164" fontId="0" fillId="0" borderId="0" xfId="0" applyAlignment="1" applyProtection="1">
      <alignment vertical="top"/>
      <protection locked="0"/>
    </xf>
    <xf numFmtId="164" fontId="30" fillId="0" borderId="0" xfId="0" applyFont="1" applyAlignment="1" applyProtection="1">
      <alignment horizontal="left" vertical="top" wrapTex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2" fillId="2" borderId="4" xfId="1" applyFont="1" applyFill="1" applyBorder="1" applyAlignment="1" applyProtection="1">
      <alignment horizontal="left" vertical="center"/>
      <protection locked="0"/>
    </xf>
    <xf numFmtId="164" fontId="122" fillId="0" borderId="4" xfId="1" applyFont="1" applyBorder="1" applyAlignment="1" applyProtection="1"/>
    <xf numFmtId="164" fontId="122" fillId="2" borderId="4" xfId="1" applyFont="1" applyFill="1" applyBorder="1" applyAlignment="1" applyProtection="1">
      <alignment horizontal="left" vertical="center"/>
    </xf>
    <xf numFmtId="0" fontId="123" fillId="2" borderId="4" xfId="1" applyNumberFormat="1" applyFont="1" applyFill="1" applyBorder="1" applyAlignment="1" applyProtection="1">
      <alignment horizontal="left" vertical="center"/>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20" fillId="2" borderId="0" xfId="0" applyFont="1" applyFill="1" applyBorder="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164" fontId="111" fillId="2" borderId="0" xfId="0" applyFont="1" applyFill="1" applyBorder="1" applyAlignment="1">
      <alignment vertical="center" wrapText="1"/>
    </xf>
    <xf numFmtId="0" fontId="108" fillId="2" borderId="1" xfId="1" applyNumberFormat="1" applyFont="1" applyFill="1" applyBorder="1" applyAlignment="1" applyProtection="1">
      <alignment horizontal="left" vertical="center"/>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3.x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printerSettings" Target="../printerSettings/printerSettings2.bin"/><Relationship Id="rId5" Type="http://schemas.openxmlformats.org/officeDocument/2006/relationships/hyperlink" Target="file://deqhq1/nvick/DraftConcept" TargetMode="External"/><Relationship Id="rId4" Type="http://schemas.openxmlformats.org/officeDocument/2006/relationships/hyperlink" Target="mailto:Comment-AaaaAaaa@deq.state.or.us"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74</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320</v>
      </c>
      <c r="C13" s="11"/>
      <c r="D13" s="11"/>
      <c r="E13" s="11"/>
      <c r="F13" s="527"/>
    </row>
    <row r="14" spans="1:6">
      <c r="A14" s="16" t="s">
        <v>75</v>
      </c>
      <c r="B14" s="165" t="s">
        <v>76</v>
      </c>
      <c r="C14" s="165" t="s">
        <v>27</v>
      </c>
      <c r="D14" s="165" t="s">
        <v>28</v>
      </c>
      <c r="E14" s="11"/>
      <c r="F14" s="527"/>
    </row>
    <row r="15" spans="1:6">
      <c r="A15" s="21" t="s">
        <v>226</v>
      </c>
      <c r="B15" s="22">
        <v>0</v>
      </c>
      <c r="C15" s="22">
        <v>0</v>
      </c>
      <c r="D15" s="22">
        <v>0</v>
      </c>
      <c r="E15" s="11"/>
      <c r="F15" s="527"/>
    </row>
    <row r="16" spans="1:6">
      <c r="A16" s="21" t="s">
        <v>228</v>
      </c>
      <c r="B16" s="22">
        <v>1</v>
      </c>
      <c r="C16" s="22">
        <v>1</v>
      </c>
      <c r="D16" s="22">
        <v>8</v>
      </c>
      <c r="E16" s="11"/>
      <c r="F16" s="527"/>
    </row>
    <row r="17" spans="1:6">
      <c r="A17" s="21" t="s">
        <v>229</v>
      </c>
      <c r="B17" s="22">
        <v>2</v>
      </c>
      <c r="C17" s="22">
        <v>8</v>
      </c>
      <c r="D17" s="22">
        <v>40</v>
      </c>
      <c r="E17" s="11"/>
      <c r="F17" s="527"/>
    </row>
    <row r="18" spans="1:6">
      <c r="A18" s="21" t="s">
        <v>230</v>
      </c>
      <c r="B18" s="22">
        <v>3</v>
      </c>
      <c r="C18" s="22">
        <v>40</v>
      </c>
      <c r="D18" s="22">
        <v>80</v>
      </c>
      <c r="E18" s="11"/>
      <c r="F18" s="527"/>
    </row>
    <row r="19" spans="1:6">
      <c r="A19" s="21" t="s">
        <v>231</v>
      </c>
      <c r="B19" s="22">
        <v>4</v>
      </c>
      <c r="C19" s="22">
        <v>80</v>
      </c>
      <c r="D19" s="22">
        <v>170</v>
      </c>
      <c r="E19" s="11"/>
      <c r="F19" s="527"/>
    </row>
    <row r="20" spans="1:6">
      <c r="A20" s="21" t="s">
        <v>232</v>
      </c>
      <c r="B20" s="22">
        <v>5</v>
      </c>
      <c r="C20" s="22">
        <v>170</v>
      </c>
      <c r="D20" s="22">
        <v>340</v>
      </c>
      <c r="E20" s="11"/>
      <c r="F20" s="527"/>
    </row>
    <row r="21" spans="1:6">
      <c r="A21" s="21" t="s">
        <v>233</v>
      </c>
      <c r="B21" s="22">
        <v>6</v>
      </c>
      <c r="C21" s="22">
        <v>340</v>
      </c>
      <c r="D21" s="22">
        <v>680</v>
      </c>
      <c r="E21" s="11"/>
      <c r="F21" s="527">
        <v>25</v>
      </c>
    </row>
    <row r="22" spans="1:6">
      <c r="A22" s="21" t="s">
        <v>234</v>
      </c>
      <c r="B22" s="22">
        <v>7</v>
      </c>
      <c r="C22" s="22">
        <v>680</v>
      </c>
      <c r="D22" s="22">
        <v>1020</v>
      </c>
      <c r="E22" s="11"/>
      <c r="F22" s="528">
        <v>0.5</v>
      </c>
    </row>
    <row r="23" spans="1:6">
      <c r="A23" s="21" t="s">
        <v>235</v>
      </c>
      <c r="B23" s="22">
        <v>8</v>
      </c>
      <c r="C23" s="22">
        <v>1020</v>
      </c>
      <c r="D23" s="22">
        <v>1360</v>
      </c>
      <c r="E23" s="11"/>
      <c r="F23" s="527"/>
    </row>
    <row r="24" spans="1:6">
      <c r="A24" s="21" t="s">
        <v>227</v>
      </c>
      <c r="B24" s="22">
        <v>9</v>
      </c>
      <c r="C24" s="22">
        <v>1360</v>
      </c>
      <c r="D24" s="22">
        <v>2080</v>
      </c>
      <c r="E24" s="11"/>
      <c r="F24" s="527"/>
    </row>
    <row r="25" spans="1:6">
      <c r="A25" s="21" t="s">
        <v>236</v>
      </c>
      <c r="B25" s="22">
        <v>10</v>
      </c>
      <c r="C25" s="22">
        <v>2080</v>
      </c>
      <c r="D25" s="214" t="s">
        <v>91</v>
      </c>
      <c r="E25" s="11"/>
      <c r="F25" s="527"/>
    </row>
    <row r="26" spans="1:6">
      <c r="A26" s="19" t="s">
        <v>14</v>
      </c>
      <c r="B26" s="20"/>
      <c r="C26" s="11"/>
      <c r="D26" s="11"/>
      <c r="E26" s="11"/>
      <c r="F26" s="527"/>
    </row>
    <row r="27" spans="1:6">
      <c r="A27" s="15"/>
      <c r="B27" s="15"/>
      <c r="C27" s="11"/>
      <c r="D27" s="11"/>
      <c r="E27" s="11"/>
    </row>
    <row r="28" spans="1:6">
      <c r="A28" s="15"/>
      <c r="B28" s="15"/>
      <c r="C28" s="11"/>
      <c r="D28" s="11"/>
      <c r="E28" s="11"/>
    </row>
    <row r="29" spans="1:6">
      <c r="A29" s="16" t="s">
        <v>77</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549</v>
      </c>
      <c r="B33" s="52"/>
      <c r="C33" s="52"/>
      <c r="D33" s="52"/>
      <c r="E33" s="52"/>
    </row>
    <row r="34" spans="1:5">
      <c r="A34" s="21" t="s">
        <v>550</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200</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201</v>
      </c>
      <c r="B45" s="51"/>
      <c r="C45" s="51"/>
      <c r="D45" s="51"/>
      <c r="E45" s="51"/>
    </row>
    <row r="46" spans="1:5">
      <c r="A46" s="523" t="s">
        <v>253</v>
      </c>
      <c r="B46" s="51"/>
      <c r="C46" s="51"/>
      <c r="D46" s="51"/>
      <c r="E46" s="51"/>
    </row>
    <row r="47" spans="1:5">
      <c r="A47" s="523" t="s">
        <v>203</v>
      </c>
      <c r="B47" s="51"/>
      <c r="C47" s="51"/>
      <c r="D47" s="51"/>
      <c r="E47" s="51"/>
    </row>
    <row r="48" spans="1:5">
      <c r="A48" s="523" t="s">
        <v>254</v>
      </c>
      <c r="B48" s="51"/>
      <c r="C48" s="51"/>
      <c r="D48" s="51"/>
      <c r="E48" s="51"/>
    </row>
    <row r="49" spans="1:5">
      <c r="A49" s="523" t="s">
        <v>255</v>
      </c>
      <c r="B49" s="51"/>
      <c r="C49" s="51"/>
      <c r="D49" s="51"/>
      <c r="E49" s="51"/>
    </row>
    <row r="50" spans="1:5">
      <c r="A50" s="523" t="s">
        <v>256</v>
      </c>
      <c r="B50" s="51"/>
      <c r="C50" s="51"/>
      <c r="D50" s="51"/>
      <c r="E50" s="51"/>
    </row>
    <row r="51" spans="1:5">
      <c r="A51" s="523" t="s">
        <v>257</v>
      </c>
      <c r="B51" s="51"/>
      <c r="C51" s="51"/>
      <c r="D51" s="51"/>
      <c r="E51" s="51"/>
    </row>
    <row r="52" spans="1:5">
      <c r="A52" s="523" t="s">
        <v>258</v>
      </c>
      <c r="B52" s="51"/>
      <c r="C52" s="51"/>
      <c r="D52" s="51"/>
      <c r="E52" s="51"/>
    </row>
    <row r="53" spans="1:5">
      <c r="A53" s="523" t="s">
        <v>259</v>
      </c>
      <c r="B53" s="51"/>
      <c r="C53" s="51"/>
      <c r="D53" s="51"/>
      <c r="E53" s="51"/>
    </row>
    <row r="54" spans="1:5">
      <c r="A54" s="523" t="s">
        <v>260</v>
      </c>
      <c r="B54" s="51"/>
      <c r="C54" s="51"/>
      <c r="D54" s="51"/>
      <c r="E54" s="51"/>
    </row>
    <row r="55" spans="1:5">
      <c r="A55" s="523" t="s">
        <v>261</v>
      </c>
      <c r="B55" s="51"/>
      <c r="C55" s="51"/>
      <c r="D55" s="51"/>
      <c r="E55" s="51"/>
    </row>
    <row r="56" spans="1:5">
      <c r="A56" s="523" t="s">
        <v>262</v>
      </c>
      <c r="B56" s="51"/>
      <c r="C56" s="51"/>
      <c r="D56" s="51"/>
      <c r="E56" s="51"/>
    </row>
    <row r="57" spans="1:5">
      <c r="A57" s="523" t="s">
        <v>263</v>
      </c>
      <c r="B57" s="51"/>
      <c r="C57" s="51"/>
      <c r="D57" s="51"/>
      <c r="E57" s="51"/>
    </row>
    <row r="58" spans="1:5">
      <c r="A58" s="523" t="s">
        <v>264</v>
      </c>
      <c r="B58" s="51"/>
      <c r="C58" s="51"/>
      <c r="D58" s="51"/>
      <c r="E58" s="51"/>
    </row>
    <row r="59" spans="1:5" customFormat="1">
      <c r="A59" s="523" t="s">
        <v>186</v>
      </c>
      <c r="B59" s="51"/>
      <c r="C59" s="51"/>
      <c r="D59" s="51"/>
      <c r="E59" s="51"/>
    </row>
    <row r="60" spans="1:5">
      <c r="A60" s="19" t="s">
        <v>14</v>
      </c>
      <c r="B60" s="20"/>
      <c r="C60" s="52"/>
      <c r="D60" s="52"/>
      <c r="E60" s="52"/>
    </row>
    <row r="61" spans="1:5">
      <c r="A61" s="15"/>
      <c r="B61" s="15"/>
      <c r="C61" s="52"/>
      <c r="D61" s="52"/>
      <c r="E61" s="52"/>
    </row>
    <row r="62" spans="1:5">
      <c r="A62" s="16" t="s">
        <v>223</v>
      </c>
      <c r="B62" s="52"/>
      <c r="C62" s="52" t="s">
        <v>0</v>
      </c>
      <c r="D62" s="52"/>
      <c r="E62" s="52"/>
    </row>
    <row r="63" spans="1:5">
      <c r="A63" s="21" t="s">
        <v>168</v>
      </c>
      <c r="B63" s="52"/>
      <c r="C63" s="52"/>
      <c r="D63" s="52"/>
      <c r="E63" s="52"/>
    </row>
    <row r="64" spans="1:5">
      <c r="A64" s="21" t="s">
        <v>169</v>
      </c>
      <c r="B64" s="52"/>
      <c r="C64" s="52"/>
      <c r="D64" s="52"/>
      <c r="E64" s="52"/>
    </row>
    <row r="65" spans="1:5">
      <c r="A65" s="21" t="s">
        <v>224</v>
      </c>
      <c r="B65" s="52"/>
      <c r="C65" s="52"/>
      <c r="D65" s="52"/>
      <c r="E65" s="52"/>
    </row>
    <row r="66" spans="1:5">
      <c r="A66" s="21" t="s">
        <v>225</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6" sqref="C236"/>
    </sheetView>
  </sheetViews>
  <sheetFormatPr defaultColWidth="9" defaultRowHeight="14.25"/>
  <cols>
    <col min="1" max="1" width="8.75" style="568" customWidth="1"/>
    <col min="2" max="2" width="9.375" style="37" customWidth="1"/>
    <col min="3" max="3" width="9" style="569"/>
    <col min="4" max="4" width="10.375" style="560" customWidth="1"/>
    <col min="5" max="5" width="12" style="560" customWidth="1"/>
    <col min="6" max="6" width="8.125" style="499" customWidth="1"/>
    <col min="7" max="7" width="26.25" style="570" customWidth="1"/>
    <col min="8" max="8" width="23.875" style="570" customWidth="1"/>
    <col min="9" max="9" width="9.375" style="570" customWidth="1"/>
    <col min="10" max="10" width="8.5" style="569"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28" t="s">
        <v>321</v>
      </c>
      <c r="B1" s="628"/>
      <c r="C1" s="628"/>
      <c r="D1" s="628"/>
      <c r="E1" s="628"/>
      <c r="F1" s="628"/>
      <c r="G1" s="628"/>
      <c r="H1" s="563"/>
      <c r="I1" s="563"/>
      <c r="J1" s="629" t="s">
        <v>322</v>
      </c>
      <c r="K1" s="629"/>
      <c r="L1" s="629"/>
      <c r="M1" s="629"/>
      <c r="N1" s="629"/>
      <c r="O1" s="629"/>
      <c r="P1" s="629"/>
      <c r="Q1" s="629"/>
      <c r="R1" s="629"/>
      <c r="S1" s="629"/>
      <c r="T1" s="629"/>
      <c r="U1" s="629"/>
      <c r="V1" s="629"/>
      <c r="W1" s="629"/>
      <c r="X1" s="629"/>
      <c r="Y1" s="629"/>
      <c r="Z1" s="629"/>
      <c r="AA1" s="629"/>
      <c r="AB1" s="629"/>
      <c r="AC1" s="629"/>
      <c r="AD1" s="629"/>
      <c r="AE1" s="629"/>
      <c r="AF1" s="564"/>
      <c r="AG1" s="564"/>
      <c r="AH1" s="564"/>
      <c r="AI1" s="564"/>
    </row>
    <row r="2" spans="1:35">
      <c r="A2" s="565" t="s">
        <v>323</v>
      </c>
      <c r="B2" s="543" t="s">
        <v>324</v>
      </c>
      <c r="C2" s="566" t="s">
        <v>325</v>
      </c>
      <c r="D2" s="444" t="s">
        <v>209</v>
      </c>
      <c r="E2" s="444" t="s">
        <v>251</v>
      </c>
      <c r="F2" s="543" t="s">
        <v>326</v>
      </c>
      <c r="G2" s="567" t="s">
        <v>327</v>
      </c>
      <c r="H2" s="567" t="s">
        <v>328</v>
      </c>
      <c r="I2" s="567" t="s">
        <v>463</v>
      </c>
      <c r="J2" s="566" t="s">
        <v>329</v>
      </c>
      <c r="K2" s="444" t="s">
        <v>330</v>
      </c>
      <c r="L2" s="444" t="s">
        <v>331</v>
      </c>
      <c r="M2" s="543" t="s">
        <v>332</v>
      </c>
      <c r="N2" s="543" t="s">
        <v>333</v>
      </c>
      <c r="O2" s="543" t="s">
        <v>334</v>
      </c>
      <c r="P2" s="543" t="s">
        <v>335</v>
      </c>
      <c r="Q2" s="543" t="s">
        <v>336</v>
      </c>
      <c r="R2" s="543" t="s">
        <v>337</v>
      </c>
      <c r="S2" s="543" t="s">
        <v>338</v>
      </c>
      <c r="T2" s="543" t="s">
        <v>339</v>
      </c>
      <c r="U2" s="543" t="s">
        <v>340</v>
      </c>
      <c r="V2" s="543" t="s">
        <v>341</v>
      </c>
      <c r="W2" s="543" t="s">
        <v>342</v>
      </c>
      <c r="X2" s="543" t="s">
        <v>343</v>
      </c>
      <c r="Y2" s="543" t="s">
        <v>344</v>
      </c>
      <c r="Z2" s="543" t="s">
        <v>345</v>
      </c>
      <c r="AA2" s="543" t="s">
        <v>346</v>
      </c>
      <c r="AB2" s="543" t="s">
        <v>347</v>
      </c>
      <c r="AC2" s="543" t="s">
        <v>348</v>
      </c>
      <c r="AD2" s="543" t="s">
        <v>349</v>
      </c>
      <c r="AE2" s="543" t="s">
        <v>350</v>
      </c>
      <c r="AF2" s="543" t="s">
        <v>351</v>
      </c>
      <c r="AG2" s="543" t="s">
        <v>352</v>
      </c>
      <c r="AH2" s="543" t="s">
        <v>353</v>
      </c>
      <c r="AI2" s="543" t="s">
        <v>354</v>
      </c>
    </row>
    <row r="3" spans="1:35" ht="28.5" hidden="1">
      <c r="A3" s="568">
        <v>1</v>
      </c>
      <c r="B3" s="37">
        <v>1</v>
      </c>
      <c r="C3" s="569">
        <v>41144</v>
      </c>
      <c r="D3" s="560" t="s">
        <v>355</v>
      </c>
      <c r="E3" s="575" t="s">
        <v>361</v>
      </c>
      <c r="F3" s="499" t="s">
        <v>356</v>
      </c>
      <c r="G3" s="570" t="s">
        <v>357</v>
      </c>
      <c r="I3" s="570" t="str">
        <f>Table1[[#This Row],[Staff]]</f>
        <v>Nicole</v>
      </c>
      <c r="J3" s="569">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8">
        <v>1</v>
      </c>
      <c r="B4" s="37">
        <v>2</v>
      </c>
      <c r="C4" s="569">
        <v>41144</v>
      </c>
      <c r="D4" s="560" t="s">
        <v>355</v>
      </c>
      <c r="E4" s="560" t="s">
        <v>361</v>
      </c>
      <c r="F4" s="499" t="s">
        <v>358</v>
      </c>
      <c r="G4" s="570" t="s">
        <v>359</v>
      </c>
      <c r="H4" s="570" t="s">
        <v>360</v>
      </c>
      <c r="I4" s="570" t="str">
        <f>Table1[[#This Row],[Staff]]</f>
        <v>Nicole</v>
      </c>
      <c r="J4" s="569">
        <f>Table1[[#This Row],[Date]]</f>
        <v>41144</v>
      </c>
      <c r="K4" s="526"/>
      <c r="L4" s="526"/>
    </row>
    <row r="5" spans="1:35" hidden="1">
      <c r="A5" s="568">
        <v>1</v>
      </c>
      <c r="B5" s="37">
        <v>3</v>
      </c>
      <c r="C5" s="569">
        <v>41144</v>
      </c>
      <c r="D5" s="560" t="s">
        <v>355</v>
      </c>
      <c r="E5" s="560" t="s">
        <v>362</v>
      </c>
      <c r="F5" s="499" t="s">
        <v>363</v>
      </c>
      <c r="G5" s="570" t="s">
        <v>364</v>
      </c>
      <c r="H5" s="570" t="s">
        <v>365</v>
      </c>
      <c r="I5" s="570" t="str">
        <f>Table1[[#This Row],[Staff]]</f>
        <v>Nicole</v>
      </c>
      <c r="J5" s="569">
        <f>Table1[[#This Row],[Date]]</f>
        <v>41144</v>
      </c>
      <c r="K5" s="526"/>
      <c r="L5" s="526"/>
    </row>
    <row r="6" spans="1:35" ht="28.5" hidden="1">
      <c r="A6" s="568">
        <v>1</v>
      </c>
      <c r="B6" s="37">
        <v>4</v>
      </c>
      <c r="C6" s="569">
        <v>41144</v>
      </c>
      <c r="D6" s="560" t="s">
        <v>355</v>
      </c>
      <c r="E6" s="560" t="s">
        <v>362</v>
      </c>
      <c r="F6" s="499" t="s">
        <v>366</v>
      </c>
      <c r="G6" s="570" t="s">
        <v>367</v>
      </c>
      <c r="H6" s="570" t="s">
        <v>368</v>
      </c>
      <c r="I6" s="570" t="str">
        <f>Table1[[#This Row],[Staff]]</f>
        <v>Nicole</v>
      </c>
      <c r="J6" s="569">
        <f>Table1[[#This Row],[Date]]</f>
        <v>41144</v>
      </c>
      <c r="K6" s="526"/>
      <c r="L6" s="526"/>
    </row>
    <row r="7" spans="1:35" hidden="1">
      <c r="A7" s="568">
        <v>1</v>
      </c>
      <c r="B7" s="37">
        <v>5</v>
      </c>
      <c r="C7" s="569">
        <v>41144</v>
      </c>
      <c r="D7" s="560" t="s">
        <v>355</v>
      </c>
      <c r="E7" s="560" t="s">
        <v>159</v>
      </c>
      <c r="F7" s="499" t="s">
        <v>363</v>
      </c>
      <c r="G7" s="570" t="s">
        <v>364</v>
      </c>
      <c r="H7" s="570" t="s">
        <v>377</v>
      </c>
      <c r="I7" s="570" t="str">
        <f>Table1[[#This Row],[Staff]]</f>
        <v>Nicole</v>
      </c>
      <c r="J7" s="569">
        <f>Table1[[#This Row],[Date]]</f>
        <v>41144</v>
      </c>
      <c r="K7" s="526"/>
      <c r="L7" s="526"/>
    </row>
    <row r="8" spans="1:35" hidden="1">
      <c r="A8" s="568">
        <v>1</v>
      </c>
      <c r="B8" s="37">
        <v>6</v>
      </c>
      <c r="C8" s="569">
        <v>41144</v>
      </c>
      <c r="D8" s="560" t="s">
        <v>355</v>
      </c>
      <c r="E8" s="560" t="s">
        <v>159</v>
      </c>
      <c r="F8" s="499" t="s">
        <v>369</v>
      </c>
      <c r="G8" s="570" t="s">
        <v>373</v>
      </c>
      <c r="H8" s="570" t="s">
        <v>370</v>
      </c>
      <c r="I8" s="570" t="str">
        <f>Table1[[#This Row],[Staff]]</f>
        <v>Nicole</v>
      </c>
      <c r="J8" s="569">
        <f>Table1[[#This Row],[Date]]</f>
        <v>41144</v>
      </c>
      <c r="K8" s="526"/>
      <c r="L8" s="526"/>
    </row>
    <row r="9" spans="1:35" hidden="1">
      <c r="A9" s="568">
        <v>1</v>
      </c>
      <c r="B9" s="37">
        <v>7</v>
      </c>
      <c r="C9" s="569">
        <v>41144</v>
      </c>
      <c r="D9" s="560" t="s">
        <v>355</v>
      </c>
      <c r="E9" s="560" t="s">
        <v>371</v>
      </c>
      <c r="F9" s="499" t="s">
        <v>363</v>
      </c>
      <c r="G9" s="570" t="s">
        <v>364</v>
      </c>
      <c r="H9" s="570" t="s">
        <v>377</v>
      </c>
      <c r="I9" s="570" t="str">
        <f>Table1[[#This Row],[Staff]]</f>
        <v>Nicole</v>
      </c>
      <c r="J9" s="569">
        <f>Table1[[#This Row],[Date]]</f>
        <v>41144</v>
      </c>
      <c r="K9" s="526"/>
      <c r="L9" s="526"/>
    </row>
    <row r="10" spans="1:35" hidden="1">
      <c r="A10" s="568">
        <v>1</v>
      </c>
      <c r="B10" s="37">
        <v>8</v>
      </c>
      <c r="C10" s="569">
        <v>41144</v>
      </c>
      <c r="D10" s="560" t="s">
        <v>355</v>
      </c>
      <c r="E10" s="560" t="s">
        <v>9</v>
      </c>
      <c r="F10" s="499" t="s">
        <v>363</v>
      </c>
      <c r="G10" s="570" t="s">
        <v>364</v>
      </c>
      <c r="H10" s="570" t="s">
        <v>377</v>
      </c>
      <c r="I10" s="570" t="str">
        <f>Table1[[#This Row],[Staff]]</f>
        <v>Nicole</v>
      </c>
      <c r="J10" s="569">
        <f>Table1[[#This Row],[Date]]</f>
        <v>41144</v>
      </c>
      <c r="K10" s="526"/>
      <c r="L10" s="526"/>
    </row>
    <row r="11" spans="1:35" hidden="1">
      <c r="A11" s="568">
        <v>1</v>
      </c>
      <c r="B11" s="37">
        <v>9</v>
      </c>
      <c r="C11" s="569">
        <v>41144</v>
      </c>
      <c r="D11" s="560" t="s">
        <v>355</v>
      </c>
      <c r="E11" s="560" t="s">
        <v>9</v>
      </c>
      <c r="F11" s="499" t="s">
        <v>375</v>
      </c>
      <c r="G11" s="570" t="s">
        <v>373</v>
      </c>
      <c r="H11" s="570" t="s">
        <v>376</v>
      </c>
      <c r="I11" s="570" t="str">
        <f>Table1[[#This Row],[Staff]]</f>
        <v>Nicole</v>
      </c>
      <c r="J11" s="569">
        <f>Table1[[#This Row],[Date]]</f>
        <v>41144</v>
      </c>
      <c r="K11" s="526"/>
      <c r="L11" s="526"/>
    </row>
    <row r="12" spans="1:35" hidden="1">
      <c r="A12" s="568">
        <v>1</v>
      </c>
      <c r="B12" s="37">
        <v>10</v>
      </c>
      <c r="C12" s="569">
        <v>41144</v>
      </c>
      <c r="D12" s="560" t="s">
        <v>355</v>
      </c>
      <c r="E12" s="560" t="s">
        <v>371</v>
      </c>
      <c r="F12" s="499" t="s">
        <v>372</v>
      </c>
      <c r="G12" s="570" t="s">
        <v>373</v>
      </c>
      <c r="H12" s="570" t="s">
        <v>374</v>
      </c>
      <c r="I12" s="570" t="str">
        <f>Table1[[#This Row],[Staff]]</f>
        <v>Nicole</v>
      </c>
      <c r="J12" s="569">
        <f>Table1[[#This Row],[Date]]</f>
        <v>41144</v>
      </c>
      <c r="K12" s="526"/>
      <c r="L12" s="526"/>
    </row>
    <row r="13" spans="1:35" hidden="1">
      <c r="A13" s="568">
        <v>1</v>
      </c>
      <c r="B13" s="37">
        <v>11</v>
      </c>
      <c r="C13" s="569">
        <v>41144</v>
      </c>
      <c r="D13" s="560" t="s">
        <v>355</v>
      </c>
      <c r="E13" s="560" t="s">
        <v>378</v>
      </c>
      <c r="F13" s="499" t="s">
        <v>363</v>
      </c>
      <c r="G13" s="570" t="s">
        <v>364</v>
      </c>
      <c r="H13" s="570" t="s">
        <v>377</v>
      </c>
      <c r="I13" s="570" t="str">
        <f>Table1[[#This Row],[Staff]]</f>
        <v>Nicole</v>
      </c>
      <c r="J13" s="569">
        <f>Table1[[#This Row],[Date]]</f>
        <v>41144</v>
      </c>
      <c r="K13" s="526"/>
      <c r="L13" s="526"/>
    </row>
    <row r="14" spans="1:35" hidden="1">
      <c r="A14" s="568">
        <v>1</v>
      </c>
      <c r="B14" s="37">
        <v>12</v>
      </c>
      <c r="C14" s="569">
        <v>41144</v>
      </c>
      <c r="D14" s="560" t="s">
        <v>355</v>
      </c>
      <c r="E14" s="560" t="s">
        <v>378</v>
      </c>
      <c r="F14" s="499" t="s">
        <v>379</v>
      </c>
      <c r="G14" s="570" t="s">
        <v>373</v>
      </c>
      <c r="H14" s="570" t="s">
        <v>380</v>
      </c>
      <c r="I14" s="570" t="str">
        <f>Table1[[#This Row],[Staff]]</f>
        <v>Nicole</v>
      </c>
      <c r="J14" s="569">
        <f>Table1[[#This Row],[Date]]</f>
        <v>41144</v>
      </c>
      <c r="K14" s="526"/>
      <c r="L14" s="526"/>
    </row>
    <row r="15" spans="1:35" hidden="1">
      <c r="A15" s="568">
        <v>1</v>
      </c>
      <c r="B15" s="37">
        <v>13</v>
      </c>
      <c r="C15" s="569">
        <v>41144</v>
      </c>
      <c r="D15" s="560" t="s">
        <v>355</v>
      </c>
      <c r="E15" s="560" t="s">
        <v>381</v>
      </c>
      <c r="F15" s="499" t="s">
        <v>363</v>
      </c>
      <c r="G15" s="570" t="s">
        <v>364</v>
      </c>
      <c r="H15" s="570" t="s">
        <v>377</v>
      </c>
      <c r="I15" s="570" t="str">
        <f>Table1[[#This Row],[Staff]]</f>
        <v>Nicole</v>
      </c>
      <c r="J15" s="569">
        <f>Table1[[#This Row],[Date]]</f>
        <v>41144</v>
      </c>
      <c r="K15" s="526"/>
      <c r="L15" s="526"/>
    </row>
    <row r="16" spans="1:35" hidden="1">
      <c r="A16" s="568">
        <v>1</v>
      </c>
      <c r="B16" s="37">
        <v>14</v>
      </c>
      <c r="C16" s="569">
        <v>41144</v>
      </c>
      <c r="D16" s="560" t="s">
        <v>355</v>
      </c>
      <c r="E16" s="560" t="s">
        <v>381</v>
      </c>
      <c r="F16" s="499" t="s">
        <v>382</v>
      </c>
      <c r="G16" s="570" t="s">
        <v>373</v>
      </c>
      <c r="H16" s="570" t="s">
        <v>383</v>
      </c>
      <c r="I16" s="570" t="str">
        <f>Table1[[#This Row],[Staff]]</f>
        <v>Nicole</v>
      </c>
      <c r="J16" s="569">
        <f>Table1[[#This Row],[Date]]</f>
        <v>41144</v>
      </c>
      <c r="K16" s="526"/>
      <c r="L16" s="526"/>
    </row>
    <row r="17" spans="1:12" hidden="1">
      <c r="A17" s="568">
        <v>1</v>
      </c>
      <c r="B17" s="37">
        <v>15</v>
      </c>
      <c r="C17" s="569">
        <v>41144</v>
      </c>
      <c r="D17" s="560" t="s">
        <v>355</v>
      </c>
      <c r="E17" s="560" t="s">
        <v>62</v>
      </c>
      <c r="F17" s="499" t="s">
        <v>363</v>
      </c>
      <c r="G17" s="570" t="s">
        <v>364</v>
      </c>
      <c r="H17" s="570" t="s">
        <v>377</v>
      </c>
      <c r="I17" s="570" t="str">
        <f>Table1[[#This Row],[Staff]]</f>
        <v>Nicole</v>
      </c>
      <c r="J17" s="569">
        <f>Table1[[#This Row],[Date]]</f>
        <v>41144</v>
      </c>
      <c r="K17" s="526"/>
      <c r="L17" s="526"/>
    </row>
    <row r="18" spans="1:12" hidden="1">
      <c r="A18" s="568">
        <v>1</v>
      </c>
      <c r="B18" s="37">
        <v>16</v>
      </c>
      <c r="C18" s="569">
        <v>41144</v>
      </c>
      <c r="D18" s="560" t="s">
        <v>355</v>
      </c>
      <c r="E18" s="560" t="s">
        <v>62</v>
      </c>
      <c r="F18" s="499" t="s">
        <v>384</v>
      </c>
      <c r="G18" s="570" t="s">
        <v>373</v>
      </c>
      <c r="H18" s="570" t="s">
        <v>385</v>
      </c>
      <c r="I18" s="570" t="str">
        <f>Table1[[#This Row],[Staff]]</f>
        <v>Nicole</v>
      </c>
      <c r="J18" s="569">
        <f>Table1[[#This Row],[Date]]</f>
        <v>41144</v>
      </c>
      <c r="K18" s="526"/>
      <c r="L18" s="526"/>
    </row>
    <row r="19" spans="1:12" hidden="1">
      <c r="A19" s="568">
        <v>1</v>
      </c>
      <c r="B19" s="37">
        <v>17</v>
      </c>
      <c r="C19" s="569">
        <v>41144</v>
      </c>
      <c r="D19" s="560" t="s">
        <v>355</v>
      </c>
      <c r="E19" s="560" t="s">
        <v>386</v>
      </c>
      <c r="F19" s="499" t="s">
        <v>363</v>
      </c>
      <c r="G19" s="570" t="s">
        <v>364</v>
      </c>
      <c r="H19" s="570" t="s">
        <v>377</v>
      </c>
      <c r="I19" s="570" t="str">
        <f>Table1[[#This Row],[Staff]]</f>
        <v>Nicole</v>
      </c>
      <c r="J19" s="569">
        <f>Table1[[#This Row],[Date]]</f>
        <v>41144</v>
      </c>
      <c r="K19" s="526"/>
      <c r="L19" s="526"/>
    </row>
    <row r="20" spans="1:12" hidden="1">
      <c r="A20" s="568">
        <v>1</v>
      </c>
      <c r="B20" s="37">
        <v>18</v>
      </c>
      <c r="C20" s="569">
        <v>41144</v>
      </c>
      <c r="D20" s="560" t="s">
        <v>355</v>
      </c>
      <c r="E20" s="560" t="s">
        <v>386</v>
      </c>
      <c r="F20" s="499" t="s">
        <v>387</v>
      </c>
      <c r="I20" s="570" t="str">
        <f>Table1[[#This Row],[Staff]]</f>
        <v>Nicole</v>
      </c>
      <c r="J20" s="569">
        <f>Table1[[#This Row],[Date]]</f>
        <v>41144</v>
      </c>
      <c r="K20" s="526"/>
      <c r="L20" s="526"/>
    </row>
    <row r="21" spans="1:12" ht="28.5" hidden="1">
      <c r="A21" s="568">
        <v>1</v>
      </c>
      <c r="B21" s="37">
        <v>19</v>
      </c>
      <c r="C21" s="569">
        <v>41144</v>
      </c>
      <c r="D21" s="560" t="s">
        <v>355</v>
      </c>
      <c r="E21" s="560" t="s">
        <v>388</v>
      </c>
      <c r="F21" s="499" t="s">
        <v>389</v>
      </c>
      <c r="G21" s="570" t="s">
        <v>390</v>
      </c>
      <c r="H21" s="570" t="s">
        <v>391</v>
      </c>
      <c r="I21" s="570" t="str">
        <f>Table1[[#This Row],[Staff]]</f>
        <v>Nicole</v>
      </c>
      <c r="J21" s="569">
        <f>Table1[[#This Row],[Date]]</f>
        <v>41144</v>
      </c>
      <c r="K21" s="526"/>
      <c r="L21" s="526"/>
    </row>
    <row r="22" spans="1:12" hidden="1">
      <c r="A22" s="568">
        <v>1</v>
      </c>
      <c r="B22" s="37">
        <v>20</v>
      </c>
      <c r="C22" s="569">
        <v>41144</v>
      </c>
      <c r="D22" s="560" t="s">
        <v>355</v>
      </c>
      <c r="E22" s="560" t="s">
        <v>388</v>
      </c>
      <c r="F22" s="499" t="s">
        <v>363</v>
      </c>
      <c r="G22" s="570" t="s">
        <v>364</v>
      </c>
      <c r="H22" s="570" t="s">
        <v>377</v>
      </c>
      <c r="I22" s="570" t="str">
        <f>Table1[[#This Row],[Staff]]</f>
        <v>Nicole</v>
      </c>
      <c r="J22" s="569">
        <f>Table1[[#This Row],[Date]]</f>
        <v>41144</v>
      </c>
      <c r="K22" s="526"/>
      <c r="L22" s="526"/>
    </row>
    <row r="23" spans="1:12" hidden="1">
      <c r="A23" s="568">
        <v>1</v>
      </c>
      <c r="B23" s="37">
        <v>21</v>
      </c>
      <c r="C23" s="569">
        <v>41144</v>
      </c>
      <c r="D23" s="560" t="s">
        <v>355</v>
      </c>
      <c r="E23" s="560" t="s">
        <v>388</v>
      </c>
      <c r="F23" s="499" t="s">
        <v>387</v>
      </c>
      <c r="G23" s="570" t="s">
        <v>373</v>
      </c>
      <c r="H23" s="570" t="s">
        <v>392</v>
      </c>
      <c r="I23" s="570" t="str">
        <f>Table1[[#This Row],[Staff]]</f>
        <v>Nicole</v>
      </c>
      <c r="J23" s="569">
        <f>Table1[[#This Row],[Date]]</f>
        <v>41144</v>
      </c>
      <c r="K23" s="526"/>
      <c r="L23" s="526"/>
    </row>
    <row r="24" spans="1:12" ht="28.5" hidden="1">
      <c r="A24" s="568">
        <v>1</v>
      </c>
      <c r="B24" s="37">
        <v>22</v>
      </c>
      <c r="C24" s="569">
        <v>41144</v>
      </c>
      <c r="D24" s="560" t="s">
        <v>355</v>
      </c>
      <c r="E24" s="560" t="s">
        <v>394</v>
      </c>
      <c r="F24" s="499" t="s">
        <v>393</v>
      </c>
      <c r="G24" s="570" t="s">
        <v>395</v>
      </c>
      <c r="H24" s="570" t="s">
        <v>396</v>
      </c>
      <c r="I24" s="570" t="str">
        <f>Table1[[#This Row],[Staff]]</f>
        <v>Nicole</v>
      </c>
      <c r="J24" s="569">
        <f>Table1[[#This Row],[Date]]</f>
        <v>41144</v>
      </c>
      <c r="K24" s="526"/>
      <c r="L24" s="526"/>
    </row>
    <row r="25" spans="1:12" hidden="1">
      <c r="A25" s="568">
        <v>1</v>
      </c>
      <c r="B25" s="37">
        <v>23</v>
      </c>
      <c r="C25" s="569">
        <v>41144</v>
      </c>
      <c r="D25" s="560" t="s">
        <v>355</v>
      </c>
      <c r="E25" s="560" t="s">
        <v>394</v>
      </c>
      <c r="F25" s="499" t="s">
        <v>363</v>
      </c>
      <c r="G25" s="570" t="s">
        <v>364</v>
      </c>
      <c r="H25" s="570" t="s">
        <v>377</v>
      </c>
      <c r="I25" s="570" t="str">
        <f>Table1[[#This Row],[Staff]]</f>
        <v>Nicole</v>
      </c>
      <c r="J25" s="569">
        <f>Table1[[#This Row],[Date]]</f>
        <v>41144</v>
      </c>
      <c r="K25" s="526"/>
      <c r="L25" s="526"/>
    </row>
    <row r="26" spans="1:12" ht="28.5" hidden="1">
      <c r="A26" s="568">
        <v>1</v>
      </c>
      <c r="B26" s="37">
        <v>24</v>
      </c>
      <c r="C26" s="569">
        <v>41144</v>
      </c>
      <c r="D26" s="560" t="s">
        <v>355</v>
      </c>
      <c r="E26" s="560" t="s">
        <v>394</v>
      </c>
      <c r="F26" s="499" t="s">
        <v>398</v>
      </c>
      <c r="G26" s="570" t="s">
        <v>373</v>
      </c>
      <c r="H26" s="570" t="s">
        <v>397</v>
      </c>
      <c r="I26" s="570" t="str">
        <f>Table1[[#This Row],[Staff]]</f>
        <v>Nicole</v>
      </c>
      <c r="J26" s="569">
        <f>Table1[[#This Row],[Date]]</f>
        <v>41144</v>
      </c>
      <c r="K26" s="526"/>
      <c r="L26" s="526"/>
    </row>
    <row r="27" spans="1:12" hidden="1">
      <c r="A27" s="568">
        <v>1</v>
      </c>
      <c r="B27" s="37">
        <v>25</v>
      </c>
      <c r="C27" s="569">
        <v>41144</v>
      </c>
      <c r="D27" s="560" t="s">
        <v>355</v>
      </c>
      <c r="E27" s="560" t="s">
        <v>399</v>
      </c>
      <c r="F27" s="499" t="s">
        <v>363</v>
      </c>
      <c r="G27" s="570" t="s">
        <v>364</v>
      </c>
      <c r="H27" s="570" t="s">
        <v>377</v>
      </c>
      <c r="I27" s="570" t="str">
        <f>Table1[[#This Row],[Staff]]</f>
        <v>Nicole</v>
      </c>
      <c r="J27" s="569">
        <f>Table1[[#This Row],[Date]]</f>
        <v>41144</v>
      </c>
      <c r="K27" s="526"/>
      <c r="L27" s="526"/>
    </row>
    <row r="28" spans="1:12" ht="28.5" hidden="1">
      <c r="A28" s="568">
        <v>1</v>
      </c>
      <c r="B28" s="37">
        <v>26</v>
      </c>
      <c r="C28" s="569">
        <v>41144</v>
      </c>
      <c r="D28" s="560" t="s">
        <v>355</v>
      </c>
      <c r="E28" s="560" t="s">
        <v>399</v>
      </c>
      <c r="F28" s="499" t="s">
        <v>387</v>
      </c>
      <c r="G28" s="570" t="s">
        <v>373</v>
      </c>
      <c r="H28" s="570" t="s">
        <v>400</v>
      </c>
      <c r="I28" s="570" t="str">
        <f>Table1[[#This Row],[Staff]]</f>
        <v>Nicole</v>
      </c>
      <c r="J28" s="569">
        <f>Table1[[#This Row],[Date]]</f>
        <v>41144</v>
      </c>
      <c r="K28" s="526"/>
      <c r="L28" s="526"/>
    </row>
    <row r="29" spans="1:12" hidden="1">
      <c r="A29" s="568">
        <v>1</v>
      </c>
      <c r="B29" s="37">
        <v>27</v>
      </c>
      <c r="C29" s="569">
        <v>41144</v>
      </c>
      <c r="D29" s="560" t="s">
        <v>355</v>
      </c>
      <c r="E29" s="560" t="s">
        <v>402</v>
      </c>
      <c r="F29" s="499" t="s">
        <v>363</v>
      </c>
      <c r="G29" s="570" t="s">
        <v>364</v>
      </c>
      <c r="H29" s="570" t="s">
        <v>377</v>
      </c>
      <c r="I29" s="570" t="str">
        <f>Table1[[#This Row],[Staff]]</f>
        <v>Nicole</v>
      </c>
      <c r="J29" s="569">
        <f>Table1[[#This Row],[Date]]</f>
        <v>41144</v>
      </c>
      <c r="K29" s="526"/>
      <c r="L29" s="526"/>
    </row>
    <row r="30" spans="1:12" ht="28.5" hidden="1">
      <c r="A30" s="568">
        <v>1</v>
      </c>
      <c r="B30" s="37">
        <v>28</v>
      </c>
      <c r="C30" s="569">
        <v>41144</v>
      </c>
      <c r="D30" s="560" t="s">
        <v>355</v>
      </c>
      <c r="E30" s="560" t="s">
        <v>402</v>
      </c>
      <c r="F30" s="499" t="s">
        <v>401</v>
      </c>
      <c r="G30" s="570" t="s">
        <v>373</v>
      </c>
      <c r="H30" s="570" t="s">
        <v>403</v>
      </c>
      <c r="I30" s="570" t="str">
        <f>Table1[[#This Row],[Staff]]</f>
        <v>Nicole</v>
      </c>
      <c r="J30" s="569">
        <f>Table1[[#This Row],[Date]]</f>
        <v>41144</v>
      </c>
      <c r="K30" s="526"/>
      <c r="L30" s="526"/>
    </row>
    <row r="31" spans="1:12" hidden="1">
      <c r="A31" s="568">
        <v>1</v>
      </c>
      <c r="B31" s="37">
        <v>29</v>
      </c>
      <c r="C31" s="569">
        <v>41144</v>
      </c>
      <c r="D31" s="560" t="s">
        <v>355</v>
      </c>
      <c r="E31" s="560" t="s">
        <v>78</v>
      </c>
      <c r="F31" s="499" t="s">
        <v>363</v>
      </c>
      <c r="G31" s="570" t="s">
        <v>364</v>
      </c>
      <c r="H31" s="570" t="s">
        <v>377</v>
      </c>
      <c r="I31" s="570" t="str">
        <f>Table1[[#This Row],[Staff]]</f>
        <v>Nicole</v>
      </c>
      <c r="J31" s="569">
        <f>Table1[[#This Row],[Date]]</f>
        <v>41144</v>
      </c>
      <c r="K31" s="526"/>
      <c r="L31" s="526"/>
    </row>
    <row r="32" spans="1:12" ht="28.5" hidden="1">
      <c r="A32" s="568">
        <v>1</v>
      </c>
      <c r="B32" s="37">
        <v>30</v>
      </c>
      <c r="C32" s="569">
        <v>41144</v>
      </c>
      <c r="D32" s="560" t="s">
        <v>355</v>
      </c>
      <c r="E32" s="560" t="s">
        <v>78</v>
      </c>
      <c r="F32" s="499" t="s">
        <v>404</v>
      </c>
      <c r="G32" s="570" t="s">
        <v>373</v>
      </c>
      <c r="H32" s="570" t="s">
        <v>405</v>
      </c>
      <c r="I32" s="570" t="str">
        <f>Table1[[#This Row],[Staff]]</f>
        <v>Nicole</v>
      </c>
      <c r="J32" s="569">
        <f>Table1[[#This Row],[Date]]</f>
        <v>41144</v>
      </c>
      <c r="K32" s="526"/>
      <c r="L32" s="526"/>
    </row>
    <row r="33" spans="1:12" hidden="1">
      <c r="A33" s="568">
        <v>1</v>
      </c>
      <c r="B33" s="37">
        <v>31</v>
      </c>
      <c r="C33" s="569">
        <v>41144</v>
      </c>
      <c r="D33" s="560" t="s">
        <v>355</v>
      </c>
      <c r="E33" s="560" t="s">
        <v>87</v>
      </c>
      <c r="F33" s="499" t="s">
        <v>363</v>
      </c>
      <c r="G33" s="570" t="s">
        <v>364</v>
      </c>
      <c r="H33" s="570" t="s">
        <v>377</v>
      </c>
      <c r="I33" s="570" t="str">
        <f>Table1[[#This Row],[Staff]]</f>
        <v>Nicole</v>
      </c>
      <c r="J33" s="569">
        <f>Table1[[#This Row],[Date]]</f>
        <v>41144</v>
      </c>
      <c r="K33" s="526"/>
      <c r="L33" s="526"/>
    </row>
    <row r="34" spans="1:12" ht="28.5" hidden="1">
      <c r="A34" s="568">
        <v>1</v>
      </c>
      <c r="B34" s="37">
        <v>32</v>
      </c>
      <c r="C34" s="569">
        <v>41144</v>
      </c>
      <c r="D34" s="560" t="s">
        <v>355</v>
      </c>
      <c r="E34" s="560" t="s">
        <v>87</v>
      </c>
      <c r="F34" s="499" t="s">
        <v>410</v>
      </c>
      <c r="G34" s="570" t="s">
        <v>373</v>
      </c>
      <c r="H34" s="570" t="s">
        <v>407</v>
      </c>
      <c r="I34" s="570" t="str">
        <f>Table1[[#This Row],[Staff]]</f>
        <v>Nicole</v>
      </c>
      <c r="J34" s="569">
        <f>Table1[[#This Row],[Date]]</f>
        <v>41144</v>
      </c>
      <c r="K34" s="526"/>
      <c r="L34" s="526"/>
    </row>
    <row r="35" spans="1:12" hidden="1">
      <c r="A35" s="568">
        <v>1</v>
      </c>
      <c r="B35" s="37">
        <v>33</v>
      </c>
      <c r="C35" s="569">
        <v>41144</v>
      </c>
      <c r="D35" s="560" t="s">
        <v>355</v>
      </c>
      <c r="E35" s="560" t="s">
        <v>406</v>
      </c>
      <c r="F35" s="499" t="s">
        <v>363</v>
      </c>
      <c r="G35" s="570" t="s">
        <v>364</v>
      </c>
      <c r="H35" s="570" t="s">
        <v>377</v>
      </c>
      <c r="I35" s="570" t="str">
        <f>Table1[[#This Row],[Staff]]</f>
        <v>Nicole</v>
      </c>
      <c r="J35" s="569">
        <f>Table1[[#This Row],[Date]]</f>
        <v>41144</v>
      </c>
      <c r="K35" s="526"/>
      <c r="L35" s="526"/>
    </row>
    <row r="36" spans="1:12" ht="28.5" hidden="1">
      <c r="A36" s="568">
        <v>1</v>
      </c>
      <c r="B36" s="37">
        <v>34</v>
      </c>
      <c r="C36" s="569">
        <v>41144</v>
      </c>
      <c r="D36" s="560" t="s">
        <v>355</v>
      </c>
      <c r="E36" s="560" t="s">
        <v>406</v>
      </c>
      <c r="F36" s="499" t="s">
        <v>409</v>
      </c>
      <c r="G36" s="570" t="s">
        <v>373</v>
      </c>
      <c r="H36" s="570" t="s">
        <v>408</v>
      </c>
      <c r="I36" s="570" t="str">
        <f>Table1[[#This Row],[Staff]]</f>
        <v>Nicole</v>
      </c>
      <c r="J36" s="569">
        <f>Table1[[#This Row],[Date]]</f>
        <v>41144</v>
      </c>
      <c r="K36" s="526"/>
      <c r="L36" s="526"/>
    </row>
    <row r="37" spans="1:12" ht="28.5" hidden="1">
      <c r="A37" s="568">
        <v>1</v>
      </c>
      <c r="B37" s="37">
        <v>35</v>
      </c>
      <c r="C37" s="569">
        <v>41145</v>
      </c>
      <c r="D37" s="561" t="s">
        <v>355</v>
      </c>
      <c r="E37" s="561" t="s">
        <v>362</v>
      </c>
      <c r="F37" s="499" t="s">
        <v>411</v>
      </c>
      <c r="G37" s="570" t="s">
        <v>412</v>
      </c>
      <c r="H37" s="570" t="s">
        <v>413</v>
      </c>
      <c r="I37" s="570" t="str">
        <f>Table1[[#This Row],[Staff]]</f>
        <v>Nicole</v>
      </c>
      <c r="J37" s="569">
        <f>Table1[[#This Row],[Date]]</f>
        <v>41145</v>
      </c>
      <c r="K37" s="526"/>
      <c r="L37" s="526"/>
    </row>
    <row r="38" spans="1:12" ht="28.5" hidden="1">
      <c r="A38" s="568">
        <v>1</v>
      </c>
      <c r="B38" s="37">
        <v>36</v>
      </c>
      <c r="C38" s="569">
        <v>41145</v>
      </c>
      <c r="D38" s="561" t="s">
        <v>355</v>
      </c>
      <c r="E38" s="561" t="s">
        <v>362</v>
      </c>
      <c r="F38" s="499" t="s">
        <v>414</v>
      </c>
      <c r="G38" s="570" t="s">
        <v>415</v>
      </c>
      <c r="H38" s="574" t="s">
        <v>465</v>
      </c>
      <c r="I38" s="574" t="s">
        <v>464</v>
      </c>
      <c r="J38" s="569">
        <v>41148</v>
      </c>
      <c r="K38" s="526"/>
      <c r="L38" s="526"/>
    </row>
    <row r="39" spans="1:12" ht="42.75" hidden="1">
      <c r="A39" s="568">
        <v>1</v>
      </c>
      <c r="B39" s="37">
        <v>37</v>
      </c>
      <c r="C39" s="569">
        <v>41145</v>
      </c>
      <c r="D39" s="561" t="s">
        <v>355</v>
      </c>
      <c r="E39" s="561" t="s">
        <v>362</v>
      </c>
      <c r="F39" s="499" t="s">
        <v>416</v>
      </c>
      <c r="G39" s="570" t="s">
        <v>417</v>
      </c>
      <c r="H39" s="570" t="s">
        <v>425</v>
      </c>
      <c r="I39" s="570" t="str">
        <f>Table1[[#This Row],[Staff]]</f>
        <v>Nicole</v>
      </c>
      <c r="J39" s="569">
        <f>Table1[[#This Row],[Date]]</f>
        <v>41145</v>
      </c>
      <c r="K39" s="526"/>
      <c r="L39" s="526"/>
    </row>
    <row r="40" spans="1:12" hidden="1">
      <c r="A40" s="568">
        <v>1</v>
      </c>
      <c r="B40" s="37">
        <v>38</v>
      </c>
      <c r="C40" s="569">
        <v>41145</v>
      </c>
      <c r="D40" s="561" t="s">
        <v>355</v>
      </c>
      <c r="E40" s="561" t="s">
        <v>371</v>
      </c>
      <c r="F40" s="499" t="s">
        <v>418</v>
      </c>
      <c r="G40" s="570" t="s">
        <v>417</v>
      </c>
      <c r="H40" s="570" t="s">
        <v>424</v>
      </c>
      <c r="I40" s="570" t="str">
        <f>Table1[[#This Row],[Staff]]</f>
        <v>Nicole</v>
      </c>
      <c r="J40" s="569">
        <f>Table1[[#This Row],[Date]]</f>
        <v>41145</v>
      </c>
      <c r="K40" s="526"/>
      <c r="L40" s="526"/>
    </row>
    <row r="41" spans="1:12" hidden="1">
      <c r="A41" s="568">
        <v>1</v>
      </c>
      <c r="B41" s="37">
        <v>39</v>
      </c>
      <c r="C41" s="569">
        <v>41145</v>
      </c>
      <c r="D41" s="561" t="s">
        <v>355</v>
      </c>
      <c r="E41" s="561" t="s">
        <v>371</v>
      </c>
      <c r="F41" s="499" t="s">
        <v>419</v>
      </c>
      <c r="G41" s="570" t="s">
        <v>417</v>
      </c>
      <c r="H41" s="570" t="s">
        <v>424</v>
      </c>
      <c r="I41" s="570" t="str">
        <f>Table1[[#This Row],[Staff]]</f>
        <v>Nicole</v>
      </c>
      <c r="J41" s="569">
        <f>Table1[[#This Row],[Date]]</f>
        <v>41145</v>
      </c>
      <c r="K41" s="526"/>
      <c r="L41" s="526"/>
    </row>
    <row r="42" spans="1:12" hidden="1">
      <c r="A42" s="568">
        <v>1</v>
      </c>
      <c r="B42" s="37">
        <v>40</v>
      </c>
      <c r="C42" s="569">
        <v>41145</v>
      </c>
      <c r="D42" s="561" t="s">
        <v>355</v>
      </c>
      <c r="E42" s="561" t="s">
        <v>371</v>
      </c>
      <c r="F42" s="499" t="s">
        <v>420</v>
      </c>
      <c r="G42" s="570" t="s">
        <v>417</v>
      </c>
      <c r="H42" s="570" t="s">
        <v>424</v>
      </c>
      <c r="I42" s="570" t="str">
        <f>Table1[[#This Row],[Staff]]</f>
        <v>Nicole</v>
      </c>
      <c r="J42" s="569">
        <f>Table1[[#This Row],[Date]]</f>
        <v>41145</v>
      </c>
      <c r="K42" s="526"/>
      <c r="L42" s="526"/>
    </row>
    <row r="43" spans="1:12" hidden="1">
      <c r="A43" s="568">
        <v>1</v>
      </c>
      <c r="B43" s="37">
        <v>41</v>
      </c>
      <c r="C43" s="569">
        <v>41145</v>
      </c>
      <c r="D43" s="561" t="s">
        <v>355</v>
      </c>
      <c r="E43" s="561" t="s">
        <v>371</v>
      </c>
      <c r="F43" s="499" t="s">
        <v>421</v>
      </c>
      <c r="G43" s="570" t="s">
        <v>417</v>
      </c>
      <c r="H43" s="570" t="s">
        <v>424</v>
      </c>
      <c r="I43" s="570" t="str">
        <f>Table1[[#This Row],[Staff]]</f>
        <v>Nicole</v>
      </c>
      <c r="J43" s="569">
        <f>Table1[[#This Row],[Date]]</f>
        <v>41145</v>
      </c>
      <c r="K43" s="526"/>
      <c r="L43" s="526"/>
    </row>
    <row r="44" spans="1:12" hidden="1">
      <c r="A44" s="568">
        <v>1</v>
      </c>
      <c r="B44" s="37">
        <v>42</v>
      </c>
      <c r="C44" s="569">
        <v>41145</v>
      </c>
      <c r="D44" s="561" t="s">
        <v>355</v>
      </c>
      <c r="E44" s="561" t="s">
        <v>371</v>
      </c>
      <c r="F44" s="499" t="s">
        <v>422</v>
      </c>
      <c r="G44" s="570" t="s">
        <v>417</v>
      </c>
      <c r="H44" s="570" t="s">
        <v>424</v>
      </c>
      <c r="I44" s="570" t="str">
        <f>Table1[[#This Row],[Staff]]</f>
        <v>Nicole</v>
      </c>
      <c r="J44" s="569">
        <f>Table1[[#This Row],[Date]]</f>
        <v>41145</v>
      </c>
      <c r="K44" s="526"/>
      <c r="L44" s="526"/>
    </row>
    <row r="45" spans="1:12" hidden="1">
      <c r="A45" s="568">
        <v>1</v>
      </c>
      <c r="B45" s="37">
        <v>43</v>
      </c>
      <c r="C45" s="569">
        <v>41145</v>
      </c>
      <c r="D45" s="561" t="s">
        <v>355</v>
      </c>
      <c r="E45" s="561" t="s">
        <v>371</v>
      </c>
      <c r="F45" s="499" t="s">
        <v>423</v>
      </c>
      <c r="G45" s="570" t="s">
        <v>417</v>
      </c>
      <c r="H45" s="570" t="s">
        <v>424</v>
      </c>
      <c r="I45" s="570" t="str">
        <f>Table1[[#This Row],[Staff]]</f>
        <v>Nicole</v>
      </c>
      <c r="J45" s="569">
        <f>Table1[[#This Row],[Date]]</f>
        <v>41145</v>
      </c>
      <c r="K45" s="526"/>
      <c r="L45" s="526"/>
    </row>
    <row r="46" spans="1:12" hidden="1">
      <c r="A46" s="568">
        <v>1</v>
      </c>
      <c r="B46" s="37">
        <v>44</v>
      </c>
      <c r="C46" s="569">
        <v>41145</v>
      </c>
      <c r="D46" s="561" t="s">
        <v>355</v>
      </c>
      <c r="E46" s="561" t="s">
        <v>9</v>
      </c>
      <c r="F46" s="499" t="s">
        <v>426</v>
      </c>
      <c r="G46" s="570" t="s">
        <v>417</v>
      </c>
      <c r="H46" s="570" t="s">
        <v>424</v>
      </c>
      <c r="I46" s="570" t="str">
        <f>Table1[[#This Row],[Staff]]</f>
        <v>Nicole</v>
      </c>
      <c r="J46" s="569">
        <f>Table1[[#This Row],[Date]]</f>
        <v>41145</v>
      </c>
      <c r="K46" s="526"/>
      <c r="L46" s="526"/>
    </row>
    <row r="47" spans="1:12" hidden="1">
      <c r="A47" s="568">
        <v>1</v>
      </c>
      <c r="B47" s="37">
        <v>45</v>
      </c>
      <c r="C47" s="569">
        <v>41145</v>
      </c>
      <c r="D47" s="561" t="s">
        <v>355</v>
      </c>
      <c r="E47" s="561" t="s">
        <v>9</v>
      </c>
      <c r="F47" s="499" t="s">
        <v>419</v>
      </c>
      <c r="G47" s="570" t="s">
        <v>417</v>
      </c>
      <c r="H47" s="570" t="s">
        <v>424</v>
      </c>
      <c r="I47" s="570" t="str">
        <f>Table1[[#This Row],[Staff]]</f>
        <v>Nicole</v>
      </c>
      <c r="J47" s="569">
        <f>Table1[[#This Row],[Date]]</f>
        <v>41145</v>
      </c>
      <c r="K47" s="526"/>
      <c r="L47" s="526"/>
    </row>
    <row r="48" spans="1:12" hidden="1">
      <c r="A48" s="568">
        <v>1</v>
      </c>
      <c r="B48" s="37">
        <v>46</v>
      </c>
      <c r="C48" s="569">
        <v>41145</v>
      </c>
      <c r="D48" s="561" t="s">
        <v>355</v>
      </c>
      <c r="E48" s="561" t="s">
        <v>9</v>
      </c>
      <c r="F48" s="499" t="s">
        <v>420</v>
      </c>
      <c r="G48" s="570" t="s">
        <v>417</v>
      </c>
      <c r="H48" s="570" t="s">
        <v>424</v>
      </c>
      <c r="I48" s="570" t="str">
        <f>Table1[[#This Row],[Staff]]</f>
        <v>Nicole</v>
      </c>
      <c r="J48" s="569">
        <f>Table1[[#This Row],[Date]]</f>
        <v>41145</v>
      </c>
      <c r="K48" s="526"/>
      <c r="L48" s="526"/>
    </row>
    <row r="49" spans="1:12" hidden="1">
      <c r="A49" s="568">
        <v>1</v>
      </c>
      <c r="B49" s="37">
        <v>47</v>
      </c>
      <c r="C49" s="569">
        <v>41145</v>
      </c>
      <c r="D49" s="561" t="s">
        <v>355</v>
      </c>
      <c r="E49" s="561" t="s">
        <v>9</v>
      </c>
      <c r="F49" s="499" t="s">
        <v>421</v>
      </c>
      <c r="G49" s="570" t="s">
        <v>417</v>
      </c>
      <c r="H49" s="570" t="s">
        <v>424</v>
      </c>
      <c r="I49" s="570" t="str">
        <f>Table1[[#This Row],[Staff]]</f>
        <v>Nicole</v>
      </c>
      <c r="J49" s="569">
        <f>Table1[[#This Row],[Date]]</f>
        <v>41145</v>
      </c>
      <c r="K49" s="526"/>
      <c r="L49" s="526"/>
    </row>
    <row r="50" spans="1:12" hidden="1">
      <c r="A50" s="568">
        <v>1</v>
      </c>
      <c r="B50" s="37">
        <v>48</v>
      </c>
      <c r="C50" s="569">
        <v>41145</v>
      </c>
      <c r="D50" s="561" t="s">
        <v>355</v>
      </c>
      <c r="E50" s="561" t="s">
        <v>9</v>
      </c>
      <c r="F50" s="499" t="s">
        <v>418</v>
      </c>
      <c r="G50" s="570" t="s">
        <v>417</v>
      </c>
      <c r="H50" s="570" t="s">
        <v>424</v>
      </c>
      <c r="I50" s="570" t="str">
        <f>Table1[[#This Row],[Staff]]</f>
        <v>Nicole</v>
      </c>
      <c r="J50" s="569">
        <f>Table1[[#This Row],[Date]]</f>
        <v>41145</v>
      </c>
      <c r="K50" s="526"/>
      <c r="L50" s="526"/>
    </row>
    <row r="51" spans="1:12" ht="28.5" hidden="1">
      <c r="A51" s="568">
        <v>1</v>
      </c>
      <c r="B51" s="37">
        <v>49</v>
      </c>
      <c r="C51" s="569">
        <v>41145</v>
      </c>
      <c r="D51" s="561" t="s">
        <v>355</v>
      </c>
      <c r="E51" s="561" t="s">
        <v>9</v>
      </c>
      <c r="F51" s="499" t="s">
        <v>428</v>
      </c>
      <c r="G51" s="570" t="s">
        <v>430</v>
      </c>
      <c r="H51" s="570" t="s">
        <v>431</v>
      </c>
      <c r="I51" s="570" t="str">
        <f>Table1[[#This Row],[Staff]]</f>
        <v>Nicole</v>
      </c>
      <c r="J51" s="569">
        <f>Table1[[#This Row],[Date]]</f>
        <v>41145</v>
      </c>
      <c r="K51" s="526"/>
      <c r="L51" s="526"/>
    </row>
    <row r="52" spans="1:12" ht="28.5" hidden="1">
      <c r="A52" s="568">
        <v>1</v>
      </c>
      <c r="B52" s="37">
        <v>50</v>
      </c>
      <c r="C52" s="569">
        <v>41145</v>
      </c>
      <c r="D52" s="561" t="s">
        <v>355</v>
      </c>
      <c r="E52" s="561" t="s">
        <v>9</v>
      </c>
      <c r="F52" s="499" t="s">
        <v>429</v>
      </c>
      <c r="G52" s="570" t="s">
        <v>430</v>
      </c>
      <c r="H52" s="570" t="s">
        <v>432</v>
      </c>
      <c r="I52" s="570" t="str">
        <f>Table1[[#This Row],[Staff]]</f>
        <v>Nicole</v>
      </c>
      <c r="J52" s="569">
        <f>Table1[[#This Row],[Date]]</f>
        <v>41145</v>
      </c>
      <c r="K52" s="526"/>
      <c r="L52" s="526"/>
    </row>
    <row r="53" spans="1:12" hidden="1">
      <c r="A53" s="568">
        <v>1</v>
      </c>
      <c r="B53" s="37">
        <v>51</v>
      </c>
      <c r="C53" s="569">
        <v>41145</v>
      </c>
      <c r="D53" s="561" t="s">
        <v>355</v>
      </c>
      <c r="E53" s="561" t="s">
        <v>378</v>
      </c>
      <c r="F53" s="499" t="s">
        <v>433</v>
      </c>
      <c r="G53" s="570" t="s">
        <v>417</v>
      </c>
      <c r="H53" s="570" t="s">
        <v>424</v>
      </c>
      <c r="I53" s="570" t="str">
        <f>Table1[[#This Row],[Staff]]</f>
        <v>Nicole</v>
      </c>
      <c r="J53" s="569">
        <f>Table1[[#This Row],[Date]]</f>
        <v>41145</v>
      </c>
      <c r="K53" s="526"/>
      <c r="L53" s="526"/>
    </row>
    <row r="54" spans="1:12" hidden="1">
      <c r="A54" s="568">
        <v>1</v>
      </c>
      <c r="B54" s="37">
        <v>52</v>
      </c>
      <c r="C54" s="569">
        <v>41145</v>
      </c>
      <c r="D54" s="561" t="s">
        <v>355</v>
      </c>
      <c r="E54" s="561" t="s">
        <v>378</v>
      </c>
      <c r="F54" s="499" t="s">
        <v>434</v>
      </c>
      <c r="G54" s="570" t="s">
        <v>417</v>
      </c>
      <c r="H54" s="570" t="s">
        <v>424</v>
      </c>
      <c r="I54" s="570" t="str">
        <f>Table1[[#This Row],[Staff]]</f>
        <v>Nicole</v>
      </c>
      <c r="J54" s="569">
        <f>Table1[[#This Row],[Date]]</f>
        <v>41145</v>
      </c>
      <c r="K54" s="526"/>
      <c r="L54" s="526"/>
    </row>
    <row r="55" spans="1:12" hidden="1">
      <c r="A55" s="568">
        <v>1</v>
      </c>
      <c r="B55" s="37">
        <v>53</v>
      </c>
      <c r="C55" s="569">
        <v>41145</v>
      </c>
      <c r="D55" s="561" t="s">
        <v>355</v>
      </c>
      <c r="E55" s="561" t="s">
        <v>378</v>
      </c>
      <c r="F55" s="499" t="s">
        <v>435</v>
      </c>
      <c r="G55" s="570" t="s">
        <v>417</v>
      </c>
      <c r="H55" s="570" t="s">
        <v>424</v>
      </c>
      <c r="I55" s="570" t="str">
        <f>Table1[[#This Row],[Staff]]</f>
        <v>Nicole</v>
      </c>
      <c r="J55" s="569">
        <f>Table1[[#This Row],[Date]]</f>
        <v>41145</v>
      </c>
      <c r="K55" s="526"/>
      <c r="L55" s="526"/>
    </row>
    <row r="56" spans="1:12" hidden="1">
      <c r="A56" s="568">
        <v>1</v>
      </c>
      <c r="B56" s="37">
        <v>54</v>
      </c>
      <c r="C56" s="569">
        <v>41145</v>
      </c>
      <c r="D56" s="561" t="s">
        <v>355</v>
      </c>
      <c r="E56" s="561" t="s">
        <v>378</v>
      </c>
      <c r="F56" s="499" t="s">
        <v>436</v>
      </c>
      <c r="G56" s="570" t="s">
        <v>417</v>
      </c>
      <c r="H56" s="570" t="s">
        <v>424</v>
      </c>
      <c r="I56" s="570" t="str">
        <f>Table1[[#This Row],[Staff]]</f>
        <v>Nicole</v>
      </c>
      <c r="J56" s="569">
        <f>Table1[[#This Row],[Date]]</f>
        <v>41145</v>
      </c>
      <c r="K56" s="526"/>
      <c r="L56" s="526"/>
    </row>
    <row r="57" spans="1:12" hidden="1">
      <c r="A57" s="568">
        <v>1</v>
      </c>
      <c r="B57" s="37">
        <v>55</v>
      </c>
      <c r="C57" s="569">
        <v>41145</v>
      </c>
      <c r="D57" s="561" t="s">
        <v>355</v>
      </c>
      <c r="E57" s="561" t="s">
        <v>378</v>
      </c>
      <c r="F57" s="499" t="s">
        <v>437</v>
      </c>
      <c r="G57" s="570" t="s">
        <v>417</v>
      </c>
      <c r="H57" s="570" t="s">
        <v>424</v>
      </c>
      <c r="I57" s="570" t="str">
        <f>Table1[[#This Row],[Staff]]</f>
        <v>Nicole</v>
      </c>
      <c r="J57" s="569">
        <f>Table1[[#This Row],[Date]]</f>
        <v>41145</v>
      </c>
      <c r="K57" s="526"/>
      <c r="L57" s="526"/>
    </row>
    <row r="58" spans="1:12" hidden="1">
      <c r="A58" s="568">
        <v>1</v>
      </c>
      <c r="B58" s="37">
        <v>56</v>
      </c>
      <c r="C58" s="569">
        <v>41145</v>
      </c>
      <c r="D58" s="561" t="s">
        <v>355</v>
      </c>
      <c r="E58" s="561" t="s">
        <v>378</v>
      </c>
      <c r="F58" s="499" t="s">
        <v>438</v>
      </c>
      <c r="G58" s="570" t="s">
        <v>417</v>
      </c>
      <c r="H58" s="570" t="s">
        <v>424</v>
      </c>
      <c r="I58" s="570" t="str">
        <f>Table1[[#This Row],[Staff]]</f>
        <v>Nicole</v>
      </c>
      <c r="J58" s="569">
        <f>Table1[[#This Row],[Date]]</f>
        <v>41145</v>
      </c>
      <c r="K58" s="526"/>
      <c r="L58" s="526"/>
    </row>
    <row r="59" spans="1:12" hidden="1">
      <c r="A59" s="568">
        <v>1</v>
      </c>
      <c r="B59" s="37">
        <v>57</v>
      </c>
      <c r="C59" s="569">
        <v>41145</v>
      </c>
      <c r="D59" s="561" t="s">
        <v>355</v>
      </c>
      <c r="E59" s="561" t="s">
        <v>378</v>
      </c>
      <c r="F59" s="499" t="s">
        <v>439</v>
      </c>
      <c r="G59" s="570" t="s">
        <v>417</v>
      </c>
      <c r="H59" s="570" t="s">
        <v>424</v>
      </c>
      <c r="I59" s="570" t="str">
        <f>Table1[[#This Row],[Staff]]</f>
        <v>Nicole</v>
      </c>
      <c r="J59" s="569">
        <f>Table1[[#This Row],[Date]]</f>
        <v>41145</v>
      </c>
      <c r="K59" s="526"/>
      <c r="L59" s="526"/>
    </row>
    <row r="60" spans="1:12" hidden="1">
      <c r="A60" s="568">
        <v>1</v>
      </c>
      <c r="B60" s="37">
        <v>58</v>
      </c>
      <c r="C60" s="569">
        <v>41145</v>
      </c>
      <c r="D60" s="561" t="s">
        <v>355</v>
      </c>
      <c r="E60" s="561" t="s">
        <v>378</v>
      </c>
      <c r="F60" s="499" t="s">
        <v>440</v>
      </c>
      <c r="G60" s="570" t="s">
        <v>417</v>
      </c>
      <c r="H60" s="570" t="s">
        <v>424</v>
      </c>
      <c r="I60" s="570" t="str">
        <f>Table1[[#This Row],[Staff]]</f>
        <v>Nicole</v>
      </c>
      <c r="J60" s="569">
        <f>Table1[[#This Row],[Date]]</f>
        <v>41145</v>
      </c>
      <c r="K60" s="526"/>
      <c r="L60" s="526"/>
    </row>
    <row r="61" spans="1:12" hidden="1">
      <c r="A61" s="568">
        <v>1</v>
      </c>
      <c r="B61" s="37">
        <v>59</v>
      </c>
      <c r="C61" s="569">
        <v>41145</v>
      </c>
      <c r="D61" s="561" t="s">
        <v>355</v>
      </c>
      <c r="E61" s="561" t="s">
        <v>378</v>
      </c>
      <c r="F61" s="499" t="s">
        <v>441</v>
      </c>
      <c r="G61" s="570" t="s">
        <v>417</v>
      </c>
      <c r="H61" s="570" t="s">
        <v>424</v>
      </c>
      <c r="I61" s="570" t="str">
        <f>Table1[[#This Row],[Staff]]</f>
        <v>Nicole</v>
      </c>
      <c r="J61" s="569">
        <f>Table1[[#This Row],[Date]]</f>
        <v>41145</v>
      </c>
      <c r="K61" s="526"/>
      <c r="L61" s="526"/>
    </row>
    <row r="62" spans="1:12" hidden="1">
      <c r="A62" s="568">
        <v>1</v>
      </c>
      <c r="B62" s="37">
        <v>60</v>
      </c>
      <c r="C62" s="569">
        <v>41145</v>
      </c>
      <c r="D62" s="561" t="s">
        <v>355</v>
      </c>
      <c r="E62" s="561" t="s">
        <v>378</v>
      </c>
      <c r="F62" s="499" t="s">
        <v>442</v>
      </c>
      <c r="G62" s="570" t="s">
        <v>417</v>
      </c>
      <c r="H62" s="570" t="s">
        <v>424</v>
      </c>
      <c r="I62" s="570" t="str">
        <f>Table1[[#This Row],[Staff]]</f>
        <v>Nicole</v>
      </c>
      <c r="J62" s="569">
        <f>Table1[[#This Row],[Date]]</f>
        <v>41145</v>
      </c>
      <c r="K62" s="526"/>
      <c r="L62" s="526"/>
    </row>
    <row r="63" spans="1:12" hidden="1">
      <c r="A63" s="568">
        <v>1</v>
      </c>
      <c r="B63" s="37">
        <v>61</v>
      </c>
      <c r="C63" s="569">
        <v>41145</v>
      </c>
      <c r="D63" s="561" t="s">
        <v>355</v>
      </c>
      <c r="E63" s="561" t="s">
        <v>381</v>
      </c>
      <c r="F63" s="499" t="s">
        <v>433</v>
      </c>
      <c r="G63" s="570" t="s">
        <v>417</v>
      </c>
      <c r="H63" s="570" t="s">
        <v>424</v>
      </c>
      <c r="I63" s="570" t="str">
        <f>Table1[[#This Row],[Staff]]</f>
        <v>Nicole</v>
      </c>
      <c r="J63" s="569">
        <f>Table1[[#This Row],[Date]]</f>
        <v>41145</v>
      </c>
      <c r="K63" s="526"/>
      <c r="L63" s="526"/>
    </row>
    <row r="64" spans="1:12" hidden="1">
      <c r="A64" s="568">
        <v>1</v>
      </c>
      <c r="B64" s="37">
        <v>62</v>
      </c>
      <c r="C64" s="569">
        <v>41145</v>
      </c>
      <c r="D64" s="561" t="s">
        <v>355</v>
      </c>
      <c r="E64" s="561" t="s">
        <v>381</v>
      </c>
      <c r="F64" s="499" t="s">
        <v>443</v>
      </c>
      <c r="G64" s="570" t="s">
        <v>417</v>
      </c>
      <c r="H64" s="570" t="s">
        <v>424</v>
      </c>
      <c r="I64" s="570" t="str">
        <f>Table1[[#This Row],[Staff]]</f>
        <v>Nicole</v>
      </c>
      <c r="J64" s="569">
        <f>Table1[[#This Row],[Date]]</f>
        <v>41145</v>
      </c>
      <c r="K64" s="526"/>
      <c r="L64" s="526"/>
    </row>
    <row r="65" spans="1:12" hidden="1">
      <c r="A65" s="568">
        <v>1</v>
      </c>
      <c r="B65" s="37">
        <v>63</v>
      </c>
      <c r="C65" s="569">
        <v>41145</v>
      </c>
      <c r="D65" s="561" t="s">
        <v>355</v>
      </c>
      <c r="E65" s="561" t="s">
        <v>381</v>
      </c>
      <c r="F65" s="499" t="s">
        <v>444</v>
      </c>
      <c r="G65" s="570" t="s">
        <v>417</v>
      </c>
      <c r="H65" s="570" t="s">
        <v>424</v>
      </c>
      <c r="I65" s="570" t="str">
        <f>Table1[[#This Row],[Staff]]</f>
        <v>Nicole</v>
      </c>
      <c r="J65" s="569">
        <f>Table1[[#This Row],[Date]]</f>
        <v>41145</v>
      </c>
      <c r="K65" s="526"/>
      <c r="L65" s="526"/>
    </row>
    <row r="66" spans="1:12" hidden="1">
      <c r="A66" s="568">
        <v>1</v>
      </c>
      <c r="B66" s="37">
        <v>64</v>
      </c>
      <c r="C66" s="569">
        <v>41145</v>
      </c>
      <c r="D66" s="561" t="s">
        <v>355</v>
      </c>
      <c r="E66" s="561" t="s">
        <v>381</v>
      </c>
      <c r="F66" s="499" t="s">
        <v>445</v>
      </c>
      <c r="G66" s="570" t="s">
        <v>417</v>
      </c>
      <c r="H66" s="570" t="s">
        <v>424</v>
      </c>
      <c r="I66" s="570" t="str">
        <f>Table1[[#This Row],[Staff]]</f>
        <v>Nicole</v>
      </c>
      <c r="J66" s="569">
        <f>Table1[[#This Row],[Date]]</f>
        <v>41145</v>
      </c>
      <c r="K66" s="526"/>
      <c r="L66" s="526"/>
    </row>
    <row r="67" spans="1:12" hidden="1">
      <c r="A67" s="568">
        <v>1</v>
      </c>
      <c r="B67" s="37">
        <v>65</v>
      </c>
      <c r="C67" s="569">
        <v>41145</v>
      </c>
      <c r="D67" s="561" t="s">
        <v>355</v>
      </c>
      <c r="E67" s="561" t="s">
        <v>381</v>
      </c>
      <c r="F67" s="499" t="s">
        <v>446</v>
      </c>
      <c r="G67" s="570" t="s">
        <v>417</v>
      </c>
      <c r="H67" s="570" t="s">
        <v>424</v>
      </c>
      <c r="I67" s="570" t="str">
        <f>Table1[[#This Row],[Staff]]</f>
        <v>Nicole</v>
      </c>
      <c r="J67" s="569">
        <f>Table1[[#This Row],[Date]]</f>
        <v>41145</v>
      </c>
      <c r="K67" s="526"/>
      <c r="L67" s="526"/>
    </row>
    <row r="68" spans="1:12" hidden="1">
      <c r="A68" s="568">
        <v>1</v>
      </c>
      <c r="B68" s="37">
        <v>66</v>
      </c>
      <c r="C68" s="569">
        <v>41145</v>
      </c>
      <c r="D68" s="561" t="s">
        <v>355</v>
      </c>
      <c r="E68" s="561" t="s">
        <v>381</v>
      </c>
      <c r="F68" s="499" t="s">
        <v>447</v>
      </c>
      <c r="G68" s="570" t="s">
        <v>417</v>
      </c>
      <c r="H68" s="570" t="s">
        <v>424</v>
      </c>
      <c r="I68" s="570" t="str">
        <f>Table1[[#This Row],[Staff]]</f>
        <v>Nicole</v>
      </c>
      <c r="J68" s="569">
        <f>Table1[[#This Row],[Date]]</f>
        <v>41145</v>
      </c>
      <c r="K68" s="526"/>
      <c r="L68" s="526"/>
    </row>
    <row r="69" spans="1:12" hidden="1">
      <c r="A69" s="568">
        <v>1</v>
      </c>
      <c r="B69" s="37">
        <v>67</v>
      </c>
      <c r="C69" s="569">
        <v>41145</v>
      </c>
      <c r="D69" s="561" t="s">
        <v>355</v>
      </c>
      <c r="E69" s="561" t="s">
        <v>381</v>
      </c>
      <c r="F69" s="499" t="s">
        <v>448</v>
      </c>
      <c r="G69" s="570" t="s">
        <v>417</v>
      </c>
      <c r="H69" s="570" t="s">
        <v>424</v>
      </c>
      <c r="I69" s="570" t="str">
        <f>Table1[[#This Row],[Staff]]</f>
        <v>Nicole</v>
      </c>
      <c r="J69" s="569">
        <f>Table1[[#This Row],[Date]]</f>
        <v>41145</v>
      </c>
      <c r="K69" s="526"/>
      <c r="L69" s="526"/>
    </row>
    <row r="70" spans="1:12" hidden="1">
      <c r="A70" s="568">
        <v>1</v>
      </c>
      <c r="B70" s="37">
        <v>68</v>
      </c>
      <c r="C70" s="569">
        <v>41145</v>
      </c>
      <c r="D70" s="561" t="s">
        <v>355</v>
      </c>
      <c r="E70" s="561" t="s">
        <v>381</v>
      </c>
      <c r="F70" s="499" t="s">
        <v>449</v>
      </c>
      <c r="G70" s="570" t="s">
        <v>417</v>
      </c>
      <c r="H70" s="570" t="s">
        <v>424</v>
      </c>
      <c r="I70" s="570" t="str">
        <f>Table1[[#This Row],[Staff]]</f>
        <v>Nicole</v>
      </c>
      <c r="J70" s="569">
        <f>Table1[[#This Row],[Date]]</f>
        <v>41145</v>
      </c>
      <c r="K70" s="526"/>
      <c r="L70" s="526"/>
    </row>
    <row r="71" spans="1:12" hidden="1">
      <c r="A71" s="568">
        <v>1</v>
      </c>
      <c r="B71" s="37">
        <v>69</v>
      </c>
      <c r="C71" s="569">
        <v>41145</v>
      </c>
      <c r="D71" s="561" t="s">
        <v>355</v>
      </c>
      <c r="E71" s="561" t="s">
        <v>378</v>
      </c>
      <c r="F71" s="499" t="s">
        <v>450</v>
      </c>
      <c r="G71" s="570" t="s">
        <v>451</v>
      </c>
      <c r="H71" s="570" t="s">
        <v>452</v>
      </c>
      <c r="I71" s="570" t="str">
        <f>Table1[[#This Row],[Staff]]</f>
        <v>Nicole</v>
      </c>
      <c r="J71" s="569">
        <f>Table1[[#This Row],[Date]]</f>
        <v>41145</v>
      </c>
      <c r="K71" s="526"/>
      <c r="L71" s="526"/>
    </row>
    <row r="72" spans="1:12" hidden="1">
      <c r="A72" s="568">
        <v>1</v>
      </c>
      <c r="B72" s="37">
        <v>70</v>
      </c>
      <c r="C72" s="569">
        <v>41145</v>
      </c>
      <c r="D72" s="561" t="s">
        <v>355</v>
      </c>
      <c r="E72" s="561" t="s">
        <v>62</v>
      </c>
      <c r="F72" s="499" t="s">
        <v>418</v>
      </c>
      <c r="G72" s="570" t="s">
        <v>417</v>
      </c>
      <c r="H72" s="570" t="s">
        <v>424</v>
      </c>
      <c r="I72" s="570" t="str">
        <f>Table1[[#This Row],[Staff]]</f>
        <v>Nicole</v>
      </c>
      <c r="J72" s="569">
        <f>Table1[[#This Row],[Date]]</f>
        <v>41145</v>
      </c>
      <c r="K72" s="526"/>
      <c r="L72" s="526"/>
    </row>
    <row r="73" spans="1:12" hidden="1">
      <c r="A73" s="568">
        <v>1</v>
      </c>
      <c r="B73" s="37">
        <v>71</v>
      </c>
      <c r="C73" s="569">
        <v>41145</v>
      </c>
      <c r="D73" s="561" t="s">
        <v>355</v>
      </c>
      <c r="E73" s="561" t="s">
        <v>62</v>
      </c>
      <c r="F73" s="499" t="s">
        <v>453</v>
      </c>
      <c r="G73" s="570" t="s">
        <v>417</v>
      </c>
      <c r="H73" s="570" t="s">
        <v>424</v>
      </c>
      <c r="I73" s="570" t="str">
        <f>Table1[[#This Row],[Staff]]</f>
        <v>Nicole</v>
      </c>
      <c r="J73" s="569">
        <f>Table1[[#This Row],[Date]]</f>
        <v>41145</v>
      </c>
      <c r="K73" s="526"/>
      <c r="L73" s="526"/>
    </row>
    <row r="74" spans="1:12" hidden="1">
      <c r="A74" s="568">
        <v>1</v>
      </c>
      <c r="B74" s="37">
        <v>72</v>
      </c>
      <c r="C74" s="569">
        <v>41145</v>
      </c>
      <c r="D74" s="561" t="s">
        <v>355</v>
      </c>
      <c r="E74" s="561" t="s">
        <v>62</v>
      </c>
      <c r="F74" s="499" t="s">
        <v>454</v>
      </c>
      <c r="G74" s="570" t="s">
        <v>417</v>
      </c>
      <c r="H74" s="570" t="s">
        <v>424</v>
      </c>
      <c r="I74" s="570" t="str">
        <f>Table1[[#This Row],[Staff]]</f>
        <v>Nicole</v>
      </c>
      <c r="J74" s="569">
        <f>Table1[[#This Row],[Date]]</f>
        <v>41145</v>
      </c>
      <c r="K74" s="526"/>
      <c r="L74" s="526"/>
    </row>
    <row r="75" spans="1:12" hidden="1">
      <c r="A75" s="568">
        <v>1</v>
      </c>
      <c r="B75" s="37">
        <v>73</v>
      </c>
      <c r="C75" s="569">
        <v>41145</v>
      </c>
      <c r="D75" s="561" t="s">
        <v>355</v>
      </c>
      <c r="E75" s="561" t="s">
        <v>62</v>
      </c>
      <c r="F75" s="499" t="s">
        <v>455</v>
      </c>
      <c r="G75" s="570" t="s">
        <v>417</v>
      </c>
      <c r="H75" s="570" t="s">
        <v>424</v>
      </c>
      <c r="I75" s="570" t="str">
        <f>Table1[[#This Row],[Staff]]</f>
        <v>Nicole</v>
      </c>
      <c r="J75" s="569">
        <f>Table1[[#This Row],[Date]]</f>
        <v>41145</v>
      </c>
      <c r="K75" s="526"/>
      <c r="L75" s="526"/>
    </row>
    <row r="76" spans="1:12" hidden="1">
      <c r="A76" s="568">
        <v>1</v>
      </c>
      <c r="B76" s="37">
        <v>74</v>
      </c>
      <c r="C76" s="569">
        <v>41145</v>
      </c>
      <c r="D76" s="561" t="s">
        <v>355</v>
      </c>
      <c r="E76" s="561" t="s">
        <v>62</v>
      </c>
      <c r="F76" s="499" t="s">
        <v>456</v>
      </c>
      <c r="G76" s="570" t="s">
        <v>417</v>
      </c>
      <c r="H76" s="570" t="s">
        <v>424</v>
      </c>
      <c r="I76" s="570" t="str">
        <f>Table1[[#This Row],[Staff]]</f>
        <v>Nicole</v>
      </c>
      <c r="J76" s="569">
        <f>Table1[[#This Row],[Date]]</f>
        <v>41145</v>
      </c>
      <c r="K76" s="526"/>
      <c r="L76" s="526"/>
    </row>
    <row r="77" spans="1:12" hidden="1">
      <c r="A77" s="568">
        <v>1</v>
      </c>
      <c r="B77" s="37">
        <v>75</v>
      </c>
      <c r="C77" s="569">
        <v>41145</v>
      </c>
      <c r="D77" s="561" t="s">
        <v>355</v>
      </c>
      <c r="E77" s="561" t="s">
        <v>62</v>
      </c>
      <c r="F77" s="499" t="s">
        <v>457</v>
      </c>
      <c r="G77" s="570" t="s">
        <v>417</v>
      </c>
      <c r="H77" s="570" t="s">
        <v>424</v>
      </c>
      <c r="I77" s="570" t="str">
        <f>Table1[[#This Row],[Staff]]</f>
        <v>Nicole</v>
      </c>
      <c r="J77" s="569">
        <f>Table1[[#This Row],[Date]]</f>
        <v>41145</v>
      </c>
      <c r="K77" s="526"/>
      <c r="L77" s="526"/>
    </row>
    <row r="78" spans="1:12" hidden="1">
      <c r="A78" s="568">
        <v>1</v>
      </c>
      <c r="B78" s="37">
        <v>76</v>
      </c>
      <c r="C78" s="569">
        <v>41145</v>
      </c>
      <c r="D78" s="571" t="s">
        <v>355</v>
      </c>
      <c r="E78" s="561" t="s">
        <v>386</v>
      </c>
      <c r="F78" s="499" t="s">
        <v>458</v>
      </c>
      <c r="G78" s="570" t="s">
        <v>417</v>
      </c>
      <c r="H78" s="570" t="s">
        <v>424</v>
      </c>
      <c r="I78" s="570" t="str">
        <f>Table1[[#This Row],[Staff]]</f>
        <v>Nicole</v>
      </c>
      <c r="J78" s="569">
        <f>Table1[[#This Row],[Date]]</f>
        <v>41145</v>
      </c>
      <c r="K78" s="526"/>
      <c r="L78" s="526"/>
    </row>
    <row r="79" spans="1:12" hidden="1">
      <c r="A79" s="568">
        <v>1</v>
      </c>
      <c r="B79" s="37">
        <v>77</v>
      </c>
      <c r="C79" s="569">
        <v>41145</v>
      </c>
      <c r="D79" s="571" t="s">
        <v>355</v>
      </c>
      <c r="E79" s="561" t="s">
        <v>386</v>
      </c>
      <c r="F79" s="499" t="s">
        <v>459</v>
      </c>
      <c r="G79" s="570" t="s">
        <v>417</v>
      </c>
      <c r="H79" s="570" t="s">
        <v>424</v>
      </c>
      <c r="I79" s="570" t="str">
        <f>Table1[[#This Row],[Staff]]</f>
        <v>Nicole</v>
      </c>
      <c r="J79" s="569">
        <f>Table1[[#This Row],[Date]]</f>
        <v>41145</v>
      </c>
      <c r="K79" s="526"/>
      <c r="L79" s="526"/>
    </row>
    <row r="80" spans="1:12" hidden="1">
      <c r="A80" s="568">
        <v>1</v>
      </c>
      <c r="B80" s="37">
        <v>78</v>
      </c>
      <c r="C80" s="569">
        <v>41145</v>
      </c>
      <c r="D80" s="571" t="s">
        <v>355</v>
      </c>
      <c r="E80" s="561" t="s">
        <v>386</v>
      </c>
      <c r="F80" s="499" t="s">
        <v>420</v>
      </c>
      <c r="G80" s="570" t="s">
        <v>417</v>
      </c>
      <c r="H80" s="570" t="s">
        <v>424</v>
      </c>
      <c r="I80" s="570" t="str">
        <f>Table1[[#This Row],[Staff]]</f>
        <v>Nicole</v>
      </c>
      <c r="J80" s="569">
        <f>Table1[[#This Row],[Date]]</f>
        <v>41145</v>
      </c>
      <c r="K80" s="526"/>
      <c r="L80" s="526"/>
    </row>
    <row r="81" spans="1:35" hidden="1">
      <c r="A81" s="568">
        <v>1</v>
      </c>
      <c r="B81" s="37">
        <v>79</v>
      </c>
      <c r="C81" s="569">
        <v>41145</v>
      </c>
      <c r="D81" s="571" t="s">
        <v>355</v>
      </c>
      <c r="E81" s="561" t="s">
        <v>386</v>
      </c>
      <c r="F81" s="499" t="s">
        <v>460</v>
      </c>
      <c r="G81" s="570" t="s">
        <v>417</v>
      </c>
      <c r="H81" s="570" t="s">
        <v>424</v>
      </c>
      <c r="I81" s="570" t="str">
        <f>Table1[[#This Row],[Staff]]</f>
        <v>Nicole</v>
      </c>
      <c r="J81" s="569">
        <f>Table1[[#This Row],[Date]]</f>
        <v>41145</v>
      </c>
      <c r="K81" s="526"/>
      <c r="L81" s="526"/>
    </row>
    <row r="82" spans="1:35" hidden="1">
      <c r="A82" s="568">
        <v>1</v>
      </c>
      <c r="B82" s="37">
        <v>80</v>
      </c>
      <c r="C82" s="569">
        <v>41145</v>
      </c>
      <c r="D82" s="571" t="s">
        <v>355</v>
      </c>
      <c r="E82" s="561" t="s">
        <v>386</v>
      </c>
      <c r="F82" s="499" t="s">
        <v>461</v>
      </c>
      <c r="G82" s="570" t="s">
        <v>417</v>
      </c>
      <c r="H82" s="570" t="s">
        <v>424</v>
      </c>
      <c r="I82" s="570" t="str">
        <f>Table1[[#This Row],[Staff]]</f>
        <v>Nicole</v>
      </c>
      <c r="J82" s="569">
        <f>Table1[[#This Row],[Date]]</f>
        <v>41145</v>
      </c>
      <c r="K82" s="526"/>
      <c r="L82" s="526"/>
    </row>
    <row r="83" spans="1:35" hidden="1">
      <c r="A83" s="568">
        <v>1</v>
      </c>
      <c r="B83" s="37">
        <v>81</v>
      </c>
      <c r="C83" s="569">
        <v>41145</v>
      </c>
      <c r="D83" s="571" t="s">
        <v>355</v>
      </c>
      <c r="E83" s="561" t="s">
        <v>386</v>
      </c>
      <c r="F83" s="499" t="s">
        <v>462</v>
      </c>
      <c r="G83" s="570" t="s">
        <v>417</v>
      </c>
      <c r="H83" s="570" t="s">
        <v>424</v>
      </c>
      <c r="I83" s="570" t="str">
        <f>Table1[[#This Row],[Staff]]</f>
        <v>Nicole</v>
      </c>
      <c r="J83" s="569">
        <f>Table1[[#This Row],[Date]]</f>
        <v>41145</v>
      </c>
      <c r="K83" s="526"/>
      <c r="L83" s="526"/>
    </row>
    <row r="84" spans="1:35" hidden="1">
      <c r="A84" s="568">
        <v>1</v>
      </c>
      <c r="B84" s="37">
        <v>82</v>
      </c>
      <c r="C84" s="569">
        <v>41148</v>
      </c>
      <c r="D84" s="573" t="s">
        <v>355</v>
      </c>
      <c r="E84" s="573" t="s">
        <v>388</v>
      </c>
      <c r="F84" s="499" t="s">
        <v>458</v>
      </c>
      <c r="G84" s="570" t="s">
        <v>417</v>
      </c>
      <c r="H84" s="570" t="s">
        <v>424</v>
      </c>
      <c r="I84" s="570" t="str">
        <f>Table1[[#This Row],[Staff]]</f>
        <v>Nicole</v>
      </c>
      <c r="J84" s="569">
        <f>Table1[[#This Row],[Date]]</f>
        <v>41148</v>
      </c>
      <c r="K84" s="526"/>
      <c r="L84" s="526"/>
    </row>
    <row r="85" spans="1:35" s="571" customFormat="1" hidden="1">
      <c r="A85" s="568">
        <v>1</v>
      </c>
      <c r="B85" s="37">
        <v>83</v>
      </c>
      <c r="C85" s="569">
        <v>41148</v>
      </c>
      <c r="D85" s="573" t="s">
        <v>355</v>
      </c>
      <c r="E85" s="573" t="s">
        <v>388</v>
      </c>
      <c r="F85" s="499" t="s">
        <v>467</v>
      </c>
      <c r="G85" s="570" t="s">
        <v>417</v>
      </c>
      <c r="H85" s="570" t="s">
        <v>424</v>
      </c>
      <c r="I85" s="570" t="str">
        <f>Table1[[#This Row],[Staff]]</f>
        <v>Nicole</v>
      </c>
      <c r="J85" s="569">
        <f>Table1[[#This Row],[Date]]</f>
        <v>41148</v>
      </c>
      <c r="K85" s="526"/>
      <c r="L85" s="526"/>
      <c r="AF85" s="499"/>
      <c r="AG85" s="499"/>
      <c r="AH85" s="499"/>
      <c r="AI85" s="499"/>
    </row>
    <row r="86" spans="1:35" s="571" customFormat="1" hidden="1">
      <c r="A86" s="568">
        <v>1</v>
      </c>
      <c r="B86" s="37">
        <v>84</v>
      </c>
      <c r="C86" s="569">
        <v>41148</v>
      </c>
      <c r="D86" s="573" t="s">
        <v>355</v>
      </c>
      <c r="E86" s="573" t="s">
        <v>388</v>
      </c>
      <c r="F86" s="499" t="s">
        <v>459</v>
      </c>
      <c r="G86" s="570" t="s">
        <v>417</v>
      </c>
      <c r="H86" s="570" t="s">
        <v>424</v>
      </c>
      <c r="I86" s="570" t="str">
        <f>Table1[[#This Row],[Staff]]</f>
        <v>Nicole</v>
      </c>
      <c r="J86" s="569">
        <f>Table1[[#This Row],[Date]]</f>
        <v>41148</v>
      </c>
      <c r="K86" s="526"/>
      <c r="L86" s="526"/>
      <c r="AF86" s="499"/>
      <c r="AG86" s="499"/>
      <c r="AH86" s="499"/>
      <c r="AI86" s="499"/>
    </row>
    <row r="87" spans="1:35" s="571" customFormat="1" hidden="1">
      <c r="A87" s="568">
        <v>1</v>
      </c>
      <c r="B87" s="37">
        <v>85</v>
      </c>
      <c r="C87" s="569">
        <v>41148</v>
      </c>
      <c r="D87" s="573" t="s">
        <v>355</v>
      </c>
      <c r="E87" s="573" t="s">
        <v>388</v>
      </c>
      <c r="F87" s="499" t="s">
        <v>420</v>
      </c>
      <c r="G87" s="570" t="s">
        <v>417</v>
      </c>
      <c r="H87" s="570" t="s">
        <v>424</v>
      </c>
      <c r="I87" s="570" t="str">
        <f>Table1[[#This Row],[Staff]]</f>
        <v>Nicole</v>
      </c>
      <c r="J87" s="569">
        <f>Table1[[#This Row],[Date]]</f>
        <v>41148</v>
      </c>
      <c r="K87" s="526"/>
      <c r="L87" s="526"/>
      <c r="AF87" s="499"/>
      <c r="AG87" s="499"/>
      <c r="AH87" s="499"/>
      <c r="AI87" s="499"/>
    </row>
    <row r="88" spans="1:35" s="571" customFormat="1" hidden="1">
      <c r="A88" s="568">
        <v>1</v>
      </c>
      <c r="B88" s="37">
        <v>86</v>
      </c>
      <c r="C88" s="569">
        <v>41148</v>
      </c>
      <c r="D88" s="573" t="s">
        <v>355</v>
      </c>
      <c r="E88" s="573" t="s">
        <v>388</v>
      </c>
      <c r="F88" s="499" t="s">
        <v>460</v>
      </c>
      <c r="G88" s="570" t="s">
        <v>417</v>
      </c>
      <c r="H88" s="570" t="s">
        <v>424</v>
      </c>
      <c r="I88" s="570" t="str">
        <f>Table1[[#This Row],[Staff]]</f>
        <v>Nicole</v>
      </c>
      <c r="J88" s="569">
        <f>Table1[[#This Row],[Date]]</f>
        <v>41148</v>
      </c>
      <c r="K88" s="526"/>
      <c r="L88" s="526"/>
      <c r="AF88" s="499"/>
      <c r="AG88" s="499"/>
      <c r="AH88" s="499"/>
      <c r="AI88" s="499"/>
    </row>
    <row r="89" spans="1:35" s="571" customFormat="1" hidden="1">
      <c r="A89" s="568">
        <v>1</v>
      </c>
      <c r="B89" s="37">
        <v>87</v>
      </c>
      <c r="C89" s="569">
        <v>41148</v>
      </c>
      <c r="D89" s="573" t="s">
        <v>355</v>
      </c>
      <c r="E89" s="573" t="s">
        <v>388</v>
      </c>
      <c r="F89" s="499" t="s">
        <v>461</v>
      </c>
      <c r="G89" s="570" t="s">
        <v>417</v>
      </c>
      <c r="H89" s="570" t="s">
        <v>424</v>
      </c>
      <c r="I89" s="570" t="str">
        <f>Table1[[#This Row],[Staff]]</f>
        <v>Nicole</v>
      </c>
      <c r="J89" s="569">
        <f>Table1[[#This Row],[Date]]</f>
        <v>41148</v>
      </c>
      <c r="K89" s="526"/>
      <c r="L89" s="526"/>
      <c r="AF89" s="499"/>
      <c r="AG89" s="499"/>
      <c r="AH89" s="499"/>
      <c r="AI89" s="499"/>
    </row>
    <row r="90" spans="1:35" s="571" customFormat="1" hidden="1">
      <c r="A90" s="568">
        <v>1</v>
      </c>
      <c r="B90" s="37">
        <v>88</v>
      </c>
      <c r="C90" s="569">
        <v>41148</v>
      </c>
      <c r="D90" s="573" t="s">
        <v>355</v>
      </c>
      <c r="E90" s="573" t="s">
        <v>388</v>
      </c>
      <c r="F90" s="499" t="s">
        <v>462</v>
      </c>
      <c r="G90" s="570" t="s">
        <v>417</v>
      </c>
      <c r="H90" s="570" t="s">
        <v>424</v>
      </c>
      <c r="I90" s="570" t="str">
        <f>Table1[[#This Row],[Staff]]</f>
        <v>Nicole</v>
      </c>
      <c r="J90" s="569">
        <f>Table1[[#This Row],[Date]]</f>
        <v>41148</v>
      </c>
      <c r="K90" s="526"/>
      <c r="L90" s="526"/>
      <c r="AF90" s="499"/>
      <c r="AG90" s="499"/>
      <c r="AH90" s="499"/>
      <c r="AI90" s="499"/>
    </row>
    <row r="91" spans="1:35" s="571" customFormat="1" hidden="1">
      <c r="A91" s="568">
        <v>1</v>
      </c>
      <c r="B91" s="37">
        <v>89</v>
      </c>
      <c r="C91" s="569">
        <v>41148</v>
      </c>
      <c r="D91" s="573" t="s">
        <v>355</v>
      </c>
      <c r="E91" s="573" t="s">
        <v>394</v>
      </c>
      <c r="F91" s="499" t="s">
        <v>458</v>
      </c>
      <c r="G91" s="570" t="s">
        <v>417</v>
      </c>
      <c r="H91" s="570" t="s">
        <v>424</v>
      </c>
      <c r="I91" s="570" t="str">
        <f>Table1[[#This Row],[Staff]]</f>
        <v>Nicole</v>
      </c>
      <c r="J91" s="569">
        <f>Table1[[#This Row],[Date]]</f>
        <v>41148</v>
      </c>
      <c r="K91" s="526"/>
      <c r="L91" s="526"/>
      <c r="AF91" s="499"/>
      <c r="AG91" s="499"/>
      <c r="AH91" s="499"/>
      <c r="AI91" s="499"/>
    </row>
    <row r="92" spans="1:35" s="571" customFormat="1" hidden="1">
      <c r="A92" s="568">
        <v>1</v>
      </c>
      <c r="B92" s="37">
        <v>90</v>
      </c>
      <c r="C92" s="569">
        <v>41148</v>
      </c>
      <c r="D92" s="573" t="s">
        <v>355</v>
      </c>
      <c r="E92" s="573" t="s">
        <v>394</v>
      </c>
      <c r="F92" s="499" t="s">
        <v>459</v>
      </c>
      <c r="G92" s="570" t="s">
        <v>417</v>
      </c>
      <c r="H92" s="570" t="s">
        <v>424</v>
      </c>
      <c r="I92" s="570" t="str">
        <f>Table1[[#This Row],[Staff]]</f>
        <v>Nicole</v>
      </c>
      <c r="J92" s="569">
        <f>Table1[[#This Row],[Date]]</f>
        <v>41148</v>
      </c>
      <c r="K92" s="526"/>
      <c r="L92" s="526"/>
      <c r="AF92" s="499"/>
      <c r="AG92" s="499"/>
      <c r="AH92" s="499"/>
      <c r="AI92" s="499"/>
    </row>
    <row r="93" spans="1:35" s="571" customFormat="1" hidden="1">
      <c r="A93" s="568">
        <v>1</v>
      </c>
      <c r="B93" s="37">
        <v>91</v>
      </c>
      <c r="C93" s="569">
        <v>41148</v>
      </c>
      <c r="D93" s="573" t="s">
        <v>355</v>
      </c>
      <c r="E93" s="573" t="s">
        <v>394</v>
      </c>
      <c r="F93" s="499" t="s">
        <v>420</v>
      </c>
      <c r="G93" s="570" t="s">
        <v>417</v>
      </c>
      <c r="H93" s="570" t="s">
        <v>424</v>
      </c>
      <c r="I93" s="570" t="str">
        <f>Table1[[#This Row],[Staff]]</f>
        <v>Nicole</v>
      </c>
      <c r="J93" s="569">
        <f>Table1[[#This Row],[Date]]</f>
        <v>41148</v>
      </c>
      <c r="K93" s="526"/>
      <c r="L93" s="526"/>
      <c r="AF93" s="499"/>
      <c r="AG93" s="499"/>
      <c r="AH93" s="499"/>
      <c r="AI93" s="499"/>
    </row>
    <row r="94" spans="1:35" s="571" customFormat="1" hidden="1">
      <c r="A94" s="568">
        <v>1</v>
      </c>
      <c r="B94" s="37">
        <v>92</v>
      </c>
      <c r="C94" s="569">
        <v>41148</v>
      </c>
      <c r="D94" s="573" t="s">
        <v>355</v>
      </c>
      <c r="E94" s="573" t="s">
        <v>394</v>
      </c>
      <c r="F94" s="499" t="s">
        <v>460</v>
      </c>
      <c r="G94" s="570" t="s">
        <v>417</v>
      </c>
      <c r="H94" s="570" t="s">
        <v>424</v>
      </c>
      <c r="I94" s="570" t="str">
        <f>Table1[[#This Row],[Staff]]</f>
        <v>Nicole</v>
      </c>
      <c r="J94" s="569">
        <f>Table1[[#This Row],[Date]]</f>
        <v>41148</v>
      </c>
      <c r="K94" s="526"/>
      <c r="L94" s="526"/>
      <c r="AF94" s="499"/>
      <c r="AG94" s="499"/>
      <c r="AH94" s="499"/>
      <c r="AI94" s="499"/>
    </row>
    <row r="95" spans="1:35" s="571" customFormat="1" hidden="1">
      <c r="A95" s="568">
        <v>1</v>
      </c>
      <c r="B95" s="37">
        <v>93</v>
      </c>
      <c r="C95" s="569">
        <v>41148</v>
      </c>
      <c r="D95" s="573" t="s">
        <v>355</v>
      </c>
      <c r="E95" s="573" t="s">
        <v>394</v>
      </c>
      <c r="F95" s="499" t="s">
        <v>461</v>
      </c>
      <c r="G95" s="570" t="s">
        <v>417</v>
      </c>
      <c r="H95" s="570" t="s">
        <v>424</v>
      </c>
      <c r="I95" s="570" t="str">
        <f>Table1[[#This Row],[Staff]]</f>
        <v>Nicole</v>
      </c>
      <c r="J95" s="569">
        <f>Table1[[#This Row],[Date]]</f>
        <v>41148</v>
      </c>
      <c r="K95" s="526"/>
      <c r="L95" s="526"/>
      <c r="AF95" s="499"/>
      <c r="AG95" s="499"/>
      <c r="AH95" s="499"/>
      <c r="AI95" s="499"/>
    </row>
    <row r="96" spans="1:35" s="571" customFormat="1" hidden="1">
      <c r="A96" s="568">
        <v>1</v>
      </c>
      <c r="B96" s="37">
        <v>94</v>
      </c>
      <c r="C96" s="569">
        <v>41148</v>
      </c>
      <c r="D96" s="573" t="s">
        <v>355</v>
      </c>
      <c r="E96" s="573" t="s">
        <v>394</v>
      </c>
      <c r="F96" s="499" t="s">
        <v>462</v>
      </c>
      <c r="G96" s="570" t="s">
        <v>417</v>
      </c>
      <c r="H96" s="570" t="s">
        <v>424</v>
      </c>
      <c r="I96" s="570" t="str">
        <f>Table1[[#This Row],[Staff]]</f>
        <v>Nicole</v>
      </c>
      <c r="J96" s="569">
        <f>Table1[[#This Row],[Date]]</f>
        <v>41148</v>
      </c>
      <c r="K96" s="526"/>
      <c r="L96" s="526"/>
      <c r="AF96" s="499"/>
      <c r="AG96" s="499"/>
      <c r="AH96" s="499"/>
      <c r="AI96" s="499"/>
    </row>
    <row r="97" spans="1:35" s="571" customFormat="1" hidden="1">
      <c r="A97" s="568">
        <v>1</v>
      </c>
      <c r="B97" s="37">
        <v>95</v>
      </c>
      <c r="C97" s="569">
        <v>41148</v>
      </c>
      <c r="D97" s="573" t="s">
        <v>355</v>
      </c>
      <c r="E97" s="573" t="s">
        <v>394</v>
      </c>
      <c r="F97" s="499" t="s">
        <v>468</v>
      </c>
      <c r="G97" s="570" t="s">
        <v>417</v>
      </c>
      <c r="H97" s="570" t="s">
        <v>424</v>
      </c>
      <c r="I97" s="570" t="str">
        <f>Table1[[#This Row],[Staff]]</f>
        <v>Nicole</v>
      </c>
      <c r="J97" s="569">
        <f>Table1[[#This Row],[Date]]</f>
        <v>41148</v>
      </c>
      <c r="K97" s="526"/>
      <c r="L97" s="526"/>
      <c r="AF97" s="499"/>
      <c r="AG97" s="499"/>
      <c r="AH97" s="499"/>
      <c r="AI97" s="499"/>
    </row>
    <row r="98" spans="1:35" s="571" customFormat="1" hidden="1">
      <c r="A98" s="568">
        <v>1</v>
      </c>
      <c r="B98" s="37">
        <v>96</v>
      </c>
      <c r="C98" s="569">
        <v>41148</v>
      </c>
      <c r="D98" s="573" t="s">
        <v>355</v>
      </c>
      <c r="E98" s="573" t="s">
        <v>394</v>
      </c>
      <c r="F98" s="499" t="s">
        <v>469</v>
      </c>
      <c r="G98" s="570" t="s">
        <v>417</v>
      </c>
      <c r="H98" s="570" t="s">
        <v>424</v>
      </c>
      <c r="I98" s="570" t="str">
        <f>Table1[[#This Row],[Staff]]</f>
        <v>Nicole</v>
      </c>
      <c r="J98" s="569">
        <f>Table1[[#This Row],[Date]]</f>
        <v>41148</v>
      </c>
      <c r="K98" s="526"/>
      <c r="L98" s="526"/>
      <c r="AF98" s="499"/>
      <c r="AG98" s="499"/>
      <c r="AH98" s="499"/>
      <c r="AI98" s="499"/>
    </row>
    <row r="99" spans="1:35" s="571" customFormat="1" hidden="1">
      <c r="A99" s="568">
        <v>1</v>
      </c>
      <c r="B99" s="37">
        <v>97</v>
      </c>
      <c r="C99" s="569">
        <v>41148</v>
      </c>
      <c r="D99" s="573" t="s">
        <v>355</v>
      </c>
      <c r="E99" s="576" t="s">
        <v>399</v>
      </c>
      <c r="F99" s="499" t="s">
        <v>458</v>
      </c>
      <c r="G99" s="570" t="s">
        <v>417</v>
      </c>
      <c r="H99" s="570" t="s">
        <v>424</v>
      </c>
      <c r="I99" s="570" t="str">
        <f>Table1[[#This Row],[Staff]]</f>
        <v>Nicole</v>
      </c>
      <c r="J99" s="569">
        <f>Table1[[#This Row],[Date]]</f>
        <v>41148</v>
      </c>
      <c r="K99" s="526"/>
      <c r="L99" s="526"/>
      <c r="AF99" s="499"/>
      <c r="AG99" s="499"/>
      <c r="AH99" s="499"/>
      <c r="AI99" s="499"/>
    </row>
    <row r="100" spans="1:35" s="571" customFormat="1" hidden="1">
      <c r="A100" s="568">
        <v>1</v>
      </c>
      <c r="B100" s="37">
        <v>98</v>
      </c>
      <c r="C100" s="569">
        <v>41148</v>
      </c>
      <c r="D100" s="573" t="s">
        <v>355</v>
      </c>
      <c r="E100" s="576" t="s">
        <v>399</v>
      </c>
      <c r="F100" s="499" t="s">
        <v>459</v>
      </c>
      <c r="G100" s="570" t="s">
        <v>417</v>
      </c>
      <c r="H100" s="570" t="s">
        <v>424</v>
      </c>
      <c r="I100" s="570" t="str">
        <f>Table1[[#This Row],[Staff]]</f>
        <v>Nicole</v>
      </c>
      <c r="J100" s="569">
        <f>Table1[[#This Row],[Date]]</f>
        <v>41148</v>
      </c>
      <c r="K100" s="526"/>
      <c r="L100" s="526"/>
      <c r="AF100" s="499"/>
      <c r="AG100" s="499"/>
      <c r="AH100" s="499"/>
      <c r="AI100" s="499"/>
    </row>
    <row r="101" spans="1:35" s="571" customFormat="1" hidden="1">
      <c r="A101" s="568">
        <v>1</v>
      </c>
      <c r="B101" s="37">
        <v>99</v>
      </c>
      <c r="C101" s="569">
        <v>41148</v>
      </c>
      <c r="D101" s="576" t="s">
        <v>355</v>
      </c>
      <c r="E101" s="576" t="s">
        <v>399</v>
      </c>
      <c r="F101" s="499" t="s">
        <v>420</v>
      </c>
      <c r="G101" s="570" t="s">
        <v>417</v>
      </c>
      <c r="H101" s="570" t="s">
        <v>424</v>
      </c>
      <c r="I101" s="570" t="str">
        <f>Table1[[#This Row],[Staff]]</f>
        <v>Nicole</v>
      </c>
      <c r="J101" s="569">
        <f>Table1[[#This Row],[Date]]</f>
        <v>41148</v>
      </c>
      <c r="K101" s="526"/>
      <c r="L101" s="526"/>
      <c r="AF101" s="499"/>
      <c r="AG101" s="499"/>
      <c r="AH101" s="499"/>
      <c r="AI101" s="499"/>
    </row>
    <row r="102" spans="1:35" s="571" customFormat="1" hidden="1">
      <c r="A102" s="568">
        <v>1</v>
      </c>
      <c r="B102" s="37">
        <v>100</v>
      </c>
      <c r="C102" s="569">
        <v>41148</v>
      </c>
      <c r="D102" s="576" t="s">
        <v>355</v>
      </c>
      <c r="E102" s="576" t="s">
        <v>399</v>
      </c>
      <c r="F102" s="499" t="s">
        <v>460</v>
      </c>
      <c r="G102" s="570" t="s">
        <v>417</v>
      </c>
      <c r="H102" s="570" t="s">
        <v>424</v>
      </c>
      <c r="I102" s="570" t="str">
        <f>Table1[[#This Row],[Staff]]</f>
        <v>Nicole</v>
      </c>
      <c r="J102" s="569">
        <f>Table1[[#This Row],[Date]]</f>
        <v>41148</v>
      </c>
      <c r="K102" s="526"/>
      <c r="L102" s="526"/>
      <c r="AF102" s="499"/>
      <c r="AG102" s="499"/>
      <c r="AH102" s="499"/>
      <c r="AI102" s="499"/>
    </row>
    <row r="103" spans="1:35" s="571" customFormat="1" hidden="1">
      <c r="A103" s="568">
        <v>1</v>
      </c>
      <c r="B103" s="37">
        <v>101</v>
      </c>
      <c r="C103" s="569">
        <v>41148</v>
      </c>
      <c r="D103" s="576" t="s">
        <v>355</v>
      </c>
      <c r="E103" s="576" t="s">
        <v>399</v>
      </c>
      <c r="F103" s="499" t="s">
        <v>461</v>
      </c>
      <c r="G103" s="570" t="s">
        <v>417</v>
      </c>
      <c r="H103" s="570" t="s">
        <v>424</v>
      </c>
      <c r="I103" s="570" t="str">
        <f>Table1[[#This Row],[Staff]]</f>
        <v>Nicole</v>
      </c>
      <c r="J103" s="569">
        <f>Table1[[#This Row],[Date]]</f>
        <v>41148</v>
      </c>
      <c r="K103" s="526"/>
      <c r="L103" s="526"/>
      <c r="AF103" s="499"/>
      <c r="AG103" s="499"/>
      <c r="AH103" s="499"/>
      <c r="AI103" s="499"/>
    </row>
    <row r="104" spans="1:35" s="571" customFormat="1" hidden="1">
      <c r="A104" s="568">
        <v>1</v>
      </c>
      <c r="B104" s="37">
        <v>102</v>
      </c>
      <c r="C104" s="569">
        <v>41148</v>
      </c>
      <c r="D104" s="576" t="s">
        <v>355</v>
      </c>
      <c r="E104" s="576" t="s">
        <v>399</v>
      </c>
      <c r="F104" s="499" t="s">
        <v>462</v>
      </c>
      <c r="G104" s="570" t="s">
        <v>417</v>
      </c>
      <c r="H104" s="570" t="s">
        <v>424</v>
      </c>
      <c r="I104" s="570" t="str">
        <f>Table1[[#This Row],[Staff]]</f>
        <v>Nicole</v>
      </c>
      <c r="J104" s="569">
        <f>Table1[[#This Row],[Date]]</f>
        <v>41148</v>
      </c>
      <c r="K104" s="526"/>
      <c r="L104" s="526"/>
      <c r="AF104" s="499"/>
      <c r="AG104" s="499"/>
      <c r="AH104" s="499"/>
      <c r="AI104" s="499"/>
    </row>
    <row r="105" spans="1:35" s="571" customFormat="1" hidden="1">
      <c r="A105" s="568">
        <v>1</v>
      </c>
      <c r="B105" s="37">
        <v>103</v>
      </c>
      <c r="C105" s="569">
        <v>41148</v>
      </c>
      <c r="D105" s="576" t="s">
        <v>355</v>
      </c>
      <c r="E105" s="576" t="s">
        <v>402</v>
      </c>
      <c r="F105" s="499" t="s">
        <v>458</v>
      </c>
      <c r="G105" s="570" t="s">
        <v>417</v>
      </c>
      <c r="H105" s="570" t="s">
        <v>424</v>
      </c>
      <c r="I105" s="570" t="str">
        <f>Table1[[#This Row],[Staff]]</f>
        <v>Nicole</v>
      </c>
      <c r="J105" s="569">
        <f>Table1[[#This Row],[Date]]</f>
        <v>41148</v>
      </c>
      <c r="K105" s="526"/>
      <c r="L105" s="526"/>
      <c r="AF105" s="499"/>
      <c r="AG105" s="499"/>
      <c r="AH105" s="499"/>
      <c r="AI105" s="499"/>
    </row>
    <row r="106" spans="1:35" s="571" customFormat="1" hidden="1">
      <c r="A106" s="568">
        <v>1</v>
      </c>
      <c r="B106" s="37">
        <v>104</v>
      </c>
      <c r="C106" s="569">
        <v>41148</v>
      </c>
      <c r="D106" s="576" t="s">
        <v>355</v>
      </c>
      <c r="E106" s="576" t="s">
        <v>402</v>
      </c>
      <c r="F106" s="499" t="s">
        <v>459</v>
      </c>
      <c r="G106" s="570" t="s">
        <v>417</v>
      </c>
      <c r="H106" s="570" t="s">
        <v>424</v>
      </c>
      <c r="I106" s="570" t="str">
        <f>Table1[[#This Row],[Staff]]</f>
        <v>Nicole</v>
      </c>
      <c r="J106" s="569">
        <f>Table1[[#This Row],[Date]]</f>
        <v>41148</v>
      </c>
      <c r="K106" s="526"/>
      <c r="L106" s="526"/>
      <c r="AF106" s="499"/>
      <c r="AG106" s="499"/>
      <c r="AH106" s="499"/>
      <c r="AI106" s="499"/>
    </row>
    <row r="107" spans="1:35" s="571" customFormat="1" hidden="1">
      <c r="A107" s="568">
        <v>1</v>
      </c>
      <c r="B107" s="37">
        <v>105</v>
      </c>
      <c r="C107" s="569">
        <v>41148</v>
      </c>
      <c r="D107" s="576" t="s">
        <v>355</v>
      </c>
      <c r="E107" s="576" t="s">
        <v>78</v>
      </c>
      <c r="F107" s="499" t="s">
        <v>467</v>
      </c>
      <c r="G107" s="570" t="s">
        <v>417</v>
      </c>
      <c r="H107" s="570" t="s">
        <v>424</v>
      </c>
      <c r="I107" s="570" t="str">
        <f>Table1[[#This Row],[Staff]]</f>
        <v>Nicole</v>
      </c>
      <c r="J107" s="569">
        <f>Table1[[#This Row],[Date]]</f>
        <v>41148</v>
      </c>
      <c r="K107" s="526"/>
      <c r="L107" s="526"/>
      <c r="AF107" s="499"/>
      <c r="AG107" s="499"/>
      <c r="AH107" s="499"/>
      <c r="AI107" s="499"/>
    </row>
    <row r="108" spans="1:35" s="571" customFormat="1" hidden="1">
      <c r="A108" s="568">
        <v>1</v>
      </c>
      <c r="B108" s="37">
        <v>106</v>
      </c>
      <c r="C108" s="569">
        <v>41148</v>
      </c>
      <c r="D108" s="576" t="s">
        <v>355</v>
      </c>
      <c r="E108" s="576" t="s">
        <v>78</v>
      </c>
      <c r="F108" s="499" t="s">
        <v>470</v>
      </c>
      <c r="G108" s="570" t="s">
        <v>417</v>
      </c>
      <c r="H108" s="570" t="s">
        <v>424</v>
      </c>
      <c r="I108" s="570" t="str">
        <f>Table1[[#This Row],[Staff]]</f>
        <v>Nicole</v>
      </c>
      <c r="J108" s="569">
        <f>Table1[[#This Row],[Date]]</f>
        <v>41148</v>
      </c>
      <c r="K108" s="526"/>
      <c r="L108" s="526"/>
      <c r="AF108" s="499"/>
      <c r="AG108" s="499"/>
      <c r="AH108" s="499"/>
      <c r="AI108" s="499"/>
    </row>
    <row r="109" spans="1:35" s="571" customFormat="1" hidden="1">
      <c r="A109" s="568">
        <v>1</v>
      </c>
      <c r="B109" s="37">
        <v>107</v>
      </c>
      <c r="C109" s="569">
        <v>41148</v>
      </c>
      <c r="D109" s="576" t="s">
        <v>355</v>
      </c>
      <c r="E109" s="576" t="s">
        <v>78</v>
      </c>
      <c r="F109" s="499" t="s">
        <v>471</v>
      </c>
      <c r="G109" s="570" t="s">
        <v>417</v>
      </c>
      <c r="H109" s="570" t="s">
        <v>424</v>
      </c>
      <c r="I109" s="570" t="str">
        <f>Table1[[#This Row],[Staff]]</f>
        <v>Nicole</v>
      </c>
      <c r="J109" s="569">
        <f>Table1[[#This Row],[Date]]</f>
        <v>41148</v>
      </c>
      <c r="K109" s="526"/>
      <c r="L109" s="526"/>
      <c r="AF109" s="499"/>
      <c r="AG109" s="499"/>
      <c r="AH109" s="499"/>
      <c r="AI109" s="499"/>
    </row>
    <row r="110" spans="1:35" s="571" customFormat="1" hidden="1">
      <c r="A110" s="568">
        <v>1</v>
      </c>
      <c r="B110" s="37">
        <v>108</v>
      </c>
      <c r="C110" s="569">
        <v>41148</v>
      </c>
      <c r="D110" s="576" t="s">
        <v>355</v>
      </c>
      <c r="E110" s="576" t="s">
        <v>78</v>
      </c>
      <c r="F110" s="499" t="s">
        <v>472</v>
      </c>
      <c r="G110" s="570" t="s">
        <v>417</v>
      </c>
      <c r="H110" s="570" t="s">
        <v>424</v>
      </c>
      <c r="I110" s="570" t="str">
        <f>Table1[[#This Row],[Staff]]</f>
        <v>Nicole</v>
      </c>
      <c r="J110" s="569">
        <f>Table1[[#This Row],[Date]]</f>
        <v>41148</v>
      </c>
      <c r="K110" s="526"/>
      <c r="L110" s="526"/>
      <c r="AF110" s="499"/>
      <c r="AG110" s="499"/>
      <c r="AH110" s="499"/>
      <c r="AI110" s="499"/>
    </row>
    <row r="111" spans="1:35" hidden="1">
      <c r="A111" s="568">
        <v>1</v>
      </c>
      <c r="B111" s="37">
        <v>109</v>
      </c>
      <c r="C111" s="569">
        <v>41148</v>
      </c>
      <c r="D111" s="576" t="s">
        <v>355</v>
      </c>
      <c r="E111" s="576" t="s">
        <v>78</v>
      </c>
      <c r="F111" s="499" t="s">
        <v>473</v>
      </c>
      <c r="G111" s="570" t="s">
        <v>417</v>
      </c>
      <c r="H111" s="570" t="s">
        <v>424</v>
      </c>
      <c r="I111" s="570" t="str">
        <f>Table1[[#This Row],[Staff]]</f>
        <v>Nicole</v>
      </c>
      <c r="J111" s="569">
        <f>Table1[[#This Row],[Date]]</f>
        <v>41148</v>
      </c>
      <c r="K111" s="526"/>
      <c r="L111" s="526"/>
    </row>
    <row r="112" spans="1:35" hidden="1">
      <c r="A112" s="568">
        <v>1</v>
      </c>
      <c r="B112" s="37">
        <v>110</v>
      </c>
      <c r="C112" s="569">
        <v>41148</v>
      </c>
      <c r="D112" s="576" t="s">
        <v>355</v>
      </c>
      <c r="E112" s="576" t="s">
        <v>78</v>
      </c>
      <c r="F112" s="499" t="s">
        <v>474</v>
      </c>
      <c r="G112" s="570" t="s">
        <v>417</v>
      </c>
      <c r="H112" s="570" t="s">
        <v>424</v>
      </c>
      <c r="I112" s="570" t="str">
        <f>Table1[[#This Row],[Staff]]</f>
        <v>Nicole</v>
      </c>
      <c r="J112" s="569">
        <f>Table1[[#This Row],[Date]]</f>
        <v>41148</v>
      </c>
      <c r="K112" s="526"/>
      <c r="L112" s="526"/>
    </row>
    <row r="113" spans="1:35" s="571" customFormat="1" hidden="1">
      <c r="A113" s="568">
        <v>1</v>
      </c>
      <c r="B113" s="37">
        <v>111</v>
      </c>
      <c r="C113" s="569">
        <v>41148</v>
      </c>
      <c r="D113" s="576" t="s">
        <v>355</v>
      </c>
      <c r="E113" s="576" t="s">
        <v>87</v>
      </c>
      <c r="F113" s="499" t="s">
        <v>458</v>
      </c>
      <c r="G113" s="570" t="s">
        <v>417</v>
      </c>
      <c r="H113" s="570" t="s">
        <v>424</v>
      </c>
      <c r="I113" s="570" t="str">
        <f>Table1[[#This Row],[Staff]]</f>
        <v>Nicole</v>
      </c>
      <c r="J113" s="569">
        <f>Table1[[#This Row],[Date]]</f>
        <v>41148</v>
      </c>
      <c r="K113" s="526"/>
      <c r="L113" s="526"/>
      <c r="AF113" s="499"/>
      <c r="AG113" s="499"/>
      <c r="AH113" s="499"/>
      <c r="AI113" s="499"/>
    </row>
    <row r="114" spans="1:35" s="571" customFormat="1" hidden="1">
      <c r="A114" s="568">
        <v>1</v>
      </c>
      <c r="B114" s="37">
        <v>112</v>
      </c>
      <c r="C114" s="569">
        <v>41148</v>
      </c>
      <c r="D114" s="576" t="s">
        <v>355</v>
      </c>
      <c r="E114" s="576" t="s">
        <v>87</v>
      </c>
      <c r="F114" s="499" t="s">
        <v>459</v>
      </c>
      <c r="G114" s="570" t="s">
        <v>417</v>
      </c>
      <c r="H114" s="570" t="s">
        <v>424</v>
      </c>
      <c r="I114" s="570" t="str">
        <f>Table1[[#This Row],[Staff]]</f>
        <v>Nicole</v>
      </c>
      <c r="J114" s="569">
        <f>Table1[[#This Row],[Date]]</f>
        <v>41148</v>
      </c>
      <c r="K114" s="526"/>
      <c r="L114" s="526"/>
      <c r="AF114" s="499"/>
      <c r="AG114" s="499"/>
      <c r="AH114" s="499"/>
      <c r="AI114" s="499"/>
    </row>
    <row r="115" spans="1:35" s="571" customFormat="1" hidden="1">
      <c r="A115" s="568">
        <v>1</v>
      </c>
      <c r="B115" s="37">
        <v>113</v>
      </c>
      <c r="C115" s="569">
        <v>41148</v>
      </c>
      <c r="D115" s="576" t="s">
        <v>355</v>
      </c>
      <c r="E115" s="576" t="s">
        <v>87</v>
      </c>
      <c r="F115" s="499" t="s">
        <v>420</v>
      </c>
      <c r="G115" s="570" t="s">
        <v>417</v>
      </c>
      <c r="H115" s="570" t="s">
        <v>424</v>
      </c>
      <c r="I115" s="570" t="str">
        <f>Table1[[#This Row],[Staff]]</f>
        <v>Nicole</v>
      </c>
      <c r="J115" s="569">
        <f>Table1[[#This Row],[Date]]</f>
        <v>41148</v>
      </c>
      <c r="K115" s="526"/>
      <c r="L115" s="526"/>
      <c r="AF115" s="499"/>
      <c r="AG115" s="499"/>
      <c r="AH115" s="499"/>
      <c r="AI115" s="499"/>
    </row>
    <row r="116" spans="1:35" s="571" customFormat="1" hidden="1">
      <c r="A116" s="568">
        <v>1</v>
      </c>
      <c r="B116" s="37">
        <v>114</v>
      </c>
      <c r="C116" s="569">
        <v>41148</v>
      </c>
      <c r="D116" s="576" t="s">
        <v>355</v>
      </c>
      <c r="E116" s="576" t="s">
        <v>87</v>
      </c>
      <c r="F116" s="499" t="s">
        <v>460</v>
      </c>
      <c r="G116" s="570" t="s">
        <v>417</v>
      </c>
      <c r="H116" s="570" t="s">
        <v>424</v>
      </c>
      <c r="I116" s="570" t="str">
        <f>Table1[[#This Row],[Staff]]</f>
        <v>Nicole</v>
      </c>
      <c r="J116" s="569">
        <f>Table1[[#This Row],[Date]]</f>
        <v>41148</v>
      </c>
      <c r="K116" s="526"/>
      <c r="L116" s="526"/>
      <c r="AF116" s="499"/>
      <c r="AG116" s="499"/>
      <c r="AH116" s="499"/>
      <c r="AI116" s="499"/>
    </row>
    <row r="117" spans="1:35" s="571" customFormat="1" hidden="1">
      <c r="A117" s="568">
        <v>1</v>
      </c>
      <c r="B117" s="37">
        <v>115</v>
      </c>
      <c r="C117" s="569">
        <v>41148</v>
      </c>
      <c r="D117" s="576" t="s">
        <v>355</v>
      </c>
      <c r="E117" s="576" t="s">
        <v>87</v>
      </c>
      <c r="F117" s="499" t="s">
        <v>461</v>
      </c>
      <c r="G117" s="570" t="s">
        <v>417</v>
      </c>
      <c r="H117" s="570" t="s">
        <v>424</v>
      </c>
      <c r="I117" s="570" t="str">
        <f>Table1[[#This Row],[Staff]]</f>
        <v>Nicole</v>
      </c>
      <c r="J117" s="569">
        <f>Table1[[#This Row],[Date]]</f>
        <v>41148</v>
      </c>
      <c r="K117" s="526"/>
      <c r="L117" s="526"/>
      <c r="AF117" s="499"/>
      <c r="AG117" s="499"/>
      <c r="AH117" s="499"/>
      <c r="AI117" s="499"/>
    </row>
    <row r="118" spans="1:35" s="571" customFormat="1" hidden="1">
      <c r="A118" s="568">
        <v>1</v>
      </c>
      <c r="B118" s="37">
        <v>116</v>
      </c>
      <c r="C118" s="569">
        <v>41148</v>
      </c>
      <c r="D118" s="576" t="s">
        <v>355</v>
      </c>
      <c r="E118" s="576" t="s">
        <v>87</v>
      </c>
      <c r="F118" s="499" t="s">
        <v>462</v>
      </c>
      <c r="G118" s="570" t="s">
        <v>417</v>
      </c>
      <c r="H118" s="570" t="s">
        <v>424</v>
      </c>
      <c r="I118" s="570" t="str">
        <f>Table1[[#This Row],[Staff]]</f>
        <v>Nicole</v>
      </c>
      <c r="J118" s="569">
        <f>Table1[[#This Row],[Date]]</f>
        <v>41148</v>
      </c>
      <c r="K118" s="526"/>
      <c r="L118" s="526"/>
      <c r="AF118" s="499"/>
      <c r="AG118" s="499"/>
      <c r="AH118" s="499"/>
      <c r="AI118" s="499"/>
    </row>
    <row r="119" spans="1:35" s="571" customFormat="1" hidden="1">
      <c r="A119" s="568">
        <v>1</v>
      </c>
      <c r="B119" s="37">
        <v>117</v>
      </c>
      <c r="C119" s="569">
        <v>41148</v>
      </c>
      <c r="D119" s="576" t="s">
        <v>355</v>
      </c>
      <c r="E119" s="576" t="s">
        <v>87</v>
      </c>
      <c r="F119" s="499" t="s">
        <v>468</v>
      </c>
      <c r="G119" s="570" t="s">
        <v>417</v>
      </c>
      <c r="H119" s="570" t="s">
        <v>424</v>
      </c>
      <c r="I119" s="570" t="str">
        <f>Table1[[#This Row],[Staff]]</f>
        <v>Nicole</v>
      </c>
      <c r="J119" s="569">
        <f>Table1[[#This Row],[Date]]</f>
        <v>41148</v>
      </c>
      <c r="K119" s="526"/>
      <c r="L119" s="526"/>
      <c r="AF119" s="499"/>
      <c r="AG119" s="499"/>
      <c r="AH119" s="499"/>
      <c r="AI119" s="499"/>
    </row>
    <row r="120" spans="1:35" s="571" customFormat="1" hidden="1">
      <c r="A120" s="568">
        <v>1</v>
      </c>
      <c r="B120" s="37">
        <v>118</v>
      </c>
      <c r="C120" s="569">
        <v>41148</v>
      </c>
      <c r="D120" s="576" t="s">
        <v>355</v>
      </c>
      <c r="E120" s="576" t="s">
        <v>87</v>
      </c>
      <c r="F120" s="499" t="s">
        <v>469</v>
      </c>
      <c r="G120" s="570" t="s">
        <v>417</v>
      </c>
      <c r="H120" s="570" t="s">
        <v>424</v>
      </c>
      <c r="I120" s="570" t="str">
        <f>Table1[[#This Row],[Staff]]</f>
        <v>Nicole</v>
      </c>
      <c r="J120" s="569">
        <f>Table1[[#This Row],[Date]]</f>
        <v>41148</v>
      </c>
      <c r="K120" s="526"/>
      <c r="L120" s="526"/>
      <c r="AF120" s="499"/>
      <c r="AG120" s="499"/>
      <c r="AH120" s="499"/>
      <c r="AI120" s="499"/>
    </row>
    <row r="121" spans="1:35" s="571" customFormat="1" hidden="1">
      <c r="A121" s="568">
        <v>1</v>
      </c>
      <c r="B121" s="37">
        <v>119</v>
      </c>
      <c r="C121" s="569">
        <v>41148</v>
      </c>
      <c r="D121" s="576" t="s">
        <v>355</v>
      </c>
      <c r="E121" s="576" t="s">
        <v>87</v>
      </c>
      <c r="F121" s="499" t="s">
        <v>475</v>
      </c>
      <c r="G121" s="570" t="s">
        <v>417</v>
      </c>
      <c r="H121" s="570" t="s">
        <v>424</v>
      </c>
      <c r="I121" s="570" t="str">
        <f>Table1[[#This Row],[Staff]]</f>
        <v>Nicole</v>
      </c>
      <c r="J121" s="569">
        <f>Table1[[#This Row],[Date]]</f>
        <v>41148</v>
      </c>
      <c r="K121" s="526"/>
      <c r="L121" s="526"/>
      <c r="AF121" s="499"/>
      <c r="AG121" s="499"/>
      <c r="AH121" s="499"/>
      <c r="AI121" s="499"/>
    </row>
    <row r="122" spans="1:35" s="571" customFormat="1" hidden="1">
      <c r="A122" s="568">
        <v>1</v>
      </c>
      <c r="B122" s="37">
        <v>120</v>
      </c>
      <c r="C122" s="569">
        <v>41148</v>
      </c>
      <c r="D122" s="576" t="s">
        <v>355</v>
      </c>
      <c r="E122" s="576" t="s">
        <v>87</v>
      </c>
      <c r="F122" s="499" t="s">
        <v>476</v>
      </c>
      <c r="G122" s="570" t="s">
        <v>417</v>
      </c>
      <c r="H122" s="570" t="s">
        <v>424</v>
      </c>
      <c r="I122" s="570" t="str">
        <f>Table1[[#This Row],[Staff]]</f>
        <v>Nicole</v>
      </c>
      <c r="J122" s="569">
        <f>Table1[[#This Row],[Date]]</f>
        <v>41148</v>
      </c>
      <c r="K122" s="526"/>
      <c r="L122" s="526"/>
      <c r="AF122" s="499"/>
      <c r="AG122" s="499"/>
      <c r="AH122" s="499"/>
      <c r="AI122" s="499"/>
    </row>
    <row r="123" spans="1:35" s="571" customFormat="1" hidden="1">
      <c r="A123" s="568">
        <v>1</v>
      </c>
      <c r="B123" s="37">
        <v>121</v>
      </c>
      <c r="C123" s="569">
        <v>41148</v>
      </c>
      <c r="D123" s="576" t="s">
        <v>355</v>
      </c>
      <c r="E123" s="576" t="s">
        <v>87</v>
      </c>
      <c r="F123" s="499" t="s">
        <v>477</v>
      </c>
      <c r="G123" s="570" t="s">
        <v>417</v>
      </c>
      <c r="H123" s="570" t="s">
        <v>424</v>
      </c>
      <c r="I123" s="570" t="str">
        <f>Table1[[#This Row],[Staff]]</f>
        <v>Nicole</v>
      </c>
      <c r="J123" s="569">
        <f>Table1[[#This Row],[Date]]</f>
        <v>41148</v>
      </c>
      <c r="K123" s="526"/>
      <c r="L123" s="526"/>
      <c r="AF123" s="499"/>
      <c r="AG123" s="499"/>
      <c r="AH123" s="499"/>
      <c r="AI123" s="499"/>
    </row>
    <row r="124" spans="1:35" s="571" customFormat="1" hidden="1">
      <c r="A124" s="568">
        <v>1</v>
      </c>
      <c r="B124" s="37">
        <v>122</v>
      </c>
      <c r="C124" s="569">
        <v>41148</v>
      </c>
      <c r="D124" s="576" t="s">
        <v>355</v>
      </c>
      <c r="E124" s="576" t="s">
        <v>87</v>
      </c>
      <c r="F124" s="499" t="s">
        <v>478</v>
      </c>
      <c r="G124" s="570" t="s">
        <v>417</v>
      </c>
      <c r="H124" s="570" t="s">
        <v>424</v>
      </c>
      <c r="I124" s="570" t="str">
        <f>Table1[[#This Row],[Staff]]</f>
        <v>Nicole</v>
      </c>
      <c r="J124" s="569">
        <f>Table1[[#This Row],[Date]]</f>
        <v>41148</v>
      </c>
      <c r="K124" s="526"/>
      <c r="L124" s="526"/>
      <c r="AF124" s="499"/>
      <c r="AG124" s="499"/>
      <c r="AH124" s="499"/>
      <c r="AI124" s="499"/>
    </row>
    <row r="125" spans="1:35" s="571" customFormat="1" hidden="1">
      <c r="A125" s="568">
        <v>1</v>
      </c>
      <c r="B125" s="37">
        <v>123</v>
      </c>
      <c r="C125" s="569">
        <v>41148</v>
      </c>
      <c r="D125" s="576" t="s">
        <v>355</v>
      </c>
      <c r="E125" s="576" t="s">
        <v>406</v>
      </c>
      <c r="F125" s="499" t="s">
        <v>479</v>
      </c>
      <c r="G125" s="570" t="s">
        <v>417</v>
      </c>
      <c r="H125" s="570" t="s">
        <v>424</v>
      </c>
      <c r="I125" s="570" t="str">
        <f>Table1[[#This Row],[Staff]]</f>
        <v>Nicole</v>
      </c>
      <c r="J125" s="569">
        <f>Table1[[#This Row],[Date]]</f>
        <v>41148</v>
      </c>
      <c r="K125" s="526"/>
      <c r="L125" s="526"/>
      <c r="AF125" s="499"/>
      <c r="AG125" s="499"/>
      <c r="AH125" s="499"/>
      <c r="AI125" s="499"/>
    </row>
    <row r="126" spans="1:35" s="571" customFormat="1" hidden="1">
      <c r="A126" s="568">
        <v>1</v>
      </c>
      <c r="B126" s="37">
        <v>124</v>
      </c>
      <c r="C126" s="569">
        <v>41148</v>
      </c>
      <c r="D126" s="576" t="s">
        <v>355</v>
      </c>
      <c r="E126" s="576" t="s">
        <v>406</v>
      </c>
      <c r="F126" s="499" t="s">
        <v>480</v>
      </c>
      <c r="G126" s="570" t="s">
        <v>417</v>
      </c>
      <c r="H126" s="570" t="s">
        <v>424</v>
      </c>
      <c r="I126" s="570" t="str">
        <f>Table1[[#This Row],[Staff]]</f>
        <v>Nicole</v>
      </c>
      <c r="J126" s="569">
        <f>Table1[[#This Row],[Date]]</f>
        <v>41148</v>
      </c>
      <c r="K126" s="526"/>
      <c r="L126" s="526"/>
      <c r="AF126" s="499"/>
      <c r="AG126" s="499"/>
      <c r="AH126" s="499"/>
      <c r="AI126" s="499"/>
    </row>
    <row r="127" spans="1:35" s="571" customFormat="1" hidden="1">
      <c r="A127" s="568">
        <v>1</v>
      </c>
      <c r="B127" s="37">
        <v>125</v>
      </c>
      <c r="C127" s="569">
        <v>41148</v>
      </c>
      <c r="D127" s="576" t="s">
        <v>355</v>
      </c>
      <c r="E127" s="576" t="s">
        <v>406</v>
      </c>
      <c r="F127" s="499" t="s">
        <v>481</v>
      </c>
      <c r="G127" s="570" t="s">
        <v>417</v>
      </c>
      <c r="H127" s="570" t="s">
        <v>424</v>
      </c>
      <c r="I127" s="570" t="str">
        <f>Table1[[#This Row],[Staff]]</f>
        <v>Nicole</v>
      </c>
      <c r="J127" s="569">
        <f>Table1[[#This Row],[Date]]</f>
        <v>41148</v>
      </c>
      <c r="K127" s="526"/>
      <c r="L127" s="526"/>
      <c r="AF127" s="499"/>
      <c r="AG127" s="499"/>
      <c r="AH127" s="499"/>
      <c r="AI127" s="499"/>
    </row>
    <row r="128" spans="1:35" s="571" customFormat="1" hidden="1">
      <c r="A128" s="568">
        <v>1</v>
      </c>
      <c r="B128" s="37">
        <v>126</v>
      </c>
      <c r="C128" s="569">
        <v>41148</v>
      </c>
      <c r="D128" s="576" t="s">
        <v>355</v>
      </c>
      <c r="E128" s="576" t="s">
        <v>406</v>
      </c>
      <c r="F128" s="499" t="s">
        <v>482</v>
      </c>
      <c r="G128" s="570" t="s">
        <v>417</v>
      </c>
      <c r="H128" s="570" t="s">
        <v>424</v>
      </c>
      <c r="I128" s="570" t="str">
        <f>Table1[[#This Row],[Staff]]</f>
        <v>Nicole</v>
      </c>
      <c r="J128" s="569">
        <f>Table1[[#This Row],[Date]]</f>
        <v>41148</v>
      </c>
      <c r="K128" s="526"/>
      <c r="L128" s="526"/>
      <c r="AF128" s="499"/>
      <c r="AG128" s="499"/>
      <c r="AH128" s="499"/>
      <c r="AI128" s="499"/>
    </row>
    <row r="129" spans="1:35" s="571" customFormat="1" hidden="1">
      <c r="A129" s="568">
        <v>1</v>
      </c>
      <c r="B129" s="37">
        <v>127</v>
      </c>
      <c r="C129" s="569">
        <v>41148</v>
      </c>
      <c r="D129" s="576" t="s">
        <v>355</v>
      </c>
      <c r="E129" s="576" t="s">
        <v>406</v>
      </c>
      <c r="F129" s="499" t="s">
        <v>483</v>
      </c>
      <c r="G129" s="570" t="s">
        <v>417</v>
      </c>
      <c r="H129" s="570" t="s">
        <v>424</v>
      </c>
      <c r="I129" s="570" t="str">
        <f>Table1[[#This Row],[Staff]]</f>
        <v>Nicole</v>
      </c>
      <c r="J129" s="569">
        <f>Table1[[#This Row],[Date]]</f>
        <v>41148</v>
      </c>
      <c r="K129" s="526"/>
      <c r="L129" s="526"/>
      <c r="AF129" s="499"/>
      <c r="AG129" s="499"/>
      <c r="AH129" s="499"/>
      <c r="AI129" s="499"/>
    </row>
    <row r="130" spans="1:35" s="571" customFormat="1" hidden="1">
      <c r="A130" s="568">
        <v>1</v>
      </c>
      <c r="B130" s="37">
        <v>128</v>
      </c>
      <c r="C130" s="569">
        <v>41148</v>
      </c>
      <c r="D130" s="576" t="s">
        <v>355</v>
      </c>
      <c r="E130" s="576" t="s">
        <v>406</v>
      </c>
      <c r="F130" s="499" t="s">
        <v>484</v>
      </c>
      <c r="G130" s="570" t="s">
        <v>417</v>
      </c>
      <c r="H130" s="570" t="s">
        <v>424</v>
      </c>
      <c r="I130" s="570" t="str">
        <f>Table1[[#This Row],[Staff]]</f>
        <v>Nicole</v>
      </c>
      <c r="J130" s="569">
        <f>Table1[[#This Row],[Date]]</f>
        <v>41148</v>
      </c>
      <c r="K130" s="526"/>
      <c r="L130" s="526"/>
      <c r="AF130" s="499"/>
      <c r="AG130" s="499"/>
      <c r="AH130" s="499"/>
      <c r="AI130" s="499"/>
    </row>
    <row r="131" spans="1:35" s="571" customFormat="1" hidden="1">
      <c r="A131" s="568">
        <v>1</v>
      </c>
      <c r="B131" s="37">
        <v>129</v>
      </c>
      <c r="C131" s="569">
        <v>41148</v>
      </c>
      <c r="D131" s="576" t="s">
        <v>355</v>
      </c>
      <c r="E131" s="576" t="s">
        <v>406</v>
      </c>
      <c r="F131" s="499" t="s">
        <v>485</v>
      </c>
      <c r="G131" s="570" t="s">
        <v>417</v>
      </c>
      <c r="H131" s="570" t="s">
        <v>424</v>
      </c>
      <c r="I131" s="570" t="str">
        <f>Table1[[#This Row],[Staff]]</f>
        <v>Nicole</v>
      </c>
      <c r="J131" s="569">
        <f>Table1[[#This Row],[Date]]</f>
        <v>41148</v>
      </c>
      <c r="K131" s="526"/>
      <c r="L131" s="526"/>
      <c r="AF131" s="499"/>
      <c r="AG131" s="499"/>
      <c r="AH131" s="499"/>
      <c r="AI131" s="499"/>
    </row>
    <row r="132" spans="1:35" s="571" customFormat="1" hidden="1">
      <c r="A132" s="568">
        <v>1</v>
      </c>
      <c r="B132" s="37">
        <v>130</v>
      </c>
      <c r="C132" s="569">
        <v>41148</v>
      </c>
      <c r="D132" s="576" t="s">
        <v>355</v>
      </c>
      <c r="E132" s="576" t="s">
        <v>406</v>
      </c>
      <c r="F132" s="499" t="s">
        <v>486</v>
      </c>
      <c r="G132" s="570" t="s">
        <v>417</v>
      </c>
      <c r="H132" s="570" t="s">
        <v>424</v>
      </c>
      <c r="I132" s="570" t="str">
        <f>Table1[[#This Row],[Staff]]</f>
        <v>Nicole</v>
      </c>
      <c r="J132" s="569">
        <f>Table1[[#This Row],[Date]]</f>
        <v>41148</v>
      </c>
      <c r="K132" s="526"/>
      <c r="L132" s="526"/>
      <c r="AF132" s="499"/>
      <c r="AG132" s="499"/>
      <c r="AH132" s="499"/>
      <c r="AI132" s="499"/>
    </row>
    <row r="133" spans="1:35" s="571" customFormat="1" hidden="1">
      <c r="A133" s="568">
        <v>1</v>
      </c>
      <c r="B133" s="37">
        <v>131</v>
      </c>
      <c r="C133" s="569">
        <v>41148</v>
      </c>
      <c r="D133" s="576" t="s">
        <v>355</v>
      </c>
      <c r="E133" s="576" t="s">
        <v>406</v>
      </c>
      <c r="F133" s="499" t="s">
        <v>487</v>
      </c>
      <c r="G133" s="570" t="s">
        <v>488</v>
      </c>
      <c r="H133" s="570" t="s">
        <v>489</v>
      </c>
      <c r="I133" s="570" t="str">
        <f>Table1[[#This Row],[Staff]]</f>
        <v>Nicole</v>
      </c>
      <c r="J133" s="569">
        <f>Table1[[#This Row],[Date]]</f>
        <v>41148</v>
      </c>
      <c r="K133" s="526"/>
      <c r="L133" s="526"/>
      <c r="AF133" s="499"/>
      <c r="AG133" s="499"/>
      <c r="AH133" s="499"/>
      <c r="AI133" s="499"/>
    </row>
    <row r="134" spans="1:35" s="571" customFormat="1" ht="28.5" hidden="1">
      <c r="A134" s="568">
        <v>1</v>
      </c>
      <c r="B134" s="37">
        <v>132</v>
      </c>
      <c r="C134" s="569">
        <v>41148</v>
      </c>
      <c r="D134" s="576" t="s">
        <v>355</v>
      </c>
      <c r="E134" s="576" t="s">
        <v>87</v>
      </c>
      <c r="F134" s="499" t="s">
        <v>490</v>
      </c>
      <c r="G134" s="570" t="s">
        <v>492</v>
      </c>
      <c r="H134" s="570" t="s">
        <v>491</v>
      </c>
      <c r="I134" s="570" t="str">
        <f>Table1[[#This Row],[Staff]]</f>
        <v>Nicole</v>
      </c>
      <c r="J134" s="569">
        <f>Table1[[#This Row],[Date]]</f>
        <v>41148</v>
      </c>
      <c r="K134" s="526"/>
      <c r="L134" s="526"/>
      <c r="AF134" s="499"/>
      <c r="AG134" s="499"/>
      <c r="AH134" s="499"/>
      <c r="AI134" s="499"/>
    </row>
    <row r="135" spans="1:35" s="571" customFormat="1" ht="28.5" hidden="1">
      <c r="A135" s="568">
        <v>1</v>
      </c>
      <c r="B135" s="37">
        <v>133</v>
      </c>
      <c r="C135" s="569">
        <v>41148</v>
      </c>
      <c r="D135" s="576" t="s">
        <v>355</v>
      </c>
      <c r="E135" s="576" t="s">
        <v>87</v>
      </c>
      <c r="F135" s="499" t="s">
        <v>493</v>
      </c>
      <c r="G135" s="570" t="s">
        <v>494</v>
      </c>
      <c r="H135" s="570" t="s">
        <v>495</v>
      </c>
      <c r="I135" s="570" t="str">
        <f>Table1[[#This Row],[Staff]]</f>
        <v>Nicole</v>
      </c>
      <c r="J135" s="569">
        <f>Table1[[#This Row],[Date]]</f>
        <v>41148</v>
      </c>
      <c r="K135" s="526"/>
      <c r="L135" s="526"/>
      <c r="AF135" s="499"/>
      <c r="AG135" s="499"/>
      <c r="AH135" s="499"/>
      <c r="AI135" s="499"/>
    </row>
    <row r="136" spans="1:35" s="571" customFormat="1" hidden="1">
      <c r="A136" s="568">
        <v>1</v>
      </c>
      <c r="B136" s="37">
        <v>134</v>
      </c>
      <c r="C136" s="569">
        <v>41148</v>
      </c>
      <c r="D136" s="576" t="s">
        <v>355</v>
      </c>
      <c r="E136" s="576" t="s">
        <v>87</v>
      </c>
      <c r="F136" s="499" t="s">
        <v>496</v>
      </c>
      <c r="G136" s="570" t="s">
        <v>488</v>
      </c>
      <c r="H136" s="570" t="s">
        <v>497</v>
      </c>
      <c r="I136" s="570" t="str">
        <f>Table1[[#This Row],[Staff]]</f>
        <v>Nicole</v>
      </c>
      <c r="J136" s="569">
        <f>Table1[[#This Row],[Date]]</f>
        <v>41148</v>
      </c>
      <c r="K136" s="526"/>
      <c r="L136" s="526"/>
      <c r="AF136" s="499"/>
      <c r="AG136" s="499"/>
      <c r="AH136" s="499"/>
      <c r="AI136" s="499"/>
    </row>
    <row r="137" spans="1:35" s="571" customFormat="1" ht="28.5" hidden="1">
      <c r="A137" s="568">
        <v>1</v>
      </c>
      <c r="B137" s="37">
        <v>135</v>
      </c>
      <c r="C137" s="569">
        <v>41148</v>
      </c>
      <c r="D137" s="576" t="s">
        <v>355</v>
      </c>
      <c r="E137" s="576" t="s">
        <v>87</v>
      </c>
      <c r="F137" s="499" t="s">
        <v>499</v>
      </c>
      <c r="G137" s="570" t="s">
        <v>500</v>
      </c>
      <c r="H137" s="570" t="s">
        <v>501</v>
      </c>
      <c r="I137" s="570" t="str">
        <f>Table1[[#This Row],[Staff]]</f>
        <v>Nicole</v>
      </c>
      <c r="J137" s="569">
        <f>Table1[[#This Row],[Date]]</f>
        <v>41148</v>
      </c>
      <c r="K137" s="526"/>
      <c r="L137" s="526"/>
      <c r="AF137" s="499"/>
      <c r="AG137" s="499"/>
      <c r="AH137" s="499"/>
      <c r="AI137" s="499"/>
    </row>
    <row r="138" spans="1:35" s="571" customFormat="1" ht="28.5" hidden="1">
      <c r="A138" s="568">
        <v>1</v>
      </c>
      <c r="B138" s="37">
        <v>136</v>
      </c>
      <c r="C138" s="569">
        <v>41148</v>
      </c>
      <c r="D138" s="576" t="s">
        <v>355</v>
      </c>
      <c r="E138" s="576" t="s">
        <v>78</v>
      </c>
      <c r="F138" s="499" t="s">
        <v>502</v>
      </c>
      <c r="G138" s="570" t="s">
        <v>492</v>
      </c>
      <c r="H138" s="570" t="s">
        <v>491</v>
      </c>
      <c r="I138" s="570" t="str">
        <f>Table1[[#This Row],[Staff]]</f>
        <v>Nicole</v>
      </c>
      <c r="J138" s="569">
        <f>Table1[[#This Row],[Date]]</f>
        <v>41148</v>
      </c>
      <c r="K138" s="526"/>
      <c r="L138" s="526"/>
      <c r="AF138" s="499"/>
      <c r="AG138" s="499"/>
      <c r="AH138" s="499"/>
      <c r="AI138" s="499"/>
    </row>
    <row r="139" spans="1:35" s="571" customFormat="1" ht="28.5" hidden="1">
      <c r="A139" s="568">
        <v>1</v>
      </c>
      <c r="B139" s="37">
        <v>137</v>
      </c>
      <c r="C139" s="569">
        <v>41148</v>
      </c>
      <c r="D139" s="576" t="s">
        <v>355</v>
      </c>
      <c r="E139" s="576" t="s">
        <v>78</v>
      </c>
      <c r="F139" s="499" t="s">
        <v>504</v>
      </c>
      <c r="G139" s="570" t="s">
        <v>506</v>
      </c>
      <c r="H139" s="570" t="s">
        <v>505</v>
      </c>
      <c r="I139" s="570" t="str">
        <f>Table1[[#This Row],[Staff]]</f>
        <v>Nicole</v>
      </c>
      <c r="J139" s="569">
        <f>Table1[[#This Row],[Date]]</f>
        <v>41148</v>
      </c>
      <c r="K139" s="526"/>
      <c r="L139" s="526"/>
      <c r="AF139" s="499"/>
      <c r="AG139" s="499"/>
      <c r="AH139" s="499"/>
      <c r="AI139" s="499"/>
    </row>
    <row r="140" spans="1:35" s="571" customFormat="1" ht="28.5" hidden="1">
      <c r="A140" s="568">
        <v>1</v>
      </c>
      <c r="B140" s="37">
        <v>138</v>
      </c>
      <c r="C140" s="569">
        <v>41148</v>
      </c>
      <c r="D140" s="576" t="s">
        <v>355</v>
      </c>
      <c r="E140" s="576" t="s">
        <v>78</v>
      </c>
      <c r="F140" s="499" t="s">
        <v>507</v>
      </c>
      <c r="G140" s="570" t="s">
        <v>506</v>
      </c>
      <c r="H140" s="570" t="s">
        <v>505</v>
      </c>
      <c r="I140" s="570" t="str">
        <f>Table1[[#This Row],[Staff]]</f>
        <v>Nicole</v>
      </c>
      <c r="J140" s="569">
        <f>Table1[[#This Row],[Date]]</f>
        <v>41148</v>
      </c>
      <c r="K140" s="526"/>
      <c r="L140" s="526"/>
      <c r="AF140" s="499"/>
      <c r="AG140" s="499"/>
      <c r="AH140" s="499"/>
      <c r="AI140" s="499"/>
    </row>
    <row r="141" spans="1:35" s="571" customFormat="1" ht="42.75" hidden="1">
      <c r="A141" s="568">
        <v>1</v>
      </c>
      <c r="B141" s="37">
        <v>139</v>
      </c>
      <c r="C141" s="569">
        <v>41148</v>
      </c>
      <c r="D141" s="576" t="s">
        <v>355</v>
      </c>
      <c r="E141" s="576" t="s">
        <v>78</v>
      </c>
      <c r="F141" s="499" t="s">
        <v>508</v>
      </c>
      <c r="G141" s="570" t="s">
        <v>509</v>
      </c>
      <c r="H141" s="570" t="s">
        <v>510</v>
      </c>
      <c r="I141" s="570" t="str">
        <f>Table1[[#This Row],[Staff]]</f>
        <v>Nicole</v>
      </c>
      <c r="J141" s="569">
        <f>Table1[[#This Row],[Date]]</f>
        <v>41148</v>
      </c>
      <c r="K141" s="526"/>
      <c r="L141" s="526"/>
      <c r="AF141" s="499"/>
      <c r="AG141" s="499"/>
      <c r="AH141" s="499"/>
      <c r="AI141" s="499"/>
    </row>
    <row r="142" spans="1:35" s="571" customFormat="1" ht="28.5" hidden="1">
      <c r="A142" s="568">
        <v>1</v>
      </c>
      <c r="B142" s="37">
        <v>140</v>
      </c>
      <c r="C142" s="569">
        <v>41148</v>
      </c>
      <c r="D142" s="576" t="s">
        <v>355</v>
      </c>
      <c r="E142" s="576" t="s">
        <v>402</v>
      </c>
      <c r="F142" s="499" t="s">
        <v>499</v>
      </c>
      <c r="G142" s="570" t="s">
        <v>500</v>
      </c>
      <c r="H142" s="570" t="s">
        <v>512</v>
      </c>
      <c r="I142" s="570" t="str">
        <f>Table1[[#This Row],[Staff]]</f>
        <v>Nicole</v>
      </c>
      <c r="J142" s="569">
        <f>Table1[[#This Row],[Date]]</f>
        <v>41148</v>
      </c>
      <c r="K142" s="526"/>
      <c r="L142" s="526"/>
      <c r="AF142" s="499"/>
      <c r="AG142" s="499"/>
      <c r="AH142" s="499"/>
      <c r="AI142" s="499"/>
    </row>
    <row r="143" spans="1:35" s="571" customFormat="1" ht="28.5" hidden="1">
      <c r="A143" s="568">
        <v>1</v>
      </c>
      <c r="B143" s="37">
        <v>141</v>
      </c>
      <c r="C143" s="569">
        <v>41148</v>
      </c>
      <c r="D143" s="576" t="s">
        <v>355</v>
      </c>
      <c r="E143" s="576" t="s">
        <v>402</v>
      </c>
      <c r="F143" s="499" t="s">
        <v>490</v>
      </c>
      <c r="G143" s="570" t="s">
        <v>492</v>
      </c>
      <c r="H143" s="570" t="s">
        <v>491</v>
      </c>
      <c r="I143" s="570" t="str">
        <f>Table1[[#This Row],[Staff]]</f>
        <v>Nicole</v>
      </c>
      <c r="J143" s="569">
        <f>Table1[[#This Row],[Date]]</f>
        <v>41148</v>
      </c>
      <c r="K143" s="526"/>
      <c r="L143" s="526"/>
      <c r="AF143" s="499"/>
      <c r="AG143" s="499"/>
      <c r="AH143" s="499"/>
      <c r="AI143" s="499"/>
    </row>
    <row r="144" spans="1:35" s="571" customFormat="1" ht="28.5" hidden="1">
      <c r="A144" s="568">
        <v>1</v>
      </c>
      <c r="B144" s="37">
        <v>142</v>
      </c>
      <c r="C144" s="569">
        <v>41148</v>
      </c>
      <c r="D144" s="576" t="s">
        <v>355</v>
      </c>
      <c r="E144" s="576" t="s">
        <v>87</v>
      </c>
      <c r="F144" s="499" t="s">
        <v>499</v>
      </c>
      <c r="G144" s="570" t="s">
        <v>494</v>
      </c>
      <c r="H144" s="570" t="s">
        <v>495</v>
      </c>
      <c r="I144" s="570" t="str">
        <f>Table1[[#This Row],[Staff]]</f>
        <v>Nicole</v>
      </c>
      <c r="J144" s="569">
        <f>Table1[[#This Row],[Date]]</f>
        <v>41148</v>
      </c>
      <c r="K144" s="526"/>
      <c r="L144" s="526"/>
      <c r="AF144" s="499"/>
      <c r="AG144" s="499"/>
      <c r="AH144" s="499"/>
      <c r="AI144" s="499"/>
    </row>
    <row r="145" spans="1:35" s="571" customFormat="1" ht="28.5" hidden="1">
      <c r="A145" s="568">
        <v>1</v>
      </c>
      <c r="B145" s="37">
        <v>143</v>
      </c>
      <c r="C145" s="569">
        <v>41148</v>
      </c>
      <c r="D145" s="576" t="s">
        <v>355</v>
      </c>
      <c r="E145" s="576" t="s">
        <v>78</v>
      </c>
      <c r="F145" s="499" t="s">
        <v>499</v>
      </c>
      <c r="G145" s="570" t="s">
        <v>494</v>
      </c>
      <c r="H145" s="570" t="s">
        <v>495</v>
      </c>
      <c r="I145" s="570" t="str">
        <f>Table1[[#This Row],[Staff]]</f>
        <v>Nicole</v>
      </c>
      <c r="J145" s="569">
        <f>Table1[[#This Row],[Date]]</f>
        <v>41148</v>
      </c>
      <c r="K145" s="526"/>
      <c r="L145" s="526"/>
      <c r="AF145" s="499"/>
      <c r="AG145" s="499"/>
      <c r="AH145" s="499"/>
      <c r="AI145" s="499"/>
    </row>
    <row r="146" spans="1:35" s="571" customFormat="1" ht="28.5" hidden="1">
      <c r="A146" s="568">
        <v>1</v>
      </c>
      <c r="B146" s="37">
        <v>144</v>
      </c>
      <c r="C146" s="569">
        <v>41148</v>
      </c>
      <c r="D146" s="576" t="s">
        <v>355</v>
      </c>
      <c r="E146" s="576" t="s">
        <v>78</v>
      </c>
      <c r="F146" s="499" t="s">
        <v>490</v>
      </c>
      <c r="G146" s="570" t="s">
        <v>513</v>
      </c>
      <c r="H146" s="570" t="s">
        <v>495</v>
      </c>
      <c r="I146" s="570" t="str">
        <f>Table1[[#This Row],[Staff]]</f>
        <v>Nicole</v>
      </c>
      <c r="J146" s="569">
        <f>Table1[[#This Row],[Date]]</f>
        <v>41148</v>
      </c>
      <c r="K146" s="526"/>
      <c r="L146" s="526"/>
      <c r="AF146" s="499"/>
      <c r="AG146" s="499"/>
      <c r="AH146" s="499"/>
      <c r="AI146" s="499"/>
    </row>
    <row r="147" spans="1:35" s="571" customFormat="1" ht="28.5" hidden="1">
      <c r="A147" s="568">
        <v>1</v>
      </c>
      <c r="B147" s="37">
        <v>145</v>
      </c>
      <c r="C147" s="569">
        <v>41148</v>
      </c>
      <c r="D147" s="576" t="s">
        <v>355</v>
      </c>
      <c r="E147" s="576" t="s">
        <v>402</v>
      </c>
      <c r="F147" s="499" t="s">
        <v>499</v>
      </c>
      <c r="G147" s="570" t="s">
        <v>494</v>
      </c>
      <c r="H147" s="570" t="s">
        <v>495</v>
      </c>
      <c r="I147" s="570" t="str">
        <f>Table1[[#This Row],[Staff]]</f>
        <v>Nicole</v>
      </c>
      <c r="J147" s="569">
        <f>Table1[[#This Row],[Date]]</f>
        <v>41148</v>
      </c>
      <c r="K147" s="526"/>
      <c r="L147" s="526"/>
      <c r="AF147" s="499"/>
      <c r="AG147" s="499"/>
      <c r="AH147" s="499"/>
      <c r="AI147" s="499"/>
    </row>
    <row r="148" spans="1:35" s="571" customFormat="1" ht="28.5" hidden="1">
      <c r="A148" s="568">
        <v>1</v>
      </c>
      <c r="B148" s="37">
        <v>146</v>
      </c>
      <c r="C148" s="569">
        <v>41148</v>
      </c>
      <c r="D148" s="576" t="s">
        <v>355</v>
      </c>
      <c r="E148" s="576" t="s">
        <v>402</v>
      </c>
      <c r="F148" s="499" t="s">
        <v>490</v>
      </c>
      <c r="G148" s="570" t="s">
        <v>492</v>
      </c>
      <c r="H148" s="570" t="s">
        <v>491</v>
      </c>
      <c r="I148" s="570" t="str">
        <f>Table1[[#This Row],[Staff]]</f>
        <v>Nicole</v>
      </c>
      <c r="J148" s="569">
        <f>Table1[[#This Row],[Date]]</f>
        <v>41148</v>
      </c>
      <c r="K148" s="526"/>
      <c r="L148" s="526"/>
      <c r="AF148" s="499"/>
      <c r="AG148" s="499"/>
      <c r="AH148" s="499"/>
      <c r="AI148" s="499"/>
    </row>
    <row r="149" spans="1:35" s="571" customFormat="1" ht="28.5" hidden="1">
      <c r="A149" s="568">
        <v>1</v>
      </c>
      <c r="B149" s="37">
        <v>147</v>
      </c>
      <c r="C149" s="569">
        <v>41148</v>
      </c>
      <c r="D149" s="576" t="s">
        <v>355</v>
      </c>
      <c r="E149" s="576" t="s">
        <v>399</v>
      </c>
      <c r="F149" s="499" t="s">
        <v>493</v>
      </c>
      <c r="G149" s="570" t="s">
        <v>494</v>
      </c>
      <c r="H149" s="570" t="s">
        <v>495</v>
      </c>
      <c r="I149" s="570" t="str">
        <f>Table1[[#This Row],[Staff]]</f>
        <v>Nicole</v>
      </c>
      <c r="J149" s="569">
        <f>Table1[[#This Row],[Date]]</f>
        <v>41148</v>
      </c>
      <c r="K149" s="526"/>
      <c r="L149" s="526"/>
      <c r="AF149" s="499"/>
      <c r="AG149" s="499"/>
      <c r="AH149" s="499"/>
      <c r="AI149" s="499"/>
    </row>
    <row r="150" spans="1:35" s="571" customFormat="1" ht="28.5" hidden="1">
      <c r="A150" s="568">
        <v>1</v>
      </c>
      <c r="B150" s="37">
        <v>148</v>
      </c>
      <c r="C150" s="569">
        <v>41148</v>
      </c>
      <c r="D150" s="576" t="s">
        <v>355</v>
      </c>
      <c r="E150" s="576" t="s">
        <v>399</v>
      </c>
      <c r="F150" s="499" t="s">
        <v>499</v>
      </c>
      <c r="G150" s="570" t="s">
        <v>513</v>
      </c>
      <c r="H150" s="570" t="s">
        <v>495</v>
      </c>
      <c r="I150" s="570" t="str">
        <f>Table1[[#This Row],[Staff]]</f>
        <v>Nicole</v>
      </c>
      <c r="J150" s="569">
        <f>Table1[[#This Row],[Date]]</f>
        <v>41148</v>
      </c>
      <c r="K150" s="526"/>
      <c r="L150" s="526"/>
      <c r="AF150" s="499"/>
      <c r="AG150" s="499"/>
      <c r="AH150" s="499"/>
      <c r="AI150" s="499"/>
    </row>
    <row r="151" spans="1:35" s="571" customFormat="1" ht="28.5" hidden="1">
      <c r="A151" s="568">
        <v>1</v>
      </c>
      <c r="B151" s="37">
        <v>149</v>
      </c>
      <c r="C151" s="569">
        <v>41148</v>
      </c>
      <c r="D151" s="576" t="s">
        <v>355</v>
      </c>
      <c r="E151" s="576" t="s">
        <v>399</v>
      </c>
      <c r="F151" s="499" t="s">
        <v>499</v>
      </c>
      <c r="G151" s="570" t="s">
        <v>500</v>
      </c>
      <c r="H151" s="570" t="s">
        <v>515</v>
      </c>
      <c r="I151" s="570" t="str">
        <f>Table1[[#This Row],[Staff]]</f>
        <v>Nicole</v>
      </c>
      <c r="J151" s="569">
        <f>Table1[[#This Row],[Date]]</f>
        <v>41148</v>
      </c>
      <c r="K151" s="526"/>
      <c r="L151" s="526"/>
      <c r="AF151" s="499"/>
      <c r="AG151" s="499"/>
      <c r="AH151" s="499"/>
      <c r="AI151" s="499"/>
    </row>
    <row r="152" spans="1:35" s="571" customFormat="1" ht="28.5" hidden="1">
      <c r="A152" s="568">
        <v>1</v>
      </c>
      <c r="B152" s="37">
        <v>150</v>
      </c>
      <c r="C152" s="569">
        <v>41148</v>
      </c>
      <c r="D152" s="576" t="s">
        <v>355</v>
      </c>
      <c r="E152" s="576" t="s">
        <v>399</v>
      </c>
      <c r="F152" s="499" t="s">
        <v>490</v>
      </c>
      <c r="G152" s="570" t="s">
        <v>492</v>
      </c>
      <c r="H152" s="570" t="s">
        <v>491</v>
      </c>
      <c r="I152" s="570" t="str">
        <f>Table1[[#This Row],[Staff]]</f>
        <v>Nicole</v>
      </c>
      <c r="J152" s="569">
        <f>Table1[[#This Row],[Date]]</f>
        <v>41148</v>
      </c>
      <c r="K152" s="526"/>
      <c r="L152" s="526"/>
      <c r="AF152" s="499"/>
      <c r="AG152" s="499"/>
      <c r="AH152" s="499"/>
      <c r="AI152" s="499"/>
    </row>
    <row r="153" spans="1:35" s="571" customFormat="1" ht="28.5" hidden="1">
      <c r="A153" s="568">
        <v>1</v>
      </c>
      <c r="B153" s="37">
        <v>151</v>
      </c>
      <c r="C153" s="569">
        <v>41148</v>
      </c>
      <c r="D153" s="576" t="s">
        <v>355</v>
      </c>
      <c r="E153" s="576" t="s">
        <v>399</v>
      </c>
      <c r="F153" s="499" t="s">
        <v>516</v>
      </c>
      <c r="G153" s="570" t="s">
        <v>519</v>
      </c>
      <c r="H153" s="570" t="s">
        <v>517</v>
      </c>
      <c r="I153" s="570" t="str">
        <f>Table1[[#This Row],[Staff]]</f>
        <v>Nicole</v>
      </c>
      <c r="J153" s="569">
        <f>Table1[[#This Row],[Date]]</f>
        <v>41148</v>
      </c>
      <c r="K153" s="526"/>
      <c r="L153" s="526"/>
      <c r="AF153" s="499"/>
      <c r="AG153" s="499"/>
      <c r="AH153" s="499"/>
      <c r="AI153" s="499"/>
    </row>
    <row r="154" spans="1:35" s="571" customFormat="1" ht="28.5" hidden="1">
      <c r="A154" s="568">
        <v>1</v>
      </c>
      <c r="B154" s="37">
        <v>152</v>
      </c>
      <c r="C154" s="569">
        <v>41148</v>
      </c>
      <c r="D154" s="576" t="s">
        <v>355</v>
      </c>
      <c r="E154" s="576" t="s">
        <v>399</v>
      </c>
      <c r="F154" s="499" t="s">
        <v>518</v>
      </c>
      <c r="G154" s="570" t="s">
        <v>519</v>
      </c>
      <c r="H154" s="570" t="s">
        <v>517</v>
      </c>
      <c r="I154" s="570" t="str">
        <f>Table1[[#This Row],[Staff]]</f>
        <v>Nicole</v>
      </c>
      <c r="J154" s="569">
        <f>Table1[[#This Row],[Date]]</f>
        <v>41148</v>
      </c>
      <c r="K154" s="526"/>
      <c r="L154" s="526"/>
      <c r="AF154" s="499"/>
      <c r="AG154" s="499"/>
      <c r="AH154" s="499"/>
      <c r="AI154" s="499"/>
    </row>
    <row r="155" spans="1:35" s="571" customFormat="1" ht="28.5" hidden="1">
      <c r="A155" s="568">
        <v>1</v>
      </c>
      <c r="B155" s="37">
        <v>153</v>
      </c>
      <c r="C155" s="569">
        <v>41148</v>
      </c>
      <c r="D155" s="576" t="s">
        <v>355</v>
      </c>
      <c r="E155" s="576" t="s">
        <v>394</v>
      </c>
      <c r="F155" s="499" t="s">
        <v>499</v>
      </c>
      <c r="G155" s="570" t="s">
        <v>500</v>
      </c>
      <c r="H155" s="570" t="s">
        <v>521</v>
      </c>
      <c r="I155" s="570" t="str">
        <f>Table1[[#This Row],[Staff]]</f>
        <v>Nicole</v>
      </c>
      <c r="J155" s="569">
        <f>Table1[[#This Row],[Date]]</f>
        <v>41148</v>
      </c>
      <c r="K155" s="526"/>
      <c r="L155" s="526"/>
      <c r="AF155" s="499"/>
      <c r="AG155" s="499"/>
      <c r="AH155" s="499"/>
      <c r="AI155" s="499"/>
    </row>
    <row r="156" spans="1:35" s="571" customFormat="1" ht="28.5" hidden="1">
      <c r="A156" s="568">
        <v>1</v>
      </c>
      <c r="B156" s="37">
        <v>154</v>
      </c>
      <c r="C156" s="569">
        <v>41148</v>
      </c>
      <c r="D156" s="576" t="s">
        <v>355</v>
      </c>
      <c r="E156" s="576" t="s">
        <v>394</v>
      </c>
      <c r="F156" s="499" t="s">
        <v>490</v>
      </c>
      <c r="G156" s="570" t="s">
        <v>492</v>
      </c>
      <c r="H156" s="570" t="s">
        <v>491</v>
      </c>
      <c r="I156" s="570" t="str">
        <f>Table1[[#This Row],[Staff]]</f>
        <v>Nicole</v>
      </c>
      <c r="J156" s="569">
        <f>Table1[[#This Row],[Date]]</f>
        <v>41148</v>
      </c>
      <c r="K156" s="526"/>
      <c r="L156" s="526"/>
      <c r="AF156" s="499"/>
      <c r="AG156" s="499"/>
      <c r="AH156" s="499"/>
      <c r="AI156" s="499"/>
    </row>
    <row r="157" spans="1:35" s="571" customFormat="1" ht="28.5" hidden="1">
      <c r="A157" s="568">
        <v>1</v>
      </c>
      <c r="B157" s="37">
        <v>155</v>
      </c>
      <c r="C157" s="569">
        <v>41148</v>
      </c>
      <c r="D157" s="576" t="s">
        <v>355</v>
      </c>
      <c r="E157" s="576" t="s">
        <v>394</v>
      </c>
      <c r="F157" s="499" t="s">
        <v>493</v>
      </c>
      <c r="G157" s="570" t="s">
        <v>513</v>
      </c>
      <c r="H157" s="570" t="s">
        <v>495</v>
      </c>
      <c r="I157" s="570" t="str">
        <f>Table1[[#This Row],[Staff]]</f>
        <v>Nicole</v>
      </c>
      <c r="J157" s="569">
        <f>Table1[[#This Row],[Date]]</f>
        <v>41148</v>
      </c>
      <c r="K157" s="526"/>
      <c r="L157" s="526"/>
      <c r="AF157" s="499"/>
      <c r="AG157" s="499"/>
      <c r="AH157" s="499"/>
      <c r="AI157" s="499"/>
    </row>
    <row r="158" spans="1:35" s="571" customFormat="1" ht="28.5" hidden="1">
      <c r="A158" s="568">
        <v>1</v>
      </c>
      <c r="B158" s="37">
        <v>156</v>
      </c>
      <c r="C158" s="569">
        <v>41148</v>
      </c>
      <c r="D158" s="576" t="s">
        <v>355</v>
      </c>
      <c r="E158" s="576" t="s">
        <v>394</v>
      </c>
      <c r="F158" s="499" t="s">
        <v>499</v>
      </c>
      <c r="G158" s="570" t="s">
        <v>513</v>
      </c>
      <c r="H158" s="570" t="s">
        <v>495</v>
      </c>
      <c r="I158" s="570" t="str">
        <f>Table1[[#This Row],[Staff]]</f>
        <v>Nicole</v>
      </c>
      <c r="J158" s="569">
        <f>Table1[[#This Row],[Date]]</f>
        <v>41148</v>
      </c>
      <c r="K158" s="526"/>
      <c r="L158" s="526"/>
      <c r="AF158" s="499"/>
      <c r="AG158" s="499"/>
      <c r="AH158" s="499"/>
      <c r="AI158" s="499"/>
    </row>
    <row r="159" spans="1:35" s="571" customFormat="1" ht="28.5" hidden="1">
      <c r="A159" s="568">
        <v>1</v>
      </c>
      <c r="B159" s="37">
        <v>157</v>
      </c>
      <c r="C159" s="569">
        <v>41148</v>
      </c>
      <c r="D159" s="576" t="s">
        <v>355</v>
      </c>
      <c r="E159" s="576" t="s">
        <v>388</v>
      </c>
      <c r="F159" s="499" t="s">
        <v>493</v>
      </c>
      <c r="G159" s="570" t="s">
        <v>513</v>
      </c>
      <c r="H159" s="570" t="s">
        <v>495</v>
      </c>
      <c r="I159" s="570" t="str">
        <f>Table1[[#This Row],[Staff]]</f>
        <v>Nicole</v>
      </c>
      <c r="J159" s="569">
        <f>Table1[[#This Row],[Date]]</f>
        <v>41148</v>
      </c>
      <c r="K159" s="526"/>
      <c r="L159" s="526"/>
      <c r="AF159" s="499"/>
      <c r="AG159" s="499"/>
      <c r="AH159" s="499"/>
      <c r="AI159" s="499"/>
    </row>
    <row r="160" spans="1:35" s="571" customFormat="1" ht="28.5" hidden="1">
      <c r="A160" s="568">
        <v>1</v>
      </c>
      <c r="B160" s="37">
        <v>158</v>
      </c>
      <c r="C160" s="569">
        <v>41148</v>
      </c>
      <c r="D160" s="576" t="s">
        <v>355</v>
      </c>
      <c r="E160" s="576" t="s">
        <v>388</v>
      </c>
      <c r="F160" s="499" t="s">
        <v>499</v>
      </c>
      <c r="G160" s="570" t="s">
        <v>500</v>
      </c>
      <c r="H160" s="570" t="s">
        <v>523</v>
      </c>
      <c r="I160" s="570" t="str">
        <f>Table1[[#This Row],[Staff]]</f>
        <v>Nicole</v>
      </c>
      <c r="J160" s="569">
        <f>Table1[[#This Row],[Date]]</f>
        <v>41148</v>
      </c>
      <c r="K160" s="526"/>
      <c r="L160" s="526"/>
      <c r="AF160" s="499"/>
      <c r="AG160" s="499"/>
      <c r="AH160" s="499"/>
      <c r="AI160" s="499"/>
    </row>
    <row r="161" spans="1:12" ht="28.5" hidden="1">
      <c r="A161" s="568">
        <v>1</v>
      </c>
      <c r="B161" s="37">
        <v>159</v>
      </c>
      <c r="C161" s="569">
        <v>41148</v>
      </c>
      <c r="D161" s="576" t="s">
        <v>355</v>
      </c>
      <c r="E161" s="576" t="s">
        <v>388</v>
      </c>
      <c r="F161" s="499" t="s">
        <v>499</v>
      </c>
      <c r="G161" s="570" t="s">
        <v>513</v>
      </c>
      <c r="H161" s="570" t="s">
        <v>495</v>
      </c>
      <c r="I161" s="570" t="s">
        <v>0</v>
      </c>
      <c r="J161" s="569">
        <f>Table1[[#This Row],[Date]]</f>
        <v>41148</v>
      </c>
      <c r="K161" s="526"/>
      <c r="L161" s="526"/>
    </row>
    <row r="162" spans="1:12" ht="28.5" hidden="1">
      <c r="A162" s="568">
        <v>1</v>
      </c>
      <c r="B162" s="37">
        <v>160</v>
      </c>
      <c r="C162" s="569">
        <v>41148</v>
      </c>
      <c r="D162" s="576" t="s">
        <v>355</v>
      </c>
      <c r="E162" s="576" t="s">
        <v>388</v>
      </c>
      <c r="F162" s="499" t="s">
        <v>490</v>
      </c>
      <c r="G162" s="570" t="s">
        <v>492</v>
      </c>
      <c r="H162" s="570" t="s">
        <v>491</v>
      </c>
      <c r="I162" s="570" t="s">
        <v>0</v>
      </c>
      <c r="J162" s="569">
        <f>Table1[[#This Row],[Date]]</f>
        <v>41148</v>
      </c>
      <c r="K162" s="526"/>
      <c r="L162" s="526"/>
    </row>
    <row r="163" spans="1:12" ht="28.5" hidden="1">
      <c r="A163" s="568">
        <v>1</v>
      </c>
      <c r="B163" s="37">
        <v>161</v>
      </c>
      <c r="C163" s="569">
        <v>41148</v>
      </c>
      <c r="D163" s="576" t="s">
        <v>355</v>
      </c>
      <c r="E163" s="576" t="s">
        <v>386</v>
      </c>
      <c r="F163" s="499" t="s">
        <v>493</v>
      </c>
      <c r="G163" s="570" t="s">
        <v>513</v>
      </c>
      <c r="H163" s="570" t="s">
        <v>495</v>
      </c>
      <c r="I163" s="570" t="s">
        <v>0</v>
      </c>
      <c r="J163" s="569">
        <f>Table1[[#This Row],[Date]]</f>
        <v>41148</v>
      </c>
      <c r="K163" s="526"/>
      <c r="L163" s="526"/>
    </row>
    <row r="164" spans="1:12" ht="28.5" hidden="1">
      <c r="A164" s="568">
        <v>1</v>
      </c>
      <c r="B164" s="37">
        <v>162</v>
      </c>
      <c r="C164" s="569">
        <v>41148</v>
      </c>
      <c r="D164" s="576" t="s">
        <v>355</v>
      </c>
      <c r="E164" s="576" t="s">
        <v>386</v>
      </c>
      <c r="F164" s="499" t="s">
        <v>499</v>
      </c>
      <c r="G164" s="570" t="s">
        <v>513</v>
      </c>
      <c r="H164" s="570" t="s">
        <v>495</v>
      </c>
      <c r="I164" s="570" t="s">
        <v>0</v>
      </c>
      <c r="J164" s="569">
        <f>Table1[[#This Row],[Date]]</f>
        <v>41148</v>
      </c>
      <c r="K164" s="526"/>
      <c r="L164" s="526"/>
    </row>
    <row r="165" spans="1:12" ht="28.5" hidden="1">
      <c r="A165" s="568">
        <v>1</v>
      </c>
      <c r="B165" s="37">
        <v>163</v>
      </c>
      <c r="C165" s="569">
        <v>41148</v>
      </c>
      <c r="D165" s="576" t="s">
        <v>355</v>
      </c>
      <c r="E165" s="576" t="s">
        <v>386</v>
      </c>
      <c r="F165" s="499" t="s">
        <v>490</v>
      </c>
      <c r="G165" s="570" t="s">
        <v>492</v>
      </c>
      <c r="H165" s="570" t="s">
        <v>491</v>
      </c>
      <c r="I165" s="570" t="s">
        <v>0</v>
      </c>
      <c r="J165" s="569">
        <f>Table1[[#This Row],[Date]]</f>
        <v>41148</v>
      </c>
      <c r="K165" s="526"/>
      <c r="L165" s="526"/>
    </row>
    <row r="166" spans="1:12" ht="28.5" hidden="1">
      <c r="A166" s="568">
        <v>1</v>
      </c>
      <c r="B166" s="37">
        <v>164</v>
      </c>
      <c r="C166" s="569">
        <v>41148</v>
      </c>
      <c r="D166" s="576" t="s">
        <v>355</v>
      </c>
      <c r="E166" s="576" t="s">
        <v>62</v>
      </c>
      <c r="F166" s="499" t="s">
        <v>493</v>
      </c>
      <c r="G166" s="570" t="s">
        <v>513</v>
      </c>
      <c r="H166" s="570" t="s">
        <v>495</v>
      </c>
      <c r="I166" s="570" t="s">
        <v>0</v>
      </c>
      <c r="J166" s="569">
        <f>Table1[[#This Row],[Date]]</f>
        <v>41148</v>
      </c>
      <c r="K166" s="526"/>
      <c r="L166" s="526"/>
    </row>
    <row r="167" spans="1:12" ht="28.5" hidden="1">
      <c r="A167" s="568">
        <v>1</v>
      </c>
      <c r="B167" s="37">
        <v>165</v>
      </c>
      <c r="C167" s="569">
        <v>41148</v>
      </c>
      <c r="D167" s="576" t="s">
        <v>355</v>
      </c>
      <c r="E167" s="576" t="s">
        <v>381</v>
      </c>
      <c r="F167" s="499" t="s">
        <v>493</v>
      </c>
      <c r="G167" s="570" t="s">
        <v>513</v>
      </c>
      <c r="H167" s="570" t="s">
        <v>495</v>
      </c>
      <c r="I167" s="570" t="s">
        <v>0</v>
      </c>
      <c r="J167" s="569">
        <f>Table1[[#This Row],[Date]]</f>
        <v>41148</v>
      </c>
      <c r="K167" s="526"/>
      <c r="L167" s="526"/>
    </row>
    <row r="168" spans="1:12" ht="28.5" hidden="1">
      <c r="A168" s="568">
        <v>1</v>
      </c>
      <c r="B168" s="37">
        <v>166</v>
      </c>
      <c r="C168" s="569">
        <v>41148</v>
      </c>
      <c r="D168" s="576" t="s">
        <v>355</v>
      </c>
      <c r="E168" s="576" t="s">
        <v>378</v>
      </c>
      <c r="F168" s="499" t="s">
        <v>516</v>
      </c>
      <c r="G168" s="570" t="s">
        <v>524</v>
      </c>
      <c r="H168" s="570" t="s">
        <v>525</v>
      </c>
      <c r="I168" s="570" t="s">
        <v>0</v>
      </c>
      <c r="J168" s="569">
        <f>Table1[[#This Row],[Date]]</f>
        <v>41148</v>
      </c>
      <c r="K168" s="526"/>
      <c r="L168" s="526"/>
    </row>
    <row r="169" spans="1:12" ht="28.5" hidden="1">
      <c r="A169" s="568">
        <v>1</v>
      </c>
      <c r="B169" s="37">
        <v>167</v>
      </c>
      <c r="C169" s="569">
        <v>41148</v>
      </c>
      <c r="D169" s="576" t="s">
        <v>355</v>
      </c>
      <c r="E169" s="576" t="s">
        <v>378</v>
      </c>
      <c r="F169" s="499" t="s">
        <v>526</v>
      </c>
      <c r="G169" s="570" t="s">
        <v>524</v>
      </c>
      <c r="H169" s="570" t="s">
        <v>525</v>
      </c>
      <c r="I169" s="570" t="s">
        <v>0</v>
      </c>
      <c r="J169" s="569">
        <f>Table1[[#This Row],[Date]]</f>
        <v>41148</v>
      </c>
      <c r="K169" s="526"/>
      <c r="L169" s="526"/>
    </row>
    <row r="170" spans="1:12" ht="28.5" hidden="1">
      <c r="A170" s="568">
        <v>1</v>
      </c>
      <c r="B170" s="37">
        <v>168</v>
      </c>
      <c r="C170" s="569">
        <v>41148</v>
      </c>
      <c r="D170" s="576" t="s">
        <v>355</v>
      </c>
      <c r="E170" s="576" t="s">
        <v>378</v>
      </c>
      <c r="F170" s="499" t="s">
        <v>527</v>
      </c>
      <c r="G170" s="570" t="s">
        <v>524</v>
      </c>
      <c r="H170" s="570" t="s">
        <v>525</v>
      </c>
      <c r="I170" s="570" t="s">
        <v>0</v>
      </c>
      <c r="J170" s="569">
        <f>Table1[[#This Row],[Date]]</f>
        <v>41148</v>
      </c>
      <c r="K170" s="526"/>
      <c r="L170" s="526"/>
    </row>
    <row r="171" spans="1:12" ht="28.5" hidden="1">
      <c r="A171" s="568">
        <v>1</v>
      </c>
      <c r="B171" s="37">
        <v>169</v>
      </c>
      <c r="C171" s="569">
        <v>41148</v>
      </c>
      <c r="D171" s="576" t="s">
        <v>355</v>
      </c>
      <c r="E171" s="576" t="s">
        <v>378</v>
      </c>
      <c r="F171" s="499" t="s">
        <v>528</v>
      </c>
      <c r="G171" s="570" t="s">
        <v>524</v>
      </c>
      <c r="H171" s="570" t="s">
        <v>525</v>
      </c>
      <c r="I171" s="570" t="s">
        <v>0</v>
      </c>
      <c r="J171" s="569">
        <f>Table1[[#This Row],[Date]]</f>
        <v>41148</v>
      </c>
      <c r="K171" s="526"/>
      <c r="L171" s="526"/>
    </row>
    <row r="172" spans="1:12" ht="28.5" hidden="1">
      <c r="A172" s="568">
        <v>1</v>
      </c>
      <c r="B172" s="37">
        <v>170</v>
      </c>
      <c r="C172" s="569">
        <v>41148</v>
      </c>
      <c r="D172" s="576" t="s">
        <v>355</v>
      </c>
      <c r="E172" s="576" t="s">
        <v>378</v>
      </c>
      <c r="F172" s="499" t="s">
        <v>529</v>
      </c>
      <c r="G172" s="570" t="s">
        <v>524</v>
      </c>
      <c r="H172" s="570" t="s">
        <v>525</v>
      </c>
      <c r="I172" s="570" t="s">
        <v>0</v>
      </c>
      <c r="J172" s="569">
        <f>Table1[[#This Row],[Date]]</f>
        <v>41148</v>
      </c>
      <c r="K172" s="526"/>
      <c r="L172" s="526"/>
    </row>
    <row r="173" spans="1:12" ht="28.5" hidden="1">
      <c r="A173" s="568">
        <v>1</v>
      </c>
      <c r="B173" s="37">
        <v>171</v>
      </c>
      <c r="C173" s="569">
        <v>41148</v>
      </c>
      <c r="D173" s="576" t="s">
        <v>355</v>
      </c>
      <c r="E173" s="576" t="s">
        <v>378</v>
      </c>
      <c r="F173" s="499" t="s">
        <v>530</v>
      </c>
      <c r="G173" s="570" t="s">
        <v>524</v>
      </c>
      <c r="H173" s="570" t="s">
        <v>525</v>
      </c>
      <c r="I173" s="570" t="s">
        <v>0</v>
      </c>
      <c r="J173" s="569">
        <f>Table1[[#This Row],[Date]]</f>
        <v>41148</v>
      </c>
      <c r="K173" s="526"/>
      <c r="L173" s="526"/>
    </row>
    <row r="174" spans="1:12" ht="28.5" hidden="1">
      <c r="A174" s="568">
        <v>1</v>
      </c>
      <c r="B174" s="37">
        <v>172</v>
      </c>
      <c r="C174" s="569">
        <v>41148</v>
      </c>
      <c r="D174" s="576" t="s">
        <v>355</v>
      </c>
      <c r="E174" s="576" t="s">
        <v>378</v>
      </c>
      <c r="F174" s="499" t="s">
        <v>531</v>
      </c>
      <c r="G174" s="570" t="s">
        <v>532</v>
      </c>
      <c r="H174" s="570" t="s">
        <v>533</v>
      </c>
      <c r="I174" s="578" t="str">
        <f>Table1[[#This Row],[Staff]]</f>
        <v>Nicole</v>
      </c>
      <c r="J174" s="569">
        <f>Table1[[#This Row],[Date]]</f>
        <v>41148</v>
      </c>
      <c r="K174" s="526"/>
      <c r="L174" s="526"/>
    </row>
    <row r="175" spans="1:12" ht="28.5" hidden="1">
      <c r="A175" s="568">
        <v>1</v>
      </c>
      <c r="B175" s="37">
        <v>173</v>
      </c>
      <c r="C175" s="569">
        <v>41148</v>
      </c>
      <c r="D175" s="576" t="s">
        <v>355</v>
      </c>
      <c r="E175" s="576" t="s">
        <v>378</v>
      </c>
      <c r="F175" s="499" t="s">
        <v>534</v>
      </c>
      <c r="G175" s="570" t="s">
        <v>532</v>
      </c>
      <c r="H175" s="570" t="s">
        <v>533</v>
      </c>
      <c r="I175" s="578" t="str">
        <f>Table1[[#This Row],[Staff]]</f>
        <v>Nicole</v>
      </c>
      <c r="J175" s="569">
        <f>Table1[[#This Row],[Date]]</f>
        <v>41148</v>
      </c>
      <c r="K175" s="526"/>
      <c r="L175" s="526"/>
    </row>
    <row r="176" spans="1:12" ht="28.5" hidden="1">
      <c r="A176" s="568">
        <v>1</v>
      </c>
      <c r="B176" s="37">
        <v>174</v>
      </c>
      <c r="C176" s="569">
        <v>41148</v>
      </c>
      <c r="D176" s="576" t="s">
        <v>355</v>
      </c>
      <c r="E176" s="576" t="s">
        <v>378</v>
      </c>
      <c r="F176" s="499" t="s">
        <v>535</v>
      </c>
      <c r="G176" s="570" t="s">
        <v>532</v>
      </c>
      <c r="H176" s="570" t="s">
        <v>533</v>
      </c>
      <c r="I176" s="578" t="str">
        <f>Table1[[#This Row],[Staff]]</f>
        <v>Nicole</v>
      </c>
      <c r="J176" s="569">
        <f>Table1[[#This Row],[Date]]</f>
        <v>41148</v>
      </c>
      <c r="K176" s="526"/>
      <c r="L176" s="526"/>
    </row>
    <row r="177" spans="1:12" ht="28.5" hidden="1">
      <c r="A177" s="568">
        <v>1</v>
      </c>
      <c r="B177" s="37">
        <v>175</v>
      </c>
      <c r="C177" s="569">
        <v>41148</v>
      </c>
      <c r="D177" s="576" t="s">
        <v>355</v>
      </c>
      <c r="E177" s="576" t="s">
        <v>378</v>
      </c>
      <c r="F177" s="499" t="s">
        <v>536</v>
      </c>
      <c r="G177" s="570" t="s">
        <v>532</v>
      </c>
      <c r="H177" s="570" t="s">
        <v>533</v>
      </c>
      <c r="I177" s="578" t="str">
        <f>Table1[[#This Row],[Staff]]</f>
        <v>Nicole</v>
      </c>
      <c r="J177" s="569">
        <f>Table1[[#This Row],[Date]]</f>
        <v>41148</v>
      </c>
      <c r="K177" s="526"/>
      <c r="L177" s="526"/>
    </row>
    <row r="178" spans="1:12" ht="28.5" hidden="1">
      <c r="A178" s="568">
        <v>1</v>
      </c>
      <c r="B178" s="37">
        <v>176</v>
      </c>
      <c r="C178" s="569">
        <v>41148</v>
      </c>
      <c r="D178" s="576" t="s">
        <v>355</v>
      </c>
      <c r="E178" s="576" t="s">
        <v>371</v>
      </c>
      <c r="F178" s="499" t="s">
        <v>537</v>
      </c>
      <c r="G178" s="570" t="s">
        <v>538</v>
      </c>
      <c r="H178" s="570" t="s">
        <v>495</v>
      </c>
      <c r="I178" s="578" t="str">
        <f>Table1[[#This Row],[Staff]]</f>
        <v>Nicole</v>
      </c>
      <c r="J178" s="569">
        <f>Table1[[#This Row],[Date]]</f>
        <v>41148</v>
      </c>
      <c r="K178" s="526"/>
      <c r="L178" s="526"/>
    </row>
    <row r="179" spans="1:12" ht="28.5" hidden="1">
      <c r="A179" s="568">
        <v>1</v>
      </c>
      <c r="B179" s="37">
        <v>177</v>
      </c>
      <c r="C179" s="569">
        <v>41148</v>
      </c>
      <c r="D179" s="576" t="s">
        <v>355</v>
      </c>
      <c r="E179" s="576" t="s">
        <v>371</v>
      </c>
      <c r="F179" s="499" t="s">
        <v>539</v>
      </c>
      <c r="G179" s="570" t="s">
        <v>540</v>
      </c>
      <c r="H179" s="570" t="s">
        <v>541</v>
      </c>
      <c r="I179" s="578" t="str">
        <f>Table1[[#This Row],[Staff]]</f>
        <v>Nicole</v>
      </c>
      <c r="J179" s="569">
        <f>Table1[[#This Row],[Date]]</f>
        <v>41148</v>
      </c>
      <c r="K179" s="526"/>
      <c r="L179" s="526"/>
    </row>
    <row r="180" spans="1:12" ht="28.5" hidden="1">
      <c r="A180" s="568">
        <v>1</v>
      </c>
      <c r="B180" s="37">
        <v>178</v>
      </c>
      <c r="C180" s="569">
        <v>41148</v>
      </c>
      <c r="D180" s="576" t="s">
        <v>355</v>
      </c>
      <c r="E180" s="576" t="s">
        <v>371</v>
      </c>
      <c r="F180" s="499" t="s">
        <v>542</v>
      </c>
      <c r="G180" s="570" t="s">
        <v>543</v>
      </c>
      <c r="H180" s="570" t="s">
        <v>544</v>
      </c>
      <c r="I180" s="578" t="str">
        <f>Table1[[#This Row],[Staff]]</f>
        <v>Nicole</v>
      </c>
      <c r="J180" s="569">
        <f>Table1[[#This Row],[Date]]</f>
        <v>41148</v>
      </c>
      <c r="K180" s="526"/>
      <c r="L180" s="526"/>
    </row>
    <row r="181" spans="1:12" ht="28.5" hidden="1">
      <c r="A181" s="568">
        <v>1</v>
      </c>
      <c r="B181" s="37">
        <v>179</v>
      </c>
      <c r="C181" s="569">
        <v>41148</v>
      </c>
      <c r="D181" s="577" t="s">
        <v>355</v>
      </c>
      <c r="E181" s="577" t="s">
        <v>159</v>
      </c>
      <c r="F181" s="499" t="s">
        <v>499</v>
      </c>
      <c r="G181" s="570" t="s">
        <v>545</v>
      </c>
      <c r="H181" s="570" t="s">
        <v>546</v>
      </c>
      <c r="I181" s="578" t="str">
        <f>Table1[[#This Row],[Staff]]</f>
        <v>Nicole</v>
      </c>
      <c r="J181" s="569">
        <f>Table1[[#This Row],[Date]]</f>
        <v>41148</v>
      </c>
      <c r="K181" s="526"/>
      <c r="L181" s="526"/>
    </row>
    <row r="182" spans="1:12" ht="28.5" hidden="1">
      <c r="A182" s="568">
        <v>1</v>
      </c>
      <c r="B182" s="37">
        <v>180</v>
      </c>
      <c r="C182" s="569">
        <v>41148</v>
      </c>
      <c r="D182" s="577" t="s">
        <v>355</v>
      </c>
      <c r="E182" s="577" t="s">
        <v>159</v>
      </c>
      <c r="F182" s="499" t="s">
        <v>516</v>
      </c>
      <c r="G182" s="570" t="s">
        <v>545</v>
      </c>
      <c r="H182" s="570" t="s">
        <v>546</v>
      </c>
      <c r="I182" s="578" t="str">
        <f>Table1[[#This Row],[Staff]]</f>
        <v>Nicole</v>
      </c>
      <c r="J182" s="569">
        <f>Table1[[#This Row],[Date]]</f>
        <v>41148</v>
      </c>
      <c r="K182" s="526"/>
      <c r="L182" s="526"/>
    </row>
    <row r="183" spans="1:12" ht="28.5" hidden="1">
      <c r="A183" s="568">
        <v>1</v>
      </c>
      <c r="B183" s="37">
        <v>181</v>
      </c>
      <c r="C183" s="569">
        <v>41148</v>
      </c>
      <c r="D183" s="577" t="s">
        <v>355</v>
      </c>
      <c r="E183" s="577" t="s">
        <v>159</v>
      </c>
      <c r="F183" s="499" t="s">
        <v>530</v>
      </c>
      <c r="G183" s="570" t="s">
        <v>545</v>
      </c>
      <c r="H183" s="570" t="s">
        <v>546</v>
      </c>
      <c r="I183" s="578" t="str">
        <f>Table1[[#This Row],[Staff]]</f>
        <v>Nicole</v>
      </c>
      <c r="J183" s="569">
        <f>Table1[[#This Row],[Date]]</f>
        <v>41148</v>
      </c>
      <c r="K183" s="526"/>
      <c r="L183" s="526"/>
    </row>
    <row r="184" spans="1:12" ht="28.5" hidden="1">
      <c r="A184" s="568">
        <v>1</v>
      </c>
      <c r="B184" s="37">
        <v>182</v>
      </c>
      <c r="C184" s="569">
        <v>41148</v>
      </c>
      <c r="D184" s="577" t="s">
        <v>355</v>
      </c>
      <c r="E184" s="577" t="s">
        <v>371</v>
      </c>
      <c r="F184" s="499" t="s">
        <v>508</v>
      </c>
      <c r="G184" s="570" t="s">
        <v>548</v>
      </c>
      <c r="H184" s="570" t="s">
        <v>465</v>
      </c>
      <c r="I184" s="578" t="str">
        <f>Table1[[#This Row],[Staff]]</f>
        <v>Nicole</v>
      </c>
      <c r="J184" s="569">
        <f>Table1[[#This Row],[Date]]</f>
        <v>41148</v>
      </c>
      <c r="K184" s="526"/>
      <c r="L184" s="526"/>
    </row>
    <row r="185" spans="1:12" hidden="1">
      <c r="A185" s="568">
        <v>1</v>
      </c>
      <c r="B185" s="37">
        <v>183</v>
      </c>
      <c r="C185" s="569">
        <v>41148</v>
      </c>
      <c r="D185" s="577" t="s">
        <v>355</v>
      </c>
      <c r="E185" s="577" t="s">
        <v>159</v>
      </c>
      <c r="F185" s="499" t="s">
        <v>552</v>
      </c>
      <c r="G185" s="570" t="s">
        <v>553</v>
      </c>
      <c r="H185" s="570" t="s">
        <v>554</v>
      </c>
      <c r="I185" s="578" t="str">
        <f>Table1[[#This Row],[Staff]]</f>
        <v>Nicole</v>
      </c>
      <c r="J185" s="569">
        <f>Table1[[#This Row],[Date]]</f>
        <v>41148</v>
      </c>
      <c r="K185" s="526"/>
      <c r="L185" s="526"/>
    </row>
    <row r="186" spans="1:12" hidden="1">
      <c r="A186" s="568">
        <v>1</v>
      </c>
      <c r="B186" s="37">
        <v>184</v>
      </c>
      <c r="C186" s="569">
        <v>41148</v>
      </c>
      <c r="D186" s="577" t="s">
        <v>355</v>
      </c>
      <c r="E186" s="577" t="s">
        <v>371</v>
      </c>
      <c r="F186" s="499" t="s">
        <v>555</v>
      </c>
      <c r="G186" s="570" t="s">
        <v>553</v>
      </c>
      <c r="H186" s="570" t="s">
        <v>554</v>
      </c>
      <c r="I186" s="578" t="str">
        <f>Table1[[#This Row],[Staff]]</f>
        <v>Nicole</v>
      </c>
      <c r="J186" s="569">
        <f>Table1[[#This Row],[Date]]</f>
        <v>41148</v>
      </c>
      <c r="K186" s="526"/>
      <c r="L186" s="526"/>
    </row>
    <row r="187" spans="1:12" hidden="1">
      <c r="A187" s="568">
        <v>1</v>
      </c>
      <c r="B187" s="37">
        <v>185</v>
      </c>
      <c r="C187" s="569">
        <v>41148</v>
      </c>
      <c r="D187" s="577" t="s">
        <v>355</v>
      </c>
      <c r="E187" s="577" t="s">
        <v>9</v>
      </c>
      <c r="F187" s="499" t="s">
        <v>555</v>
      </c>
      <c r="G187" s="570" t="s">
        <v>553</v>
      </c>
      <c r="H187" s="570" t="s">
        <v>554</v>
      </c>
      <c r="I187" s="578" t="str">
        <f>Table1[[#This Row],[Staff]]</f>
        <v>Nicole</v>
      </c>
      <c r="J187" s="569">
        <f>Table1[[#This Row],[Date]]</f>
        <v>41148</v>
      </c>
      <c r="K187" s="526"/>
      <c r="L187" s="526"/>
    </row>
    <row r="188" spans="1:12" hidden="1">
      <c r="A188" s="568">
        <v>1</v>
      </c>
      <c r="B188" s="37">
        <v>186</v>
      </c>
      <c r="C188" s="569">
        <v>41148</v>
      </c>
      <c r="D188" s="577" t="s">
        <v>355</v>
      </c>
      <c r="E188" s="577" t="s">
        <v>378</v>
      </c>
      <c r="F188" s="499" t="s">
        <v>555</v>
      </c>
      <c r="G188" s="570" t="s">
        <v>553</v>
      </c>
      <c r="H188" s="570" t="s">
        <v>554</v>
      </c>
      <c r="I188" s="578" t="str">
        <f>Table1[[#This Row],[Staff]]</f>
        <v>Nicole</v>
      </c>
      <c r="J188" s="569">
        <f>Table1[[#This Row],[Date]]</f>
        <v>41148</v>
      </c>
      <c r="K188" s="526"/>
      <c r="L188" s="526"/>
    </row>
    <row r="189" spans="1:12" hidden="1">
      <c r="A189" s="568">
        <v>1</v>
      </c>
      <c r="B189" s="37">
        <v>187</v>
      </c>
      <c r="C189" s="569">
        <v>41148</v>
      </c>
      <c r="D189" s="577" t="s">
        <v>355</v>
      </c>
      <c r="E189" s="577" t="s">
        <v>381</v>
      </c>
      <c r="F189" s="499" t="s">
        <v>555</v>
      </c>
      <c r="G189" s="570" t="s">
        <v>553</v>
      </c>
      <c r="H189" s="570" t="s">
        <v>554</v>
      </c>
      <c r="I189" s="578" t="str">
        <f>Table1[[#This Row],[Staff]]</f>
        <v>Nicole</v>
      </c>
      <c r="J189" s="569">
        <f>Table1[[#This Row],[Date]]</f>
        <v>41148</v>
      </c>
      <c r="K189" s="526"/>
      <c r="L189" s="526"/>
    </row>
    <row r="190" spans="1:12" hidden="1">
      <c r="A190" s="568">
        <v>1</v>
      </c>
      <c r="B190" s="37">
        <v>188</v>
      </c>
      <c r="C190" s="569">
        <v>41148</v>
      </c>
      <c r="D190" s="577" t="s">
        <v>355</v>
      </c>
      <c r="E190" s="577" t="s">
        <v>62</v>
      </c>
      <c r="F190" s="499" t="s">
        <v>555</v>
      </c>
      <c r="G190" s="570" t="s">
        <v>553</v>
      </c>
      <c r="H190" s="570" t="s">
        <v>554</v>
      </c>
      <c r="I190" s="578" t="str">
        <f>Table1[[#This Row],[Staff]]</f>
        <v>Nicole</v>
      </c>
      <c r="J190" s="569">
        <f>Table1[[#This Row],[Date]]</f>
        <v>41148</v>
      </c>
      <c r="K190" s="526"/>
      <c r="L190" s="526"/>
    </row>
    <row r="191" spans="1:12" hidden="1">
      <c r="A191" s="568">
        <v>1</v>
      </c>
      <c r="B191" s="37">
        <v>189</v>
      </c>
      <c r="C191" s="569">
        <v>41148</v>
      </c>
      <c r="D191" s="577" t="s">
        <v>355</v>
      </c>
      <c r="E191" s="577" t="s">
        <v>386</v>
      </c>
      <c r="F191" s="499" t="s">
        <v>555</v>
      </c>
      <c r="G191" s="570" t="s">
        <v>553</v>
      </c>
      <c r="H191" s="570" t="s">
        <v>554</v>
      </c>
      <c r="I191" s="578" t="str">
        <f>Table1[[#This Row],[Staff]]</f>
        <v>Nicole</v>
      </c>
      <c r="J191" s="569">
        <f>Table1[[#This Row],[Date]]</f>
        <v>41148</v>
      </c>
      <c r="K191" s="526"/>
      <c r="L191" s="526"/>
    </row>
    <row r="192" spans="1:12" hidden="1">
      <c r="A192" s="568">
        <v>1</v>
      </c>
      <c r="B192" s="37">
        <v>190</v>
      </c>
      <c r="C192" s="569">
        <v>41148</v>
      </c>
      <c r="D192" s="577" t="s">
        <v>355</v>
      </c>
      <c r="E192" s="577" t="s">
        <v>388</v>
      </c>
      <c r="F192" s="499" t="s">
        <v>555</v>
      </c>
      <c r="G192" s="570" t="s">
        <v>553</v>
      </c>
      <c r="H192" s="570" t="s">
        <v>554</v>
      </c>
      <c r="I192" s="578" t="str">
        <f>Table1[[#This Row],[Staff]]</f>
        <v>Nicole</v>
      </c>
      <c r="J192" s="569">
        <f>Table1[[#This Row],[Date]]</f>
        <v>41148</v>
      </c>
      <c r="K192" s="526"/>
      <c r="L192" s="526"/>
    </row>
    <row r="193" spans="1:12" hidden="1">
      <c r="A193" s="568">
        <v>1</v>
      </c>
      <c r="B193" s="37">
        <v>191</v>
      </c>
      <c r="C193" s="569">
        <v>41148</v>
      </c>
      <c r="D193" s="577" t="s">
        <v>355</v>
      </c>
      <c r="E193" s="577" t="s">
        <v>394</v>
      </c>
      <c r="F193" s="499" t="s">
        <v>555</v>
      </c>
      <c r="G193" s="570" t="s">
        <v>553</v>
      </c>
      <c r="H193" s="570" t="s">
        <v>554</v>
      </c>
      <c r="I193" s="578" t="str">
        <f>Table1[[#This Row],[Staff]]</f>
        <v>Nicole</v>
      </c>
      <c r="J193" s="569">
        <f>Table1[[#This Row],[Date]]</f>
        <v>41148</v>
      </c>
      <c r="K193" s="526"/>
      <c r="L193" s="526"/>
    </row>
    <row r="194" spans="1:12" hidden="1">
      <c r="A194" s="568">
        <v>1</v>
      </c>
      <c r="B194" s="37">
        <v>192</v>
      </c>
      <c r="C194" s="569">
        <v>41148</v>
      </c>
      <c r="D194" s="577" t="s">
        <v>355</v>
      </c>
      <c r="E194" s="577" t="s">
        <v>399</v>
      </c>
      <c r="F194" s="499" t="s">
        <v>555</v>
      </c>
      <c r="G194" s="570" t="s">
        <v>553</v>
      </c>
      <c r="H194" s="570" t="s">
        <v>554</v>
      </c>
      <c r="I194" s="578" t="str">
        <f>Table1[[#This Row],[Staff]]</f>
        <v>Nicole</v>
      </c>
      <c r="J194" s="569">
        <f>Table1[[#This Row],[Date]]</f>
        <v>41148</v>
      </c>
      <c r="K194" s="526"/>
      <c r="L194" s="526"/>
    </row>
    <row r="195" spans="1:12" hidden="1">
      <c r="A195" s="568">
        <v>1</v>
      </c>
      <c r="B195" s="37">
        <v>193</v>
      </c>
      <c r="C195" s="569">
        <v>41148</v>
      </c>
      <c r="D195" s="577" t="s">
        <v>355</v>
      </c>
      <c r="E195" s="577" t="s">
        <v>402</v>
      </c>
      <c r="F195" s="499" t="s">
        <v>555</v>
      </c>
      <c r="G195" s="570" t="s">
        <v>553</v>
      </c>
      <c r="H195" s="570" t="s">
        <v>554</v>
      </c>
      <c r="I195" s="578" t="str">
        <f>Table1[[#This Row],[Staff]]</f>
        <v>Nicole</v>
      </c>
      <c r="J195" s="569">
        <f>Table1[[#This Row],[Date]]</f>
        <v>41148</v>
      </c>
      <c r="K195" s="526"/>
      <c r="L195" s="526"/>
    </row>
    <row r="196" spans="1:12" hidden="1">
      <c r="A196" s="568">
        <v>1</v>
      </c>
      <c r="B196" s="37">
        <v>194</v>
      </c>
      <c r="C196" s="569">
        <v>41148</v>
      </c>
      <c r="D196" s="577" t="s">
        <v>355</v>
      </c>
      <c r="E196" s="577" t="s">
        <v>78</v>
      </c>
      <c r="F196" s="499" t="s">
        <v>555</v>
      </c>
      <c r="G196" s="570" t="s">
        <v>553</v>
      </c>
      <c r="H196" s="570" t="s">
        <v>554</v>
      </c>
      <c r="I196" s="578" t="str">
        <f>Table1[[#This Row],[Staff]]</f>
        <v>Nicole</v>
      </c>
      <c r="J196" s="569">
        <f>Table1[[#This Row],[Date]]</f>
        <v>41148</v>
      </c>
      <c r="K196" s="526"/>
      <c r="L196" s="526"/>
    </row>
    <row r="197" spans="1:12" hidden="1">
      <c r="A197" s="568">
        <v>1</v>
      </c>
      <c r="B197" s="37">
        <v>195</v>
      </c>
      <c r="C197" s="569">
        <v>41148</v>
      </c>
      <c r="D197" s="577" t="s">
        <v>355</v>
      </c>
      <c r="E197" s="577" t="s">
        <v>87</v>
      </c>
      <c r="F197" s="499" t="s">
        <v>555</v>
      </c>
      <c r="G197" s="570" t="s">
        <v>553</v>
      </c>
      <c r="H197" s="570" t="s">
        <v>554</v>
      </c>
      <c r="I197" s="578" t="str">
        <f>Table1[[#This Row],[Staff]]</f>
        <v>Nicole</v>
      </c>
      <c r="J197" s="569">
        <f>Table1[[#This Row],[Date]]</f>
        <v>41148</v>
      </c>
      <c r="K197" s="526"/>
      <c r="L197" s="526"/>
    </row>
    <row r="198" spans="1:12" hidden="1">
      <c r="A198" s="568">
        <v>1</v>
      </c>
      <c r="B198" s="37">
        <v>196</v>
      </c>
      <c r="C198" s="569">
        <v>41148</v>
      </c>
      <c r="D198" s="577" t="s">
        <v>355</v>
      </c>
      <c r="E198" s="577" t="s">
        <v>406</v>
      </c>
      <c r="F198" s="499" t="s">
        <v>555</v>
      </c>
      <c r="G198" s="570" t="s">
        <v>553</v>
      </c>
      <c r="H198" s="570" t="s">
        <v>554</v>
      </c>
      <c r="I198" s="578" t="str">
        <f>Table1[[#This Row],[Staff]]</f>
        <v>Nicole</v>
      </c>
      <c r="J198" s="569">
        <f>Table1[[#This Row],[Date]]</f>
        <v>41148</v>
      </c>
      <c r="K198" s="526"/>
      <c r="L198" s="526"/>
    </row>
    <row r="199" spans="1:12" ht="28.5" hidden="1">
      <c r="A199" s="568">
        <v>1</v>
      </c>
      <c r="B199" s="37">
        <v>197</v>
      </c>
      <c r="C199" s="569">
        <v>41148</v>
      </c>
      <c r="D199" s="577" t="s">
        <v>355</v>
      </c>
      <c r="E199" s="577" t="s">
        <v>362</v>
      </c>
      <c r="F199" s="499" t="s">
        <v>556</v>
      </c>
      <c r="G199" s="570" t="s">
        <v>557</v>
      </c>
      <c r="H199" s="570" t="s">
        <v>558</v>
      </c>
      <c r="I199" s="578" t="str">
        <f>Table1[[#This Row],[Staff]]</f>
        <v>Nicole</v>
      </c>
      <c r="J199" s="569">
        <f>Table1[[#This Row],[Date]]</f>
        <v>41148</v>
      </c>
      <c r="K199" s="526"/>
      <c r="L199" s="526"/>
    </row>
    <row r="200" spans="1:12" ht="28.5" hidden="1">
      <c r="A200" s="568">
        <v>1</v>
      </c>
      <c r="B200" s="37">
        <v>198</v>
      </c>
      <c r="C200" s="569">
        <v>41148</v>
      </c>
      <c r="D200" s="577" t="s">
        <v>355</v>
      </c>
      <c r="E200" s="577" t="s">
        <v>362</v>
      </c>
      <c r="F200" s="499" t="s">
        <v>559</v>
      </c>
      <c r="G200" s="570" t="s">
        <v>560</v>
      </c>
      <c r="H200" s="570" t="s">
        <v>495</v>
      </c>
      <c r="I200" s="578" t="str">
        <f>Table1[[#This Row],[Staff]]</f>
        <v>Nicole</v>
      </c>
      <c r="J200" s="569">
        <f>Table1[[#This Row],[Date]]</f>
        <v>41148</v>
      </c>
      <c r="K200" s="526"/>
      <c r="L200" s="526"/>
    </row>
    <row r="201" spans="1:12" hidden="1">
      <c r="A201" s="568">
        <v>1</v>
      </c>
      <c r="B201" s="37">
        <v>199</v>
      </c>
      <c r="C201" s="569">
        <v>41148</v>
      </c>
      <c r="D201" s="577" t="s">
        <v>355</v>
      </c>
      <c r="E201" s="577" t="s">
        <v>159</v>
      </c>
      <c r="F201" s="499" t="s">
        <v>561</v>
      </c>
      <c r="G201" s="570" t="s">
        <v>563</v>
      </c>
      <c r="H201" s="570" t="s">
        <v>564</v>
      </c>
      <c r="I201" s="578" t="str">
        <f>Table1[[#This Row],[Staff]]</f>
        <v>Nicole</v>
      </c>
      <c r="J201" s="569">
        <f>Table1[[#This Row],[Date]]</f>
        <v>41148</v>
      </c>
      <c r="K201" s="526"/>
      <c r="L201" s="526"/>
    </row>
    <row r="202" spans="1:12" hidden="1">
      <c r="A202" s="568">
        <v>1</v>
      </c>
      <c r="B202" s="37">
        <v>200</v>
      </c>
      <c r="C202" s="569">
        <v>41148</v>
      </c>
      <c r="D202" s="577" t="s">
        <v>355</v>
      </c>
      <c r="E202" s="577" t="s">
        <v>159</v>
      </c>
      <c r="F202" s="499" t="s">
        <v>562</v>
      </c>
      <c r="G202" s="570" t="s">
        <v>563</v>
      </c>
      <c r="H202" s="570" t="s">
        <v>564</v>
      </c>
      <c r="I202" s="578" t="str">
        <f>Table1[[#This Row],[Staff]]</f>
        <v>Nicole</v>
      </c>
      <c r="J202" s="569">
        <f>Table1[[#This Row],[Date]]</f>
        <v>41148</v>
      </c>
      <c r="K202" s="526"/>
      <c r="L202" s="526"/>
    </row>
    <row r="203" spans="1:12" ht="42.75" hidden="1">
      <c r="A203" s="568">
        <v>1</v>
      </c>
      <c r="B203" s="37">
        <v>201</v>
      </c>
      <c r="C203" s="569">
        <v>41148</v>
      </c>
      <c r="D203" s="577" t="s">
        <v>355</v>
      </c>
      <c r="E203" s="577" t="s">
        <v>62</v>
      </c>
      <c r="F203" s="499" t="s">
        <v>565</v>
      </c>
      <c r="G203" s="570" t="s">
        <v>566</v>
      </c>
      <c r="H203" s="570" t="s">
        <v>567</v>
      </c>
      <c r="I203" s="578" t="str">
        <f>Table1[[#This Row],[Staff]]</f>
        <v>Nicole</v>
      </c>
      <c r="J203" s="569">
        <f>Table1[[#This Row],[Date]]</f>
        <v>41148</v>
      </c>
      <c r="K203" s="526"/>
      <c r="L203" s="526"/>
    </row>
    <row r="204" spans="1:12" ht="28.5" hidden="1">
      <c r="A204" s="568">
        <v>1</v>
      </c>
      <c r="B204" s="37">
        <v>202</v>
      </c>
      <c r="C204" s="569">
        <v>41148</v>
      </c>
      <c r="D204" s="577" t="s">
        <v>355</v>
      </c>
      <c r="E204" s="577" t="s">
        <v>378</v>
      </c>
      <c r="F204" s="499" t="s">
        <v>565</v>
      </c>
      <c r="G204" s="570" t="s">
        <v>568</v>
      </c>
      <c r="H204" s="570" t="s">
        <v>569</v>
      </c>
      <c r="I204" s="578" t="str">
        <f>Table1[[#This Row],[Staff]]</f>
        <v>Nicole</v>
      </c>
      <c r="J204" s="569">
        <f>Table1[[#This Row],[Date]]</f>
        <v>41148</v>
      </c>
      <c r="K204" s="526"/>
      <c r="L204" s="526"/>
    </row>
    <row r="205" spans="1:12" ht="28.5" hidden="1">
      <c r="A205" s="568">
        <v>1</v>
      </c>
      <c r="B205" s="37">
        <v>203</v>
      </c>
      <c r="C205" s="569">
        <v>41148</v>
      </c>
      <c r="D205" s="577" t="s">
        <v>355</v>
      </c>
      <c r="E205" s="579" t="s">
        <v>378</v>
      </c>
      <c r="F205" s="499" t="s">
        <v>570</v>
      </c>
      <c r="G205" s="570" t="s">
        <v>568</v>
      </c>
      <c r="H205" s="570" t="s">
        <v>569</v>
      </c>
      <c r="I205" s="578" t="str">
        <f>Table1[[#This Row],[Staff]]</f>
        <v>Nicole</v>
      </c>
      <c r="J205" s="569">
        <f>Table1[[#This Row],[Date]]</f>
        <v>41148</v>
      </c>
      <c r="K205" s="526"/>
      <c r="L205" s="526"/>
    </row>
    <row r="206" spans="1:12" ht="28.5" hidden="1">
      <c r="A206" s="568">
        <v>1</v>
      </c>
      <c r="B206" s="37">
        <v>204</v>
      </c>
      <c r="C206" s="569">
        <v>41148</v>
      </c>
      <c r="D206" s="577" t="s">
        <v>355</v>
      </c>
      <c r="E206" s="579" t="s">
        <v>378</v>
      </c>
      <c r="F206" s="499" t="s">
        <v>571</v>
      </c>
      <c r="G206" s="570" t="s">
        <v>568</v>
      </c>
      <c r="H206" s="570" t="s">
        <v>569</v>
      </c>
      <c r="I206" s="578" t="str">
        <f>Table1[[#This Row],[Staff]]</f>
        <v>Nicole</v>
      </c>
      <c r="J206" s="569">
        <f>Table1[[#This Row],[Date]]</f>
        <v>41148</v>
      </c>
      <c r="K206" s="526"/>
      <c r="L206" s="526"/>
    </row>
    <row r="207" spans="1:12" ht="28.5" hidden="1">
      <c r="A207" s="568">
        <v>1</v>
      </c>
      <c r="B207" s="37">
        <v>205</v>
      </c>
      <c r="C207" s="569">
        <v>41148</v>
      </c>
      <c r="D207" s="577" t="s">
        <v>355</v>
      </c>
      <c r="E207" s="579" t="s">
        <v>378</v>
      </c>
      <c r="F207" s="499" t="s">
        <v>572</v>
      </c>
      <c r="G207" s="570" t="s">
        <v>568</v>
      </c>
      <c r="H207" s="570" t="s">
        <v>569</v>
      </c>
      <c r="I207" s="578" t="str">
        <f>Table1[[#This Row],[Staff]]</f>
        <v>Nicole</v>
      </c>
      <c r="J207" s="569">
        <f>Table1[[#This Row],[Date]]</f>
        <v>41148</v>
      </c>
      <c r="K207" s="526"/>
      <c r="L207" s="526"/>
    </row>
    <row r="208" spans="1:12" ht="28.5" hidden="1">
      <c r="A208" s="568">
        <v>1</v>
      </c>
      <c r="B208" s="37">
        <v>206</v>
      </c>
      <c r="C208" s="569">
        <v>41148</v>
      </c>
      <c r="D208" s="577" t="s">
        <v>355</v>
      </c>
      <c r="E208" s="579" t="s">
        <v>378</v>
      </c>
      <c r="F208" s="499" t="s">
        <v>573</v>
      </c>
      <c r="G208" s="570" t="s">
        <v>568</v>
      </c>
      <c r="H208" s="570" t="s">
        <v>569</v>
      </c>
      <c r="I208" s="578" t="str">
        <f>Table1[[#This Row],[Staff]]</f>
        <v>Nicole</v>
      </c>
      <c r="J208" s="569">
        <f>Table1[[#This Row],[Date]]</f>
        <v>41148</v>
      </c>
      <c r="K208" s="526"/>
      <c r="L208" s="526"/>
    </row>
    <row r="209" spans="1:35" ht="28.5" hidden="1">
      <c r="A209" s="568">
        <v>1</v>
      </c>
      <c r="B209" s="37">
        <v>207</v>
      </c>
      <c r="C209" s="569">
        <v>41148</v>
      </c>
      <c r="D209" s="577" t="s">
        <v>355</v>
      </c>
      <c r="E209" s="579" t="s">
        <v>378</v>
      </c>
      <c r="F209" s="499" t="s">
        <v>574</v>
      </c>
      <c r="G209" s="570" t="s">
        <v>568</v>
      </c>
      <c r="H209" s="570" t="s">
        <v>569</v>
      </c>
      <c r="I209" s="578" t="str">
        <f>Table1[[#This Row],[Staff]]</f>
        <v>Nicole</v>
      </c>
      <c r="J209" s="569">
        <f>Table1[[#This Row],[Date]]</f>
        <v>41148</v>
      </c>
      <c r="K209" s="526"/>
      <c r="L209" s="526"/>
    </row>
    <row r="210" spans="1:35" ht="28.5" hidden="1">
      <c r="A210" s="568">
        <v>1</v>
      </c>
      <c r="B210" s="37">
        <v>208</v>
      </c>
      <c r="C210" s="569">
        <v>41148</v>
      </c>
      <c r="D210" s="577" t="s">
        <v>355</v>
      </c>
      <c r="E210" s="579" t="s">
        <v>378</v>
      </c>
      <c r="F210" s="499" t="s">
        <v>575</v>
      </c>
      <c r="G210" s="570" t="s">
        <v>568</v>
      </c>
      <c r="H210" s="570" t="s">
        <v>569</v>
      </c>
      <c r="I210" s="578" t="str">
        <f>Table1[[#This Row],[Staff]]</f>
        <v>Nicole</v>
      </c>
      <c r="J210" s="569">
        <f>Table1[[#This Row],[Date]]</f>
        <v>41148</v>
      </c>
      <c r="K210" s="526"/>
      <c r="L210" s="526"/>
    </row>
    <row r="211" spans="1:35" ht="28.5" hidden="1">
      <c r="A211" s="568">
        <v>1</v>
      </c>
      <c r="B211" s="37">
        <v>209</v>
      </c>
      <c r="C211" s="569">
        <v>41148</v>
      </c>
      <c r="D211" s="577" t="s">
        <v>355</v>
      </c>
      <c r="E211" s="579" t="s">
        <v>378</v>
      </c>
      <c r="F211" s="499" t="s">
        <v>576</v>
      </c>
      <c r="G211" s="570" t="s">
        <v>568</v>
      </c>
      <c r="H211" s="570" t="s">
        <v>569</v>
      </c>
      <c r="I211" s="578" t="str">
        <f>Table1[[#This Row],[Staff]]</f>
        <v>Nicole</v>
      </c>
      <c r="J211" s="569">
        <f>Table1[[#This Row],[Date]]</f>
        <v>41148</v>
      </c>
      <c r="K211" s="526"/>
      <c r="L211" s="526"/>
    </row>
    <row r="212" spans="1:35" ht="28.5" hidden="1">
      <c r="A212" s="568">
        <v>1</v>
      </c>
      <c r="B212" s="37">
        <v>210</v>
      </c>
      <c r="C212" s="569">
        <v>41148</v>
      </c>
      <c r="D212" s="577" t="s">
        <v>355</v>
      </c>
      <c r="E212" s="579" t="s">
        <v>378</v>
      </c>
      <c r="F212" s="499" t="s">
        <v>577</v>
      </c>
      <c r="G212" s="570" t="s">
        <v>568</v>
      </c>
      <c r="H212" s="570" t="s">
        <v>569</v>
      </c>
      <c r="I212" s="578" t="str">
        <f>Table1[[#This Row],[Staff]]</f>
        <v>Nicole</v>
      </c>
      <c r="J212" s="569">
        <f>Table1[[#This Row],[Date]]</f>
        <v>41148</v>
      </c>
      <c r="K212" s="526"/>
      <c r="L212" s="526"/>
    </row>
    <row r="213" spans="1:35" ht="28.5" hidden="1">
      <c r="A213" s="568">
        <v>1</v>
      </c>
      <c r="B213" s="37">
        <v>211</v>
      </c>
      <c r="C213" s="569">
        <v>41148</v>
      </c>
      <c r="D213" s="577" t="s">
        <v>355</v>
      </c>
      <c r="E213" s="579" t="s">
        <v>378</v>
      </c>
      <c r="F213" s="499" t="s">
        <v>578</v>
      </c>
      <c r="G213" s="570" t="s">
        <v>568</v>
      </c>
      <c r="H213" s="570" t="s">
        <v>569</v>
      </c>
      <c r="I213" s="578" t="str">
        <f>Table1[[#This Row],[Staff]]</f>
        <v>Nicole</v>
      </c>
      <c r="J213" s="569">
        <f>Table1[[#This Row],[Date]]</f>
        <v>41148</v>
      </c>
      <c r="K213" s="526"/>
      <c r="L213" s="526"/>
    </row>
    <row r="214" spans="1:35" ht="42.75" hidden="1">
      <c r="A214" s="568">
        <v>1</v>
      </c>
      <c r="B214" s="37">
        <v>212</v>
      </c>
      <c r="C214" s="569">
        <v>41148</v>
      </c>
      <c r="D214" s="580" t="s">
        <v>355</v>
      </c>
      <c r="E214" s="580" t="s">
        <v>361</v>
      </c>
      <c r="F214" s="499" t="s">
        <v>579</v>
      </c>
      <c r="G214" s="570" t="s">
        <v>580</v>
      </c>
      <c r="H214" s="570" t="s">
        <v>581</v>
      </c>
      <c r="I214" s="578" t="s">
        <v>464</v>
      </c>
      <c r="J214" s="569">
        <f>Table1[[#This Row],[Date]]</f>
        <v>41148</v>
      </c>
      <c r="K214" s="526"/>
      <c r="L214" s="526"/>
    </row>
    <row r="215" spans="1:35" ht="28.5" hidden="1">
      <c r="A215" s="568">
        <v>1</v>
      </c>
      <c r="B215" s="37">
        <v>213</v>
      </c>
      <c r="C215" s="569">
        <v>41148</v>
      </c>
      <c r="D215" s="582" t="s">
        <v>464</v>
      </c>
      <c r="E215" s="582" t="s">
        <v>362</v>
      </c>
      <c r="G215" s="570" t="s">
        <v>582</v>
      </c>
      <c r="H215" s="570" t="s">
        <v>583</v>
      </c>
      <c r="I215" s="578" t="str">
        <f>IF(Table1[[#This Row],[Staff]]="","",Table1[[#This Row],[Staff]])</f>
        <v>Maggie</v>
      </c>
      <c r="J215" s="569">
        <f>Table1[[#This Row],[Date]]</f>
        <v>41148</v>
      </c>
      <c r="K215" s="526"/>
      <c r="L215" s="526"/>
    </row>
    <row r="216" spans="1:35" s="581" customFormat="1" hidden="1">
      <c r="A216" s="592">
        <v>1</v>
      </c>
      <c r="B216" s="593">
        <v>214</v>
      </c>
      <c r="C216" s="594">
        <v>41149</v>
      </c>
      <c r="D216" s="29" t="s">
        <v>355</v>
      </c>
      <c r="E216" s="29" t="s">
        <v>9</v>
      </c>
      <c r="F216" s="595" t="s">
        <v>418</v>
      </c>
      <c r="G216" s="596" t="s">
        <v>585</v>
      </c>
      <c r="H216" s="596" t="s">
        <v>587</v>
      </c>
      <c r="I216" s="597" t="str">
        <f>IF(Table1[[#This Row],[Staff]]="","",Table1[[#This Row],[Staff]])</f>
        <v>Nicole</v>
      </c>
      <c r="J216" s="594">
        <f>Table1[[#This Row],[Date]]</f>
        <v>41149</v>
      </c>
      <c r="K216" s="526"/>
      <c r="L216" s="526"/>
      <c r="AF216" s="499"/>
      <c r="AG216" s="499"/>
      <c r="AH216" s="499"/>
      <c r="AI216" s="499"/>
    </row>
    <row r="217" spans="1:35" s="581" customFormat="1" hidden="1">
      <c r="A217" s="568">
        <v>1</v>
      </c>
      <c r="B217" s="37">
        <v>215</v>
      </c>
      <c r="C217" s="569">
        <v>41149</v>
      </c>
      <c r="D217" s="584" t="s">
        <v>355</v>
      </c>
      <c r="E217" s="584" t="s">
        <v>9</v>
      </c>
      <c r="F217" s="499" t="s">
        <v>426</v>
      </c>
      <c r="G217" s="570" t="s">
        <v>585</v>
      </c>
      <c r="H217" s="570" t="s">
        <v>586</v>
      </c>
      <c r="I217" s="578" t="str">
        <f>IF(Table1[[#This Row],[Staff]]="","",Table1[[#This Row],[Staff]])</f>
        <v>Nicole</v>
      </c>
      <c r="J217" s="569">
        <f>Table1[[#This Row],[Date]]</f>
        <v>41149</v>
      </c>
      <c r="K217" s="526"/>
      <c r="L217" s="526"/>
      <c r="AF217" s="499"/>
      <c r="AG217" s="499"/>
      <c r="AH217" s="499"/>
      <c r="AI217" s="499"/>
    </row>
    <row r="218" spans="1:35" s="581" customFormat="1" hidden="1">
      <c r="A218" s="568">
        <v>1</v>
      </c>
      <c r="B218" s="37">
        <v>216</v>
      </c>
      <c r="C218" s="569">
        <v>41149</v>
      </c>
      <c r="D218" s="584" t="s">
        <v>355</v>
      </c>
      <c r="E218" s="584" t="s">
        <v>9</v>
      </c>
      <c r="F218" s="499" t="s">
        <v>419</v>
      </c>
      <c r="G218" s="570" t="s">
        <v>585</v>
      </c>
      <c r="H218" s="570" t="s">
        <v>586</v>
      </c>
      <c r="I218" s="578" t="str">
        <f>IF(Table1[[#This Row],[Staff]]="","",Table1[[#This Row],[Staff]])</f>
        <v>Nicole</v>
      </c>
      <c r="J218" s="569">
        <f>Table1[[#This Row],[Date]]</f>
        <v>41149</v>
      </c>
      <c r="K218" s="526"/>
      <c r="L218" s="526"/>
      <c r="AF218" s="499"/>
      <c r="AG218" s="499"/>
      <c r="AH218" s="499"/>
      <c r="AI218" s="499"/>
    </row>
    <row r="219" spans="1:35" s="581" customFormat="1" hidden="1">
      <c r="A219" s="568">
        <v>1</v>
      </c>
      <c r="B219" s="37">
        <v>217</v>
      </c>
      <c r="C219" s="569">
        <v>41149</v>
      </c>
      <c r="D219" s="584" t="s">
        <v>355</v>
      </c>
      <c r="E219" s="584" t="s">
        <v>9</v>
      </c>
      <c r="F219" s="499" t="s">
        <v>420</v>
      </c>
      <c r="G219" s="570" t="s">
        <v>585</v>
      </c>
      <c r="H219" s="570" t="s">
        <v>586</v>
      </c>
      <c r="I219" s="578" t="str">
        <f>IF(Table1[[#This Row],[Staff]]="","",Table1[[#This Row],[Staff]])</f>
        <v>Nicole</v>
      </c>
      <c r="J219" s="569">
        <f>Table1[[#This Row],[Date]]</f>
        <v>41149</v>
      </c>
      <c r="K219" s="526"/>
      <c r="L219" s="526"/>
      <c r="AF219" s="499"/>
      <c r="AG219" s="499"/>
      <c r="AH219" s="499"/>
      <c r="AI219" s="499"/>
    </row>
    <row r="220" spans="1:35" s="581" customFormat="1" hidden="1">
      <c r="A220" s="568">
        <v>1</v>
      </c>
      <c r="B220" s="37">
        <v>218</v>
      </c>
      <c r="C220" s="569">
        <v>41149</v>
      </c>
      <c r="D220" s="584" t="s">
        <v>355</v>
      </c>
      <c r="E220" s="584" t="s">
        <v>9</v>
      </c>
      <c r="F220" s="499" t="s">
        <v>421</v>
      </c>
      <c r="G220" s="570" t="s">
        <v>585</v>
      </c>
      <c r="H220" s="570" t="s">
        <v>586</v>
      </c>
      <c r="I220" s="578" t="str">
        <f>IF(Table1[[#This Row],[Staff]]="","",Table1[[#This Row],[Staff]])</f>
        <v>Nicole</v>
      </c>
      <c r="J220" s="569">
        <f>Table1[[#This Row],[Date]]</f>
        <v>41149</v>
      </c>
      <c r="K220" s="526"/>
      <c r="L220" s="526"/>
      <c r="AF220" s="499"/>
      <c r="AG220" s="499"/>
      <c r="AH220" s="499"/>
      <c r="AI220" s="499"/>
    </row>
    <row r="221" spans="1:35" s="581" customFormat="1" hidden="1">
      <c r="A221" s="568">
        <v>1</v>
      </c>
      <c r="B221" s="37">
        <v>219</v>
      </c>
      <c r="C221" s="569">
        <v>41149</v>
      </c>
      <c r="D221" s="584" t="s">
        <v>355</v>
      </c>
      <c r="E221" s="584" t="s">
        <v>378</v>
      </c>
      <c r="F221" s="499" t="s">
        <v>433</v>
      </c>
      <c r="G221" s="570" t="s">
        <v>585</v>
      </c>
      <c r="H221" s="570" t="s">
        <v>586</v>
      </c>
      <c r="I221" s="578" t="str">
        <f>IF(Table1[[#This Row],[Staff]]="","",Table1[[#This Row],[Staff]])</f>
        <v>Nicole</v>
      </c>
      <c r="J221" s="569">
        <f>Table1[[#This Row],[Date]]</f>
        <v>41149</v>
      </c>
      <c r="K221" s="526"/>
      <c r="L221" s="526"/>
      <c r="AF221" s="499"/>
      <c r="AG221" s="499"/>
      <c r="AH221" s="499"/>
      <c r="AI221" s="499"/>
    </row>
    <row r="222" spans="1:35" s="581" customFormat="1" hidden="1">
      <c r="A222" s="568">
        <v>1</v>
      </c>
      <c r="B222" s="37">
        <v>220</v>
      </c>
      <c r="C222" s="569">
        <v>41149</v>
      </c>
      <c r="D222" s="584" t="s">
        <v>355</v>
      </c>
      <c r="E222" s="584" t="s">
        <v>378</v>
      </c>
      <c r="F222" s="499" t="s">
        <v>434</v>
      </c>
      <c r="G222" s="570" t="s">
        <v>585</v>
      </c>
      <c r="H222" s="570" t="s">
        <v>586</v>
      </c>
      <c r="I222" s="578" t="str">
        <f>IF(Table1[[#This Row],[Staff]]="","",Table1[[#This Row],[Staff]])</f>
        <v>Nicole</v>
      </c>
      <c r="J222" s="569">
        <f>Table1[[#This Row],[Date]]</f>
        <v>41149</v>
      </c>
      <c r="K222" s="526"/>
      <c r="L222" s="526"/>
      <c r="AF222" s="499"/>
      <c r="AG222" s="499"/>
      <c r="AH222" s="499"/>
      <c r="AI222" s="499"/>
    </row>
    <row r="223" spans="1:35" s="581" customFormat="1" hidden="1">
      <c r="A223" s="568">
        <v>1</v>
      </c>
      <c r="B223" s="37">
        <v>221</v>
      </c>
      <c r="C223" s="569">
        <v>41149</v>
      </c>
      <c r="D223" s="584" t="s">
        <v>355</v>
      </c>
      <c r="E223" s="584" t="s">
        <v>378</v>
      </c>
      <c r="F223" s="499" t="s">
        <v>435</v>
      </c>
      <c r="G223" s="570" t="s">
        <v>585</v>
      </c>
      <c r="H223" s="570" t="s">
        <v>586</v>
      </c>
      <c r="I223" s="578" t="str">
        <f>IF(Table1[[#This Row],[Staff]]="","",Table1[[#This Row],[Staff]])</f>
        <v>Nicole</v>
      </c>
      <c r="J223" s="569">
        <f>Table1[[#This Row],[Date]]</f>
        <v>41149</v>
      </c>
      <c r="K223" s="526"/>
      <c r="L223" s="526"/>
      <c r="AF223" s="499"/>
      <c r="AG223" s="499"/>
      <c r="AH223" s="499"/>
      <c r="AI223" s="499"/>
    </row>
    <row r="224" spans="1:35" s="581" customFormat="1" hidden="1">
      <c r="A224" s="568">
        <v>1</v>
      </c>
      <c r="B224" s="37">
        <v>222</v>
      </c>
      <c r="C224" s="569">
        <v>41149</v>
      </c>
      <c r="D224" s="584" t="s">
        <v>355</v>
      </c>
      <c r="E224" s="584" t="s">
        <v>378</v>
      </c>
      <c r="F224" s="499" t="s">
        <v>436</v>
      </c>
      <c r="G224" s="570" t="s">
        <v>585</v>
      </c>
      <c r="H224" s="570" t="s">
        <v>586</v>
      </c>
      <c r="I224" s="578" t="str">
        <f>IF(Table1[[#This Row],[Staff]]="","",Table1[[#This Row],[Staff]])</f>
        <v>Nicole</v>
      </c>
      <c r="J224" s="569">
        <f>Table1[[#This Row],[Date]]</f>
        <v>41149</v>
      </c>
      <c r="K224" s="526"/>
      <c r="L224" s="526"/>
      <c r="AF224" s="499"/>
      <c r="AG224" s="499"/>
      <c r="AH224" s="499"/>
      <c r="AI224" s="499"/>
    </row>
    <row r="225" spans="1:35" s="581" customFormat="1" hidden="1">
      <c r="A225" s="568">
        <v>1</v>
      </c>
      <c r="B225" s="37">
        <v>223</v>
      </c>
      <c r="C225" s="569">
        <v>41149</v>
      </c>
      <c r="D225" s="584" t="s">
        <v>355</v>
      </c>
      <c r="E225" s="584" t="s">
        <v>378</v>
      </c>
      <c r="F225" s="499" t="s">
        <v>437</v>
      </c>
      <c r="G225" s="570" t="s">
        <v>585</v>
      </c>
      <c r="H225" s="570" t="s">
        <v>586</v>
      </c>
      <c r="I225" s="578" t="str">
        <f>IF(Table1[[#This Row],[Staff]]="","",Table1[[#This Row],[Staff]])</f>
        <v>Nicole</v>
      </c>
      <c r="J225" s="569">
        <f>Table1[[#This Row],[Date]]</f>
        <v>41149</v>
      </c>
      <c r="K225" s="526"/>
      <c r="L225" s="526"/>
      <c r="AF225" s="499"/>
      <c r="AG225" s="499"/>
      <c r="AH225" s="499"/>
      <c r="AI225" s="499"/>
    </row>
    <row r="226" spans="1:35" s="581" customFormat="1" hidden="1">
      <c r="A226" s="568">
        <v>1</v>
      </c>
      <c r="B226" s="37">
        <v>224</v>
      </c>
      <c r="C226" s="569">
        <v>41149</v>
      </c>
      <c r="D226" s="584" t="s">
        <v>355</v>
      </c>
      <c r="E226" s="584" t="s">
        <v>378</v>
      </c>
      <c r="F226" s="499" t="s">
        <v>438</v>
      </c>
      <c r="G226" s="570" t="s">
        <v>585</v>
      </c>
      <c r="H226" s="570" t="s">
        <v>586</v>
      </c>
      <c r="I226" s="578" t="str">
        <f>IF(Table1[[#This Row],[Staff]]="","",Table1[[#This Row],[Staff]])</f>
        <v>Nicole</v>
      </c>
      <c r="J226" s="569">
        <f>Table1[[#This Row],[Date]]</f>
        <v>41149</v>
      </c>
      <c r="K226" s="526"/>
      <c r="L226" s="526"/>
      <c r="AF226" s="499"/>
      <c r="AG226" s="499"/>
      <c r="AH226" s="499"/>
      <c r="AI226" s="499"/>
    </row>
    <row r="227" spans="1:35" s="581" customFormat="1" hidden="1">
      <c r="A227" s="568">
        <v>1</v>
      </c>
      <c r="B227" s="37">
        <v>225</v>
      </c>
      <c r="C227" s="569">
        <v>41149</v>
      </c>
      <c r="D227" s="584" t="s">
        <v>355</v>
      </c>
      <c r="E227" s="584" t="s">
        <v>378</v>
      </c>
      <c r="F227" s="499" t="s">
        <v>439</v>
      </c>
      <c r="G227" s="570" t="s">
        <v>585</v>
      </c>
      <c r="H227" s="570" t="s">
        <v>586</v>
      </c>
      <c r="I227" s="578" t="str">
        <f>IF(Table1[[#This Row],[Staff]]="","",Table1[[#This Row],[Staff]])</f>
        <v>Nicole</v>
      </c>
      <c r="J227" s="569">
        <f>Table1[[#This Row],[Date]]</f>
        <v>41149</v>
      </c>
      <c r="K227" s="526"/>
      <c r="L227" s="526"/>
      <c r="AF227" s="499"/>
      <c r="AG227" s="499"/>
      <c r="AH227" s="499"/>
      <c r="AI227" s="499"/>
    </row>
    <row r="228" spans="1:35" s="581" customFormat="1" hidden="1">
      <c r="A228" s="568">
        <v>1</v>
      </c>
      <c r="B228" s="37">
        <v>226</v>
      </c>
      <c r="C228" s="569">
        <v>41149</v>
      </c>
      <c r="D228" s="584" t="s">
        <v>355</v>
      </c>
      <c r="E228" s="584" t="s">
        <v>378</v>
      </c>
      <c r="F228" s="499" t="s">
        <v>440</v>
      </c>
      <c r="G228" s="570" t="s">
        <v>585</v>
      </c>
      <c r="H228" s="570" t="s">
        <v>586</v>
      </c>
      <c r="I228" s="578" t="str">
        <f>IF(Table1[[#This Row],[Staff]]="","",Table1[[#This Row],[Staff]])</f>
        <v>Nicole</v>
      </c>
      <c r="J228" s="569">
        <f>Table1[[#This Row],[Date]]</f>
        <v>41149</v>
      </c>
      <c r="K228" s="526"/>
      <c r="L228" s="526"/>
      <c r="AF228" s="499"/>
      <c r="AG228" s="499"/>
      <c r="AH228" s="499"/>
      <c r="AI228" s="499"/>
    </row>
    <row r="229" spans="1:35" s="581" customFormat="1" hidden="1">
      <c r="A229" s="568">
        <v>1</v>
      </c>
      <c r="B229" s="37">
        <v>227</v>
      </c>
      <c r="C229" s="569">
        <v>41149</v>
      </c>
      <c r="D229" s="584" t="s">
        <v>355</v>
      </c>
      <c r="E229" s="584" t="s">
        <v>378</v>
      </c>
      <c r="F229" s="499" t="s">
        <v>441</v>
      </c>
      <c r="G229" s="570" t="s">
        <v>585</v>
      </c>
      <c r="H229" s="570" t="s">
        <v>586</v>
      </c>
      <c r="I229" s="578" t="str">
        <f>IF(Table1[[#This Row],[Staff]]="","",Table1[[#This Row],[Staff]])</f>
        <v>Nicole</v>
      </c>
      <c r="J229" s="569">
        <f>Table1[[#This Row],[Date]]</f>
        <v>41149</v>
      </c>
      <c r="K229" s="526"/>
      <c r="L229" s="526"/>
      <c r="AF229" s="499"/>
      <c r="AG229" s="499"/>
      <c r="AH229" s="499"/>
      <c r="AI229" s="499"/>
    </row>
    <row r="230" spans="1:35" s="29" customFormat="1" ht="42.75" hidden="1">
      <c r="A230" s="592">
        <v>1</v>
      </c>
      <c r="B230" s="593">
        <v>228</v>
      </c>
      <c r="C230" s="594">
        <v>41149</v>
      </c>
      <c r="D230" s="29" t="s">
        <v>355</v>
      </c>
      <c r="E230" s="29" t="s">
        <v>378</v>
      </c>
      <c r="F230" s="595" t="s">
        <v>442</v>
      </c>
      <c r="G230" s="596" t="s">
        <v>585</v>
      </c>
      <c r="H230" s="596" t="s">
        <v>588</v>
      </c>
      <c r="I230" s="597" t="str">
        <f>IF(Table1[[#This Row],[Staff]]="","",Table1[[#This Row],[Staff]])</f>
        <v>Nicole</v>
      </c>
      <c r="J230" s="594">
        <f>Table1[[#This Row],[Date]]</f>
        <v>41149</v>
      </c>
      <c r="K230" s="601"/>
      <c r="L230" s="601"/>
      <c r="AF230" s="595"/>
      <c r="AG230" s="595"/>
      <c r="AH230" s="595"/>
      <c r="AI230" s="595"/>
    </row>
    <row r="231" spans="1:35" s="581" customFormat="1" ht="28.5" hidden="1">
      <c r="A231" s="568">
        <v>1</v>
      </c>
      <c r="B231" s="37">
        <v>229</v>
      </c>
      <c r="C231" s="569">
        <v>41150</v>
      </c>
      <c r="D231" s="599" t="s">
        <v>355</v>
      </c>
      <c r="E231" s="599" t="s">
        <v>378</v>
      </c>
      <c r="F231" s="499" t="s">
        <v>575</v>
      </c>
      <c r="G231" s="570" t="s">
        <v>591</v>
      </c>
      <c r="H231" s="570" t="s">
        <v>465</v>
      </c>
      <c r="I231" s="578" t="str">
        <f>IF(Table1[[#This Row],[Staff]]="","",Table1[[#This Row],[Staff]])</f>
        <v>Nicole</v>
      </c>
      <c r="J231" s="569">
        <f>Table1[[#This Row],[Date]]</f>
        <v>41150</v>
      </c>
      <c r="K231" s="526"/>
      <c r="L231" s="526"/>
      <c r="AF231" s="499"/>
      <c r="AG231" s="499"/>
      <c r="AH231" s="499"/>
      <c r="AI231" s="499"/>
    </row>
    <row r="232" spans="1:35" s="581" customFormat="1" ht="28.5" hidden="1">
      <c r="A232" s="568">
        <v>1</v>
      </c>
      <c r="B232" s="37">
        <v>230</v>
      </c>
      <c r="C232" s="569">
        <v>41150</v>
      </c>
      <c r="D232" s="599" t="s">
        <v>355</v>
      </c>
      <c r="E232" s="599" t="s">
        <v>378</v>
      </c>
      <c r="F232" s="499" t="s">
        <v>576</v>
      </c>
      <c r="G232" s="570" t="s">
        <v>591</v>
      </c>
      <c r="H232" s="570" t="s">
        <v>465</v>
      </c>
      <c r="I232" s="578" t="str">
        <f>IF(Table1[[#This Row],[Staff]]="","",Table1[[#This Row],[Staff]])</f>
        <v>Nicole</v>
      </c>
      <c r="J232" s="569">
        <f>Table1[[#This Row],[Date]]</f>
        <v>41150</v>
      </c>
      <c r="K232" s="526"/>
      <c r="L232" s="526"/>
      <c r="AF232" s="499"/>
      <c r="AG232" s="499"/>
      <c r="AH232" s="499"/>
      <c r="AI232" s="499"/>
    </row>
    <row r="233" spans="1:35" s="581" customFormat="1" ht="28.5" hidden="1">
      <c r="A233" s="568">
        <v>1</v>
      </c>
      <c r="B233" s="37">
        <v>231</v>
      </c>
      <c r="C233" s="569">
        <v>41150</v>
      </c>
      <c r="D233" s="599" t="s">
        <v>355</v>
      </c>
      <c r="E233" s="599" t="s">
        <v>378</v>
      </c>
      <c r="F233" s="499" t="s">
        <v>577</v>
      </c>
      <c r="G233" s="570" t="s">
        <v>591</v>
      </c>
      <c r="H233" s="570" t="s">
        <v>465</v>
      </c>
      <c r="I233" s="578" t="str">
        <f>IF(Table1[[#This Row],[Staff]]="","",Table1[[#This Row],[Staff]])</f>
        <v>Nicole</v>
      </c>
      <c r="J233" s="569">
        <f>Table1[[#This Row],[Date]]</f>
        <v>41150</v>
      </c>
      <c r="K233" s="526"/>
      <c r="L233" s="526"/>
      <c r="AF233" s="499"/>
      <c r="AG233" s="499"/>
      <c r="AH233" s="499"/>
      <c r="AI233" s="499"/>
    </row>
    <row r="234" spans="1:35" s="581" customFormat="1" ht="28.5" hidden="1">
      <c r="A234" s="568">
        <v>1</v>
      </c>
      <c r="B234" s="37">
        <v>232</v>
      </c>
      <c r="C234" s="569">
        <v>41150</v>
      </c>
      <c r="D234" s="599" t="s">
        <v>355</v>
      </c>
      <c r="E234" s="599" t="s">
        <v>378</v>
      </c>
      <c r="F234" s="499" t="s">
        <v>578</v>
      </c>
      <c r="G234" s="570" t="s">
        <v>591</v>
      </c>
      <c r="H234" s="570" t="s">
        <v>465</v>
      </c>
      <c r="I234" s="578" t="str">
        <f>IF(Table1[[#This Row],[Staff]]="","",Table1[[#This Row],[Staff]])</f>
        <v>Nicole</v>
      </c>
      <c r="J234" s="569">
        <f>Table1[[#This Row],[Date]]</f>
        <v>41150</v>
      </c>
      <c r="K234" s="526"/>
      <c r="L234" s="526"/>
      <c r="AF234" s="499"/>
      <c r="AG234" s="499"/>
      <c r="AH234" s="499"/>
      <c r="AI234" s="499"/>
    </row>
    <row r="235" spans="1:35" s="588" customFormat="1" ht="57" hidden="1">
      <c r="A235" s="585">
        <v>1</v>
      </c>
      <c r="B235" s="586">
        <v>233</v>
      </c>
      <c r="C235" s="587">
        <v>41150</v>
      </c>
      <c r="D235" s="588" t="s">
        <v>355</v>
      </c>
      <c r="E235" s="588" t="s">
        <v>378</v>
      </c>
      <c r="F235" s="589" t="s">
        <v>527</v>
      </c>
      <c r="G235" s="590" t="s">
        <v>592</v>
      </c>
      <c r="H235" s="590" t="s">
        <v>593</v>
      </c>
      <c r="I235" s="591" t="str">
        <f>IF(Table1[[#This Row],[Staff]]="","",Table1[[#This Row],[Staff]])</f>
        <v>Nicole</v>
      </c>
      <c r="J235" s="587">
        <f>Table1[[#This Row],[Date]]</f>
        <v>41150</v>
      </c>
      <c r="K235" s="598"/>
      <c r="L235" s="598"/>
      <c r="AF235" s="589"/>
      <c r="AG235" s="589"/>
      <c r="AH235" s="589"/>
      <c r="AI235" s="589"/>
    </row>
    <row r="236" spans="1:35" s="581" customFormat="1">
      <c r="A236" s="568">
        <v>1</v>
      </c>
      <c r="B236" s="37">
        <v>234</v>
      </c>
      <c r="C236" s="569"/>
      <c r="F236" s="499"/>
      <c r="G236" s="570"/>
      <c r="H236" s="570"/>
      <c r="I236" s="578" t="str">
        <f>IF(Table1[[#This Row],[Staff]]="","",Table1[[#This Row],[Staff]])</f>
        <v/>
      </c>
      <c r="J236" s="569">
        <f>Table1[[#This Row],[Date]]</f>
        <v>0</v>
      </c>
      <c r="K236" s="526"/>
      <c r="L236" s="526"/>
      <c r="AF236" s="499"/>
      <c r="AG236" s="499"/>
      <c r="AH236" s="499"/>
      <c r="AI236" s="499"/>
    </row>
    <row r="237" spans="1:35" s="581" customFormat="1">
      <c r="A237" s="568">
        <v>1</v>
      </c>
      <c r="B237" s="37">
        <v>235</v>
      </c>
      <c r="C237" s="569"/>
      <c r="F237" s="499"/>
      <c r="G237" s="570"/>
      <c r="H237" s="570"/>
      <c r="I237" s="578" t="str">
        <f>IF(Table1[[#This Row],[Staff]]="","",Table1[[#This Row],[Staff]])</f>
        <v/>
      </c>
      <c r="J237" s="569">
        <f>Table1[[#This Row],[Date]]</f>
        <v>0</v>
      </c>
      <c r="K237" s="526"/>
      <c r="L237" s="526"/>
      <c r="AF237" s="499"/>
      <c r="AG237" s="499"/>
      <c r="AH237" s="499"/>
      <c r="AI237" s="499"/>
    </row>
    <row r="238" spans="1:35" s="581" customFormat="1">
      <c r="A238" s="568">
        <v>1</v>
      </c>
      <c r="B238" s="37">
        <v>236</v>
      </c>
      <c r="C238" s="569"/>
      <c r="F238" s="499"/>
      <c r="G238" s="570"/>
      <c r="H238" s="570"/>
      <c r="I238" s="578" t="str">
        <f>IF(Table1[[#This Row],[Staff]]="","",Table1[[#This Row],[Staff]])</f>
        <v/>
      </c>
      <c r="J238" s="569">
        <f>Table1[[#This Row],[Date]]</f>
        <v>0</v>
      </c>
      <c r="K238" s="526"/>
      <c r="L238" s="526"/>
      <c r="AF238" s="499"/>
      <c r="AG238" s="499"/>
      <c r="AH238" s="499"/>
      <c r="AI238" s="499"/>
    </row>
    <row r="239" spans="1:35" s="581" customFormat="1">
      <c r="A239" s="568">
        <v>1</v>
      </c>
      <c r="B239" s="37">
        <v>237</v>
      </c>
      <c r="C239" s="569"/>
      <c r="F239" s="499"/>
      <c r="G239" s="570"/>
      <c r="H239" s="570"/>
      <c r="I239" s="578" t="str">
        <f>IF(Table1[[#This Row],[Staff]]="","",Table1[[#This Row],[Staff]])</f>
        <v/>
      </c>
      <c r="J239" s="569">
        <f>Table1[[#This Row],[Date]]</f>
        <v>0</v>
      </c>
      <c r="K239" s="526"/>
      <c r="L239" s="526"/>
      <c r="AF239" s="499"/>
      <c r="AG239" s="499"/>
      <c r="AH239" s="499"/>
      <c r="AI239" s="499"/>
    </row>
    <row r="240" spans="1:35" s="581" customFormat="1">
      <c r="A240" s="568"/>
      <c r="B240" s="37">
        <v>238</v>
      </c>
      <c r="C240" s="569"/>
      <c r="F240" s="499"/>
      <c r="G240" s="570"/>
      <c r="H240" s="570"/>
      <c r="I240" s="578" t="str">
        <f>IF(Table1[[#This Row],[Staff]]="","",Table1[[#This Row],[Staff]])</f>
        <v/>
      </c>
      <c r="J240" s="569">
        <f>Table1[[#This Row],[Date]]</f>
        <v>0</v>
      </c>
      <c r="K240" s="526"/>
      <c r="L240" s="526"/>
      <c r="AF240" s="499"/>
      <c r="AG240" s="499"/>
      <c r="AH240" s="499"/>
      <c r="AI240" s="499"/>
    </row>
    <row r="241" spans="1:35" s="581" customFormat="1">
      <c r="A241" s="568"/>
      <c r="B241" s="37">
        <v>239</v>
      </c>
      <c r="C241" s="569"/>
      <c r="F241" s="499"/>
      <c r="G241" s="570"/>
      <c r="H241" s="570"/>
      <c r="I241" s="578" t="str">
        <f>IF(Table1[[#This Row],[Staff]]="","",Table1[[#This Row],[Staff]])</f>
        <v/>
      </c>
      <c r="J241" s="569">
        <f>Table1[[#This Row],[Date]]</f>
        <v>0</v>
      </c>
      <c r="K241" s="526"/>
      <c r="L241" s="526"/>
      <c r="AF241" s="499"/>
      <c r="AG241" s="499"/>
      <c r="AH241" s="499"/>
      <c r="AI241" s="499"/>
    </row>
    <row r="242" spans="1:35" s="581" customFormat="1">
      <c r="A242" s="568"/>
      <c r="B242" s="37">
        <v>240</v>
      </c>
      <c r="C242" s="569"/>
      <c r="F242" s="499"/>
      <c r="G242" s="570"/>
      <c r="H242" s="570"/>
      <c r="I242" s="578" t="str">
        <f>IF(Table1[[#This Row],[Staff]]="","",Table1[[#This Row],[Staff]])</f>
        <v/>
      </c>
      <c r="J242" s="569">
        <f>Table1[[#This Row],[Date]]</f>
        <v>0</v>
      </c>
      <c r="K242" s="526"/>
      <c r="L242" s="526"/>
      <c r="AF242" s="499"/>
      <c r="AG242" s="499"/>
      <c r="AH242" s="499"/>
      <c r="AI242" s="499"/>
    </row>
    <row r="243" spans="1:35" s="581" customFormat="1">
      <c r="A243" s="568"/>
      <c r="B243" s="37">
        <v>241</v>
      </c>
      <c r="C243" s="569"/>
      <c r="F243" s="499"/>
      <c r="G243" s="570"/>
      <c r="H243" s="570"/>
      <c r="I243" s="578" t="str">
        <f>IF(Table1[[#This Row],[Staff]]="","",Table1[[#This Row],[Staff]])</f>
        <v/>
      </c>
      <c r="J243" s="569">
        <f>Table1[[#This Row],[Date]]</f>
        <v>0</v>
      </c>
      <c r="K243" s="526"/>
      <c r="L243" s="526"/>
      <c r="AF243" s="499"/>
      <c r="AG243" s="499"/>
      <c r="AH243" s="499"/>
      <c r="AI243" s="499"/>
    </row>
    <row r="244" spans="1:35" s="581" customFormat="1">
      <c r="A244" s="568"/>
      <c r="B244" s="37">
        <v>242</v>
      </c>
      <c r="C244" s="569"/>
      <c r="F244" s="499"/>
      <c r="G244" s="570"/>
      <c r="H244" s="570"/>
      <c r="I244" s="578" t="str">
        <f>IF(Table1[[#This Row],[Staff]]="","",Table1[[#This Row],[Staff]])</f>
        <v/>
      </c>
      <c r="J244" s="569">
        <f>Table1[[#This Row],[Date]]</f>
        <v>0</v>
      </c>
      <c r="K244" s="526"/>
      <c r="L244" s="526"/>
      <c r="AF244" s="499"/>
      <c r="AG244" s="499"/>
      <c r="AH244" s="499"/>
      <c r="AI244" s="499"/>
    </row>
    <row r="245" spans="1:35" s="581" customFormat="1">
      <c r="A245" s="568"/>
      <c r="B245" s="37">
        <v>243</v>
      </c>
      <c r="C245" s="569"/>
      <c r="F245" s="499"/>
      <c r="G245" s="570"/>
      <c r="H245" s="570"/>
      <c r="I245" s="578" t="str">
        <f>IF(Table1[[#This Row],[Staff]]="","",Table1[[#This Row],[Staff]])</f>
        <v/>
      </c>
      <c r="J245" s="569">
        <f>Table1[[#This Row],[Date]]</f>
        <v>0</v>
      </c>
      <c r="K245" s="526"/>
      <c r="L245" s="526"/>
      <c r="AF245" s="499"/>
      <c r="AG245" s="499"/>
      <c r="AH245" s="499"/>
      <c r="AI245" s="499"/>
    </row>
    <row r="246" spans="1:35" s="581" customFormat="1">
      <c r="A246" s="568"/>
      <c r="B246" s="37">
        <v>244</v>
      </c>
      <c r="C246" s="569"/>
      <c r="F246" s="499"/>
      <c r="G246" s="570"/>
      <c r="H246" s="570"/>
      <c r="I246" s="578" t="str">
        <f>IF(Table1[[#This Row],[Staff]]="","",Table1[[#This Row],[Staff]])</f>
        <v/>
      </c>
      <c r="J246" s="569">
        <f>Table1[[#This Row],[Date]]</f>
        <v>0</v>
      </c>
      <c r="K246" s="526"/>
      <c r="L246" s="526"/>
      <c r="AF246" s="499"/>
      <c r="AG246" s="499"/>
      <c r="AH246" s="499"/>
      <c r="AI246" s="499"/>
    </row>
    <row r="247" spans="1:35" s="581" customFormat="1">
      <c r="A247" s="568"/>
      <c r="B247" s="37">
        <v>245</v>
      </c>
      <c r="C247" s="569"/>
      <c r="F247" s="499"/>
      <c r="G247" s="570"/>
      <c r="H247" s="570"/>
      <c r="I247" s="578" t="str">
        <f>IF(Table1[[#This Row],[Staff]]="","",Table1[[#This Row],[Staff]])</f>
        <v/>
      </c>
      <c r="J247" s="569">
        <f>Table1[[#This Row],[Date]]</f>
        <v>0</v>
      </c>
      <c r="K247" s="526"/>
      <c r="L247" s="526"/>
      <c r="AF247" s="499"/>
      <c r="AG247" s="499"/>
      <c r="AH247" s="499"/>
      <c r="AI247" s="499"/>
    </row>
    <row r="248" spans="1:35" s="581" customFormat="1">
      <c r="A248" s="568"/>
      <c r="B248" s="37">
        <v>246</v>
      </c>
      <c r="C248" s="569"/>
      <c r="F248" s="499"/>
      <c r="G248" s="570"/>
      <c r="H248" s="570"/>
      <c r="I248" s="578" t="str">
        <f>IF(Table1[[#This Row],[Staff]]="","",Table1[[#This Row],[Staff]])</f>
        <v/>
      </c>
      <c r="J248" s="569">
        <f>Table1[[#This Row],[Date]]</f>
        <v>0</v>
      </c>
      <c r="K248" s="526"/>
      <c r="L248" s="526"/>
      <c r="AF248" s="499"/>
      <c r="AG248" s="499"/>
      <c r="AH248" s="499"/>
      <c r="AI248" s="499"/>
    </row>
    <row r="249" spans="1:35" s="581" customFormat="1">
      <c r="A249" s="568"/>
      <c r="B249" s="37">
        <v>247</v>
      </c>
      <c r="C249" s="569"/>
      <c r="F249" s="499"/>
      <c r="G249" s="570"/>
      <c r="H249" s="570"/>
      <c r="I249" s="578" t="str">
        <f>IF(Table1[[#This Row],[Staff]]="","",Table1[[#This Row],[Staff]])</f>
        <v/>
      </c>
      <c r="J249" s="569">
        <f>Table1[[#This Row],[Date]]</f>
        <v>0</v>
      </c>
      <c r="K249" s="526"/>
      <c r="L249" s="526"/>
      <c r="AF249" s="499"/>
      <c r="AG249" s="499"/>
      <c r="AH249" s="499"/>
      <c r="AI249" s="499"/>
    </row>
    <row r="250" spans="1:35" s="581" customFormat="1">
      <c r="A250" s="568"/>
      <c r="B250" s="37">
        <v>248</v>
      </c>
      <c r="C250" s="569"/>
      <c r="F250" s="499"/>
      <c r="G250" s="570"/>
      <c r="H250" s="570"/>
      <c r="I250" s="578" t="str">
        <f>IF(Table1[[#This Row],[Staff]]="","",Table1[[#This Row],[Staff]])</f>
        <v/>
      </c>
      <c r="J250" s="569">
        <f>Table1[[#This Row],[Date]]</f>
        <v>0</v>
      </c>
      <c r="K250" s="526"/>
      <c r="L250" s="526"/>
      <c r="AF250" s="499"/>
      <c r="AG250" s="499"/>
      <c r="AH250" s="499"/>
      <c r="AI250" s="499"/>
    </row>
    <row r="251" spans="1:35" s="581" customFormat="1">
      <c r="A251" s="568"/>
      <c r="B251" s="37">
        <v>249</v>
      </c>
      <c r="C251" s="569"/>
      <c r="F251" s="499"/>
      <c r="G251" s="570"/>
      <c r="H251" s="570"/>
      <c r="I251" s="578" t="str">
        <f>IF(Table1[[#This Row],[Staff]]="","",Table1[[#This Row],[Staff]])</f>
        <v/>
      </c>
      <c r="J251" s="569">
        <f>Table1[[#This Row],[Date]]</f>
        <v>0</v>
      </c>
      <c r="K251" s="526"/>
      <c r="L251" s="526"/>
      <c r="AF251" s="499"/>
      <c r="AG251" s="499"/>
      <c r="AH251" s="499"/>
      <c r="AI251" s="499"/>
    </row>
    <row r="252" spans="1:35" s="581" customFormat="1">
      <c r="A252" s="568"/>
      <c r="B252" s="37">
        <v>250</v>
      </c>
      <c r="C252" s="569"/>
      <c r="F252" s="499"/>
      <c r="G252" s="570"/>
      <c r="H252" s="570"/>
      <c r="I252" s="578" t="str">
        <f>IF(Table1[[#This Row],[Staff]]="","",Table1[[#This Row],[Staff]])</f>
        <v/>
      </c>
      <c r="J252" s="569">
        <f>Table1[[#This Row],[Date]]</f>
        <v>0</v>
      </c>
      <c r="K252" s="526"/>
      <c r="L252" s="526"/>
      <c r="AF252" s="499"/>
      <c r="AG252" s="499"/>
      <c r="AH252" s="499"/>
      <c r="AI252" s="499"/>
    </row>
    <row r="253" spans="1:35" s="581" customFormat="1">
      <c r="A253" s="568"/>
      <c r="B253" s="37">
        <v>251</v>
      </c>
      <c r="C253" s="569"/>
      <c r="F253" s="499"/>
      <c r="G253" s="570"/>
      <c r="H253" s="570"/>
      <c r="I253" s="578" t="str">
        <f>IF(Table1[[#This Row],[Staff]]="","",Table1[[#This Row],[Staff]])</f>
        <v/>
      </c>
      <c r="J253" s="569">
        <f>Table1[[#This Row],[Date]]</f>
        <v>0</v>
      </c>
      <c r="K253" s="526"/>
      <c r="L253" s="526"/>
      <c r="AF253" s="499"/>
      <c r="AG253" s="499"/>
      <c r="AH253" s="499"/>
      <c r="AI253" s="499"/>
    </row>
    <row r="254" spans="1:35" s="581" customFormat="1">
      <c r="A254" s="568"/>
      <c r="B254" s="37">
        <v>252</v>
      </c>
      <c r="C254" s="569"/>
      <c r="F254" s="499"/>
      <c r="G254" s="570"/>
      <c r="H254" s="570"/>
      <c r="I254" s="578" t="str">
        <f>IF(Table1[[#This Row],[Staff]]="","",Table1[[#This Row],[Staff]])</f>
        <v/>
      </c>
      <c r="J254" s="569">
        <f>Table1[[#This Row],[Date]]</f>
        <v>0</v>
      </c>
      <c r="K254" s="526"/>
      <c r="L254" s="526"/>
      <c r="AF254" s="499"/>
      <c r="AG254" s="499"/>
      <c r="AH254" s="499"/>
      <c r="AI254" s="499"/>
    </row>
    <row r="255" spans="1:35" s="581" customFormat="1">
      <c r="A255" s="568"/>
      <c r="B255" s="37">
        <v>253</v>
      </c>
      <c r="C255" s="569"/>
      <c r="F255" s="499"/>
      <c r="G255" s="570"/>
      <c r="H255" s="570"/>
      <c r="I255" s="578" t="str">
        <f>IF(Table1[[#This Row],[Staff]]="","",Table1[[#This Row],[Staff]])</f>
        <v/>
      </c>
      <c r="J255" s="569">
        <f>Table1[[#This Row],[Date]]</f>
        <v>0</v>
      </c>
      <c r="K255" s="526"/>
      <c r="L255" s="526"/>
      <c r="AF255" s="499"/>
      <c r="AG255" s="499"/>
      <c r="AH255" s="499"/>
      <c r="AI255" s="499"/>
    </row>
    <row r="256" spans="1:35" s="581" customFormat="1">
      <c r="A256" s="568"/>
      <c r="B256" s="37">
        <v>254</v>
      </c>
      <c r="C256" s="569"/>
      <c r="F256" s="499"/>
      <c r="G256" s="570"/>
      <c r="H256" s="570"/>
      <c r="I256" s="578" t="str">
        <f>IF(Table1[[#This Row],[Staff]]="","",Table1[[#This Row],[Staff]])</f>
        <v/>
      </c>
      <c r="J256" s="569">
        <f>Table1[[#This Row],[Date]]</f>
        <v>0</v>
      </c>
      <c r="K256" s="526"/>
      <c r="L256" s="526"/>
      <c r="AF256" s="499"/>
      <c r="AG256" s="499"/>
      <c r="AH256" s="499"/>
      <c r="AI256" s="499"/>
    </row>
    <row r="257" spans="1:35" s="581" customFormat="1">
      <c r="A257" s="568"/>
      <c r="B257" s="37">
        <v>255</v>
      </c>
      <c r="C257" s="569"/>
      <c r="F257" s="499"/>
      <c r="G257" s="570"/>
      <c r="H257" s="570"/>
      <c r="I257" s="578" t="str">
        <f>IF(Table1[[#This Row],[Staff]]="","",Table1[[#This Row],[Staff]])</f>
        <v/>
      </c>
      <c r="J257" s="569">
        <f>Table1[[#This Row],[Date]]</f>
        <v>0</v>
      </c>
      <c r="K257" s="526"/>
      <c r="L257" s="526"/>
      <c r="AF257" s="499"/>
      <c r="AG257" s="499"/>
      <c r="AH257" s="499"/>
      <c r="AI257" s="499"/>
    </row>
    <row r="258" spans="1:35" s="581" customFormat="1">
      <c r="A258" s="568"/>
      <c r="B258" s="37">
        <v>256</v>
      </c>
      <c r="C258" s="569"/>
      <c r="F258" s="499"/>
      <c r="G258" s="570"/>
      <c r="H258" s="570"/>
      <c r="I258" s="578" t="str">
        <f>IF(Table1[[#This Row],[Staff]]="","",Table1[[#This Row],[Staff]])</f>
        <v/>
      </c>
      <c r="J258" s="569">
        <f>Table1[[#This Row],[Date]]</f>
        <v>0</v>
      </c>
      <c r="K258" s="526"/>
      <c r="L258" s="526"/>
      <c r="AF258" s="499"/>
      <c r="AG258" s="499"/>
      <c r="AH258" s="499"/>
      <c r="AI258" s="499"/>
    </row>
    <row r="259" spans="1:35" s="581" customFormat="1">
      <c r="A259" s="568"/>
      <c r="B259" s="37">
        <v>257</v>
      </c>
      <c r="C259" s="569"/>
      <c r="F259" s="499"/>
      <c r="G259" s="570"/>
      <c r="H259" s="570"/>
      <c r="I259" s="578" t="str">
        <f>IF(Table1[[#This Row],[Staff]]="","",Table1[[#This Row],[Staff]])</f>
        <v/>
      </c>
      <c r="J259" s="569">
        <f>Table1[[#This Row],[Date]]</f>
        <v>0</v>
      </c>
      <c r="K259" s="526"/>
      <c r="L259" s="526"/>
      <c r="AF259" s="499"/>
      <c r="AG259" s="499"/>
      <c r="AH259" s="499"/>
      <c r="AI259" s="499"/>
    </row>
    <row r="260" spans="1:35" s="581" customFormat="1">
      <c r="A260" s="568"/>
      <c r="B260" s="37">
        <v>258</v>
      </c>
      <c r="C260" s="569"/>
      <c r="F260" s="499"/>
      <c r="G260" s="570"/>
      <c r="H260" s="570"/>
      <c r="I260" s="578" t="str">
        <f>IF(Table1[[#This Row],[Staff]]="","",Table1[[#This Row],[Staff]])</f>
        <v/>
      </c>
      <c r="J260" s="569">
        <f>Table1[[#This Row],[Date]]</f>
        <v>0</v>
      </c>
      <c r="K260" s="526"/>
      <c r="L260" s="526"/>
      <c r="AF260" s="499"/>
      <c r="AG260" s="499"/>
      <c r="AH260" s="499"/>
      <c r="AI260" s="499"/>
    </row>
    <row r="261" spans="1:35" s="581" customFormat="1">
      <c r="A261" s="568"/>
      <c r="B261" s="37">
        <v>259</v>
      </c>
      <c r="C261" s="569"/>
      <c r="F261" s="499"/>
      <c r="G261" s="570"/>
      <c r="H261" s="570"/>
      <c r="I261" s="578" t="str">
        <f>IF(Table1[[#This Row],[Staff]]="","",Table1[[#This Row],[Staff]])</f>
        <v/>
      </c>
      <c r="J261" s="569">
        <f>Table1[[#This Row],[Date]]</f>
        <v>0</v>
      </c>
      <c r="K261" s="526"/>
      <c r="L261" s="526"/>
      <c r="AF261" s="499"/>
      <c r="AG261" s="499"/>
      <c r="AH261" s="499"/>
      <c r="AI261" s="499"/>
    </row>
    <row r="262" spans="1:35" s="581" customFormat="1">
      <c r="A262" s="568"/>
      <c r="B262" s="37">
        <v>260</v>
      </c>
      <c r="C262" s="569"/>
      <c r="F262" s="499"/>
      <c r="G262" s="570"/>
      <c r="H262" s="570"/>
      <c r="I262" s="578" t="str">
        <f>IF(Table1[[#This Row],[Staff]]="","",Table1[[#This Row],[Staff]])</f>
        <v/>
      </c>
      <c r="J262" s="569">
        <f>Table1[[#This Row],[Date]]</f>
        <v>0</v>
      </c>
      <c r="K262" s="526"/>
      <c r="L262" s="526"/>
      <c r="AF262" s="499"/>
      <c r="AG262" s="499"/>
      <c r="AH262" s="499"/>
      <c r="AI262" s="499"/>
    </row>
    <row r="263" spans="1:35" s="581" customFormat="1">
      <c r="A263" s="568"/>
      <c r="B263" s="37">
        <v>261</v>
      </c>
      <c r="C263" s="569"/>
      <c r="F263" s="499"/>
      <c r="G263" s="570"/>
      <c r="H263" s="570"/>
      <c r="I263" s="578" t="str">
        <f>IF(Table1[[#This Row],[Staff]]="","",Table1[[#This Row],[Staff]])</f>
        <v/>
      </c>
      <c r="J263" s="569">
        <f>Table1[[#This Row],[Date]]</f>
        <v>0</v>
      </c>
      <c r="K263" s="526"/>
      <c r="L263" s="526"/>
      <c r="AF263" s="499"/>
      <c r="AG263" s="499"/>
      <c r="AH263" s="499"/>
      <c r="AI263" s="499"/>
    </row>
    <row r="264" spans="1:35" s="581" customFormat="1">
      <c r="A264" s="568"/>
      <c r="B264" s="37">
        <v>262</v>
      </c>
      <c r="C264" s="569"/>
      <c r="F264" s="499"/>
      <c r="G264" s="570"/>
      <c r="H264" s="570"/>
      <c r="I264" s="578" t="str">
        <f>IF(Table1[[#This Row],[Staff]]="","",Table1[[#This Row],[Staff]])</f>
        <v/>
      </c>
      <c r="J264" s="569">
        <f>Table1[[#This Row],[Date]]</f>
        <v>0</v>
      </c>
      <c r="K264" s="526"/>
      <c r="L264" s="526"/>
      <c r="AF264" s="499"/>
      <c r="AG264" s="499"/>
      <c r="AH264" s="499"/>
      <c r="AI264" s="499"/>
    </row>
    <row r="265" spans="1:35" s="581" customFormat="1">
      <c r="A265" s="568"/>
      <c r="B265" s="37">
        <v>263</v>
      </c>
      <c r="C265" s="569"/>
      <c r="F265" s="499"/>
      <c r="G265" s="570"/>
      <c r="H265" s="570"/>
      <c r="I265" s="578" t="str">
        <f>IF(Table1[[#This Row],[Staff]]="","",Table1[[#This Row],[Staff]])</f>
        <v/>
      </c>
      <c r="J265" s="569">
        <f>Table1[[#This Row],[Date]]</f>
        <v>0</v>
      </c>
      <c r="K265" s="526"/>
      <c r="L265" s="526"/>
      <c r="AF265" s="499"/>
      <c r="AG265" s="499"/>
      <c r="AH265" s="499"/>
      <c r="AI265" s="499"/>
    </row>
    <row r="266" spans="1:35" s="581" customFormat="1">
      <c r="A266" s="568"/>
      <c r="B266" s="37">
        <v>264</v>
      </c>
      <c r="C266" s="569"/>
      <c r="F266" s="499"/>
      <c r="G266" s="570"/>
      <c r="H266" s="570"/>
      <c r="I266" s="578" t="str">
        <f>IF(Table1[[#This Row],[Staff]]="","",Table1[[#This Row],[Staff]])</f>
        <v/>
      </c>
      <c r="J266" s="569">
        <f>Table1[[#This Row],[Date]]</f>
        <v>0</v>
      </c>
      <c r="K266" s="526"/>
      <c r="L266" s="526"/>
      <c r="AF266" s="499"/>
      <c r="AG266" s="499"/>
      <c r="AH266" s="499"/>
      <c r="AI266" s="499"/>
    </row>
    <row r="267" spans="1:35" s="581" customFormat="1">
      <c r="A267" s="568"/>
      <c r="B267" s="37">
        <v>265</v>
      </c>
      <c r="C267" s="569"/>
      <c r="F267" s="499"/>
      <c r="G267" s="570"/>
      <c r="H267" s="570"/>
      <c r="I267" s="578" t="str">
        <f>IF(Table1[[#This Row],[Staff]]="","",Table1[[#This Row],[Staff]])</f>
        <v/>
      </c>
      <c r="J267" s="569">
        <f>Table1[[#This Row],[Date]]</f>
        <v>0</v>
      </c>
      <c r="K267" s="526"/>
      <c r="L267" s="526"/>
      <c r="AF267" s="499"/>
      <c r="AG267" s="499"/>
      <c r="AH267" s="499"/>
      <c r="AI267" s="499"/>
    </row>
    <row r="268" spans="1:35" s="581" customFormat="1">
      <c r="A268" s="568"/>
      <c r="B268" s="37">
        <v>266</v>
      </c>
      <c r="C268" s="569"/>
      <c r="F268" s="499"/>
      <c r="G268" s="570"/>
      <c r="H268" s="570"/>
      <c r="I268" s="578" t="str">
        <f>IF(Table1[[#This Row],[Staff]]="","",Table1[[#This Row],[Staff]])</f>
        <v/>
      </c>
      <c r="J268" s="569">
        <f>Table1[[#This Row],[Date]]</f>
        <v>0</v>
      </c>
      <c r="K268" s="526"/>
      <c r="L268" s="526"/>
      <c r="AF268" s="499"/>
      <c r="AG268" s="499"/>
      <c r="AH268" s="499"/>
      <c r="AI268" s="499"/>
    </row>
    <row r="269" spans="1:35" s="581" customFormat="1">
      <c r="A269" s="568"/>
      <c r="B269" s="37">
        <v>267</v>
      </c>
      <c r="C269" s="569"/>
      <c r="F269" s="499"/>
      <c r="G269" s="570"/>
      <c r="H269" s="570"/>
      <c r="I269" s="578" t="str">
        <f>IF(Table1[[#This Row],[Staff]]="","",Table1[[#This Row],[Staff]])</f>
        <v/>
      </c>
      <c r="J269" s="569">
        <f>Table1[[#This Row],[Date]]</f>
        <v>0</v>
      </c>
      <c r="K269" s="526"/>
      <c r="L269" s="526"/>
      <c r="AF269" s="499"/>
      <c r="AG269" s="499"/>
      <c r="AH269" s="499"/>
      <c r="AI269" s="499"/>
    </row>
    <row r="270" spans="1:35" s="581" customFormat="1">
      <c r="A270" s="568"/>
      <c r="B270" s="37">
        <v>268</v>
      </c>
      <c r="C270" s="569"/>
      <c r="F270" s="499"/>
      <c r="G270" s="570"/>
      <c r="H270" s="570"/>
      <c r="I270" s="578" t="str">
        <f>IF(Table1[[#This Row],[Staff]]="","",Table1[[#This Row],[Staff]])</f>
        <v/>
      </c>
      <c r="J270" s="569">
        <f>Table1[[#This Row],[Date]]</f>
        <v>0</v>
      </c>
      <c r="K270" s="526"/>
      <c r="L270" s="526"/>
      <c r="AF270" s="499"/>
      <c r="AG270" s="499"/>
      <c r="AH270" s="499"/>
      <c r="AI270" s="499"/>
    </row>
    <row r="271" spans="1:35" s="581" customFormat="1">
      <c r="A271" s="568"/>
      <c r="B271" s="37">
        <v>269</v>
      </c>
      <c r="C271" s="569"/>
      <c r="F271" s="499"/>
      <c r="G271" s="570"/>
      <c r="H271" s="570"/>
      <c r="I271" s="578" t="str">
        <f>IF(Table1[[#This Row],[Staff]]="","",Table1[[#This Row],[Staff]])</f>
        <v/>
      </c>
      <c r="J271" s="569">
        <f>Table1[[#This Row],[Date]]</f>
        <v>0</v>
      </c>
      <c r="K271" s="526"/>
      <c r="L271" s="526"/>
      <c r="AF271" s="499"/>
      <c r="AG271" s="499"/>
      <c r="AH271" s="499"/>
      <c r="AI271" s="499"/>
    </row>
    <row r="272" spans="1:35" s="581" customFormat="1">
      <c r="A272" s="568"/>
      <c r="B272" s="37">
        <v>270</v>
      </c>
      <c r="C272" s="569"/>
      <c r="F272" s="499"/>
      <c r="G272" s="570"/>
      <c r="H272" s="570"/>
      <c r="I272" s="578" t="str">
        <f>IF(Table1[[#This Row],[Staff]]="","",Table1[[#This Row],[Staff]])</f>
        <v/>
      </c>
      <c r="J272" s="569">
        <f>Table1[[#This Row],[Date]]</f>
        <v>0</v>
      </c>
      <c r="K272" s="526"/>
      <c r="L272" s="526"/>
      <c r="AF272" s="499"/>
      <c r="AG272" s="499"/>
      <c r="AH272" s="499"/>
      <c r="AI272" s="499"/>
    </row>
    <row r="273" spans="1:35" s="581" customFormat="1">
      <c r="A273" s="568"/>
      <c r="B273" s="37">
        <v>271</v>
      </c>
      <c r="C273" s="569"/>
      <c r="F273" s="499"/>
      <c r="G273" s="570"/>
      <c r="H273" s="570"/>
      <c r="I273" s="578" t="str">
        <f>IF(Table1[[#This Row],[Staff]]="","",Table1[[#This Row],[Staff]])</f>
        <v/>
      </c>
      <c r="J273" s="569">
        <f>Table1[[#This Row],[Date]]</f>
        <v>0</v>
      </c>
      <c r="K273" s="526"/>
      <c r="L273" s="526"/>
      <c r="AF273" s="499"/>
      <c r="AG273" s="499"/>
      <c r="AH273" s="499"/>
      <c r="AI273" s="499"/>
    </row>
    <row r="274" spans="1:35" s="581" customFormat="1">
      <c r="A274" s="568"/>
      <c r="B274" s="37">
        <v>272</v>
      </c>
      <c r="C274" s="569"/>
      <c r="F274" s="499"/>
      <c r="G274" s="570"/>
      <c r="H274" s="570"/>
      <c r="I274" s="578" t="str">
        <f>IF(Table1[[#This Row],[Staff]]="","",Table1[[#This Row],[Staff]])</f>
        <v/>
      </c>
      <c r="J274" s="569">
        <f>Table1[[#This Row],[Date]]</f>
        <v>0</v>
      </c>
      <c r="K274" s="526"/>
      <c r="L274" s="526"/>
      <c r="AF274" s="499"/>
      <c r="AG274" s="499"/>
      <c r="AH274" s="499"/>
      <c r="AI274" s="499"/>
    </row>
    <row r="275" spans="1:35" s="581" customFormat="1">
      <c r="A275" s="568"/>
      <c r="B275" s="37">
        <v>273</v>
      </c>
      <c r="C275" s="569"/>
      <c r="F275" s="499"/>
      <c r="G275" s="570"/>
      <c r="H275" s="570"/>
      <c r="I275" s="578" t="str">
        <f>IF(Table1[[#This Row],[Staff]]="","",Table1[[#This Row],[Staff]])</f>
        <v/>
      </c>
      <c r="J275" s="569">
        <f>Table1[[#This Row],[Date]]</f>
        <v>0</v>
      </c>
      <c r="K275" s="526"/>
      <c r="L275" s="526"/>
      <c r="AF275" s="499"/>
      <c r="AG275" s="499"/>
      <c r="AH275" s="499"/>
      <c r="AI275" s="499"/>
    </row>
    <row r="276" spans="1:35" s="581" customFormat="1">
      <c r="A276" s="568"/>
      <c r="B276" s="37">
        <v>274</v>
      </c>
      <c r="C276" s="569"/>
      <c r="F276" s="499"/>
      <c r="G276" s="570"/>
      <c r="H276" s="570"/>
      <c r="I276" s="578" t="str">
        <f>IF(Table1[[#This Row],[Staff]]="","",Table1[[#This Row],[Staff]])</f>
        <v/>
      </c>
      <c r="J276" s="569">
        <f>Table1[[#This Row],[Date]]</f>
        <v>0</v>
      </c>
      <c r="K276" s="526"/>
      <c r="L276" s="526"/>
      <c r="AF276" s="499"/>
      <c r="AG276" s="499"/>
      <c r="AH276" s="499"/>
      <c r="AI276" s="499"/>
    </row>
    <row r="277" spans="1:35" s="581" customFormat="1">
      <c r="A277" s="568"/>
      <c r="B277" s="37">
        <v>275</v>
      </c>
      <c r="C277" s="569"/>
      <c r="F277" s="499"/>
      <c r="G277" s="570"/>
      <c r="H277" s="570"/>
      <c r="I277" s="578" t="str">
        <f>IF(Table1[[#This Row],[Staff]]="","",Table1[[#This Row],[Staff]])</f>
        <v/>
      </c>
      <c r="J277" s="569">
        <f>Table1[[#This Row],[Date]]</f>
        <v>0</v>
      </c>
      <c r="K277" s="526"/>
      <c r="L277" s="526"/>
      <c r="AF277" s="499"/>
      <c r="AG277" s="499"/>
      <c r="AH277" s="499"/>
      <c r="AI277" s="499"/>
    </row>
    <row r="278" spans="1:35" s="581" customFormat="1">
      <c r="A278" s="568"/>
      <c r="B278" s="37">
        <v>276</v>
      </c>
      <c r="C278" s="569"/>
      <c r="F278" s="499"/>
      <c r="G278" s="570"/>
      <c r="H278" s="570"/>
      <c r="I278" s="578" t="str">
        <f>IF(Table1[[#This Row],[Staff]]="","",Table1[[#This Row],[Staff]])</f>
        <v/>
      </c>
      <c r="J278" s="569">
        <f>Table1[[#This Row],[Date]]</f>
        <v>0</v>
      </c>
      <c r="K278" s="526"/>
      <c r="L278" s="526"/>
      <c r="AF278" s="499"/>
      <c r="AG278" s="499"/>
      <c r="AH278" s="499"/>
      <c r="AI278" s="499"/>
    </row>
    <row r="279" spans="1:35" s="581" customFormat="1">
      <c r="A279" s="568"/>
      <c r="B279" s="37">
        <v>277</v>
      </c>
      <c r="C279" s="569"/>
      <c r="F279" s="499"/>
      <c r="G279" s="570"/>
      <c r="H279" s="570"/>
      <c r="I279" s="578" t="str">
        <f>IF(Table1[[#This Row],[Staff]]="","",Table1[[#This Row],[Staff]])</f>
        <v/>
      </c>
      <c r="J279" s="569">
        <f>Table1[[#This Row],[Date]]</f>
        <v>0</v>
      </c>
      <c r="K279" s="526"/>
      <c r="L279" s="526"/>
      <c r="AF279" s="499"/>
      <c r="AG279" s="499"/>
      <c r="AH279" s="499"/>
      <c r="AI279" s="499"/>
    </row>
    <row r="280" spans="1:35" s="581" customFormat="1">
      <c r="A280" s="568"/>
      <c r="B280" s="37">
        <v>278</v>
      </c>
      <c r="C280" s="569"/>
      <c r="F280" s="499"/>
      <c r="G280" s="570"/>
      <c r="H280" s="570"/>
      <c r="I280" s="578" t="str">
        <f>IF(Table1[[#This Row],[Staff]]="","",Table1[[#This Row],[Staff]])</f>
        <v/>
      </c>
      <c r="J280" s="569">
        <f>Table1[[#This Row],[Date]]</f>
        <v>0</v>
      </c>
      <c r="K280" s="526"/>
      <c r="L280" s="526"/>
      <c r="AF280" s="499"/>
      <c r="AG280" s="499"/>
      <c r="AH280" s="499"/>
      <c r="AI280" s="499"/>
    </row>
    <row r="281" spans="1:35" s="581" customFormat="1">
      <c r="A281" s="568"/>
      <c r="B281" s="37">
        <v>279</v>
      </c>
      <c r="C281" s="569"/>
      <c r="F281" s="499"/>
      <c r="G281" s="570"/>
      <c r="H281" s="570"/>
      <c r="I281" s="578" t="str">
        <f>IF(Table1[[#This Row],[Staff]]="","",Table1[[#This Row],[Staff]])</f>
        <v/>
      </c>
      <c r="J281" s="569">
        <f>Table1[[#This Row],[Date]]</f>
        <v>0</v>
      </c>
      <c r="K281" s="526"/>
      <c r="L281" s="526"/>
      <c r="AF281" s="499"/>
      <c r="AG281" s="499"/>
      <c r="AH281" s="499"/>
      <c r="AI281" s="499"/>
    </row>
    <row r="282" spans="1:35" s="581" customFormat="1">
      <c r="A282" s="568"/>
      <c r="B282" s="37">
        <v>280</v>
      </c>
      <c r="C282" s="569"/>
      <c r="F282" s="499"/>
      <c r="G282" s="570"/>
      <c r="H282" s="570"/>
      <c r="I282" s="578" t="str">
        <f>IF(Table1[[#This Row],[Staff]]="","",Table1[[#This Row],[Staff]])</f>
        <v/>
      </c>
      <c r="J282" s="569">
        <f>Table1[[#This Row],[Date]]</f>
        <v>0</v>
      </c>
      <c r="K282" s="526"/>
      <c r="L282" s="526"/>
      <c r="AF282" s="499"/>
      <c r="AG282" s="499"/>
      <c r="AH282" s="499"/>
      <c r="AI282" s="499"/>
    </row>
    <row r="283" spans="1:35" s="581" customFormat="1">
      <c r="A283" s="568"/>
      <c r="B283" s="37">
        <v>281</v>
      </c>
      <c r="C283" s="569"/>
      <c r="F283" s="499"/>
      <c r="G283" s="570"/>
      <c r="H283" s="570"/>
      <c r="I283" s="578" t="str">
        <f>IF(Table1[[#This Row],[Staff]]="","",Table1[[#This Row],[Staff]])</f>
        <v/>
      </c>
      <c r="J283" s="569">
        <f>Table1[[#This Row],[Date]]</f>
        <v>0</v>
      </c>
      <c r="K283" s="526"/>
      <c r="L283" s="526"/>
      <c r="AF283" s="499"/>
      <c r="AG283" s="499"/>
      <c r="AH283" s="499"/>
      <c r="AI283" s="499"/>
    </row>
    <row r="284" spans="1:35" s="581" customFormat="1">
      <c r="A284" s="568"/>
      <c r="B284" s="37">
        <v>282</v>
      </c>
      <c r="C284" s="569"/>
      <c r="F284" s="499"/>
      <c r="G284" s="570"/>
      <c r="H284" s="570"/>
      <c r="I284" s="578" t="str">
        <f>IF(Table1[[#This Row],[Staff]]="","",Table1[[#This Row],[Staff]])</f>
        <v/>
      </c>
      <c r="J284" s="569">
        <f>Table1[[#This Row],[Date]]</f>
        <v>0</v>
      </c>
      <c r="K284" s="526"/>
      <c r="L284" s="526"/>
      <c r="AF284" s="499"/>
      <c r="AG284" s="499"/>
      <c r="AH284" s="499"/>
      <c r="AI284" s="499"/>
    </row>
    <row r="285" spans="1:35" s="581" customFormat="1">
      <c r="A285" s="568"/>
      <c r="B285" s="37">
        <v>283</v>
      </c>
      <c r="C285" s="569"/>
      <c r="F285" s="499"/>
      <c r="G285" s="570"/>
      <c r="H285" s="570"/>
      <c r="I285" s="578" t="str">
        <f>IF(Table1[[#This Row],[Staff]]="","",Table1[[#This Row],[Staff]])</f>
        <v/>
      </c>
      <c r="J285" s="569">
        <f>Table1[[#This Row],[Date]]</f>
        <v>0</v>
      </c>
      <c r="K285" s="526"/>
      <c r="L285" s="526"/>
      <c r="AF285" s="499"/>
      <c r="AG285" s="499"/>
      <c r="AH285" s="499"/>
      <c r="AI285" s="499"/>
    </row>
    <row r="286" spans="1:35" s="581" customFormat="1">
      <c r="A286" s="568"/>
      <c r="B286" s="37">
        <v>284</v>
      </c>
      <c r="C286" s="569"/>
      <c r="F286" s="499"/>
      <c r="G286" s="570"/>
      <c r="H286" s="570"/>
      <c r="I286" s="578" t="str">
        <f>IF(Table1[[#This Row],[Staff]]="","",Table1[[#This Row],[Staff]])</f>
        <v/>
      </c>
      <c r="J286" s="569">
        <f>Table1[[#This Row],[Date]]</f>
        <v>0</v>
      </c>
      <c r="K286" s="526"/>
      <c r="L286" s="526"/>
      <c r="AF286" s="499"/>
      <c r="AG286" s="499"/>
      <c r="AH286" s="499"/>
      <c r="AI286" s="499"/>
    </row>
    <row r="287" spans="1:35" s="581" customFormat="1">
      <c r="A287" s="568"/>
      <c r="B287" s="37">
        <v>285</v>
      </c>
      <c r="C287" s="569"/>
      <c r="F287" s="499"/>
      <c r="G287" s="570"/>
      <c r="H287" s="570"/>
      <c r="I287" s="578" t="str">
        <f>IF(Table1[[#This Row],[Staff]]="","",Table1[[#This Row],[Staff]])</f>
        <v/>
      </c>
      <c r="J287" s="569">
        <f>Table1[[#This Row],[Date]]</f>
        <v>0</v>
      </c>
      <c r="K287" s="526"/>
      <c r="L287" s="526"/>
      <c r="AF287" s="499"/>
      <c r="AG287" s="499"/>
      <c r="AH287" s="499"/>
      <c r="AI287" s="499"/>
    </row>
    <row r="288" spans="1:35" s="581" customFormat="1">
      <c r="A288" s="568"/>
      <c r="B288" s="37">
        <v>286</v>
      </c>
      <c r="C288" s="569"/>
      <c r="F288" s="499"/>
      <c r="G288" s="570"/>
      <c r="H288" s="570"/>
      <c r="I288" s="578" t="str">
        <f>IF(Table1[[#This Row],[Staff]]="","",Table1[[#This Row],[Staff]])</f>
        <v/>
      </c>
      <c r="J288" s="569">
        <f>Table1[[#This Row],[Date]]</f>
        <v>0</v>
      </c>
      <c r="K288" s="526"/>
      <c r="L288" s="526"/>
      <c r="AF288" s="499"/>
      <c r="AG288" s="499"/>
      <c r="AH288" s="499"/>
      <c r="AI288" s="499"/>
    </row>
    <row r="289" spans="1:35" s="581" customFormat="1">
      <c r="A289" s="568"/>
      <c r="B289" s="37">
        <v>287</v>
      </c>
      <c r="C289" s="569"/>
      <c r="F289" s="499"/>
      <c r="G289" s="570"/>
      <c r="H289" s="570"/>
      <c r="I289" s="578" t="str">
        <f>IF(Table1[[#This Row],[Staff]]="","",Table1[[#This Row],[Staff]])</f>
        <v/>
      </c>
      <c r="J289" s="569">
        <f>Table1[[#This Row],[Date]]</f>
        <v>0</v>
      </c>
      <c r="K289" s="526"/>
      <c r="L289" s="526"/>
      <c r="AF289" s="499"/>
      <c r="AG289" s="499"/>
      <c r="AH289" s="499"/>
      <c r="AI289" s="499"/>
    </row>
    <row r="290" spans="1:35" s="581" customFormat="1">
      <c r="A290" s="568"/>
      <c r="B290" s="37">
        <v>288</v>
      </c>
      <c r="C290" s="569"/>
      <c r="F290" s="499"/>
      <c r="G290" s="570"/>
      <c r="H290" s="570"/>
      <c r="I290" s="578" t="str">
        <f>IF(Table1[[#This Row],[Staff]]="","",Table1[[#This Row],[Staff]])</f>
        <v/>
      </c>
      <c r="J290" s="569">
        <f>Table1[[#This Row],[Date]]</f>
        <v>0</v>
      </c>
      <c r="K290" s="526"/>
      <c r="L290" s="526"/>
      <c r="AF290" s="499"/>
      <c r="AG290" s="499"/>
      <c r="AH290" s="499"/>
      <c r="AI290" s="499"/>
    </row>
    <row r="291" spans="1:35" s="581" customFormat="1">
      <c r="A291" s="568"/>
      <c r="B291" s="37">
        <v>289</v>
      </c>
      <c r="C291" s="569"/>
      <c r="F291" s="499"/>
      <c r="G291" s="570"/>
      <c r="H291" s="570"/>
      <c r="I291" s="578" t="str">
        <f>IF(Table1[[#This Row],[Staff]]="","",Table1[[#This Row],[Staff]])</f>
        <v/>
      </c>
      <c r="J291" s="569">
        <f>Table1[[#This Row],[Date]]</f>
        <v>0</v>
      </c>
      <c r="K291" s="526"/>
      <c r="L291" s="526"/>
      <c r="AF291" s="499"/>
      <c r="AG291" s="499"/>
      <c r="AH291" s="499"/>
      <c r="AI291" s="499"/>
    </row>
    <row r="292" spans="1:35" s="581" customFormat="1">
      <c r="A292" s="568"/>
      <c r="B292" s="37">
        <v>290</v>
      </c>
      <c r="C292" s="569"/>
      <c r="F292" s="499"/>
      <c r="G292" s="570"/>
      <c r="H292" s="570"/>
      <c r="I292" s="578" t="str">
        <f>IF(Table1[[#This Row],[Staff]]="","",Table1[[#This Row],[Staff]])</f>
        <v/>
      </c>
      <c r="J292" s="569">
        <f>Table1[[#This Row],[Date]]</f>
        <v>0</v>
      </c>
      <c r="K292" s="526"/>
      <c r="L292" s="526"/>
      <c r="AF292" s="499"/>
      <c r="AG292" s="499"/>
      <c r="AH292" s="499"/>
      <c r="AI292" s="499"/>
    </row>
    <row r="293" spans="1:35" s="581" customFormat="1">
      <c r="A293" s="568"/>
      <c r="B293" s="37">
        <v>291</v>
      </c>
      <c r="C293" s="569"/>
      <c r="F293" s="499"/>
      <c r="G293" s="570"/>
      <c r="H293" s="570"/>
      <c r="I293" s="578" t="str">
        <f>IF(Table1[[#This Row],[Staff]]="","",Table1[[#This Row],[Staff]])</f>
        <v/>
      </c>
      <c r="J293" s="569">
        <f>Table1[[#This Row],[Date]]</f>
        <v>0</v>
      </c>
      <c r="K293" s="526"/>
      <c r="L293" s="526"/>
      <c r="AF293" s="499"/>
      <c r="AG293" s="499"/>
      <c r="AH293" s="499"/>
      <c r="AI293" s="499"/>
    </row>
    <row r="294" spans="1:35" s="581" customFormat="1">
      <c r="A294" s="568"/>
      <c r="B294" s="37">
        <v>292</v>
      </c>
      <c r="C294" s="569"/>
      <c r="F294" s="499"/>
      <c r="G294" s="570"/>
      <c r="H294" s="570"/>
      <c r="I294" s="578" t="str">
        <f>IF(Table1[[#This Row],[Staff]]="","",Table1[[#This Row],[Staff]])</f>
        <v/>
      </c>
      <c r="J294" s="569">
        <f>Table1[[#This Row],[Date]]</f>
        <v>0</v>
      </c>
      <c r="K294" s="526"/>
      <c r="L294" s="526"/>
      <c r="AF294" s="499"/>
      <c r="AG294" s="499"/>
      <c r="AH294" s="499"/>
      <c r="AI294" s="499"/>
    </row>
    <row r="295" spans="1:35" s="581" customFormat="1">
      <c r="A295" s="568"/>
      <c r="B295" s="37">
        <v>293</v>
      </c>
      <c r="C295" s="569"/>
      <c r="F295" s="499"/>
      <c r="G295" s="570"/>
      <c r="H295" s="570"/>
      <c r="I295" s="578" t="str">
        <f>IF(Table1[[#This Row],[Staff]]="","",Table1[[#This Row],[Staff]])</f>
        <v/>
      </c>
      <c r="J295" s="569">
        <f>Table1[[#This Row],[Date]]</f>
        <v>0</v>
      </c>
      <c r="K295" s="526"/>
      <c r="L295" s="526"/>
      <c r="AF295" s="499"/>
      <c r="AG295" s="499"/>
      <c r="AH295" s="499"/>
      <c r="AI295" s="499"/>
    </row>
    <row r="296" spans="1:35" s="581" customFormat="1">
      <c r="A296" s="568"/>
      <c r="B296" s="37">
        <v>294</v>
      </c>
      <c r="C296" s="569"/>
      <c r="F296" s="499"/>
      <c r="G296" s="570"/>
      <c r="H296" s="570"/>
      <c r="I296" s="578" t="str">
        <f>IF(Table1[[#This Row],[Staff]]="","",Table1[[#This Row],[Staff]])</f>
        <v/>
      </c>
      <c r="J296" s="569">
        <f>Table1[[#This Row],[Date]]</f>
        <v>0</v>
      </c>
      <c r="K296" s="526"/>
      <c r="L296" s="526"/>
      <c r="AF296" s="499"/>
      <c r="AG296" s="499"/>
      <c r="AH296" s="499"/>
      <c r="AI296" s="499"/>
    </row>
    <row r="297" spans="1:35" s="581" customFormat="1">
      <c r="A297" s="568"/>
      <c r="B297" s="37">
        <v>295</v>
      </c>
      <c r="C297" s="569"/>
      <c r="F297" s="499"/>
      <c r="G297" s="570"/>
      <c r="H297" s="570"/>
      <c r="I297" s="578" t="str">
        <f>IF(Table1[[#This Row],[Staff]]="","",Table1[[#This Row],[Staff]])</f>
        <v/>
      </c>
      <c r="J297" s="569">
        <f>Table1[[#This Row],[Date]]</f>
        <v>0</v>
      </c>
      <c r="K297" s="526"/>
      <c r="L297" s="526"/>
      <c r="AF297" s="499"/>
      <c r="AG297" s="499"/>
      <c r="AH297" s="499"/>
      <c r="AI297" s="499"/>
    </row>
    <row r="298" spans="1:35" s="581" customFormat="1">
      <c r="A298" s="568"/>
      <c r="B298" s="37">
        <v>296</v>
      </c>
      <c r="C298" s="569"/>
      <c r="F298" s="499"/>
      <c r="G298" s="570"/>
      <c r="H298" s="570"/>
      <c r="I298" s="578" t="str">
        <f>IF(Table1[[#This Row],[Staff]]="","",Table1[[#This Row],[Staff]])</f>
        <v/>
      </c>
      <c r="J298" s="569">
        <f>Table1[[#This Row],[Date]]</f>
        <v>0</v>
      </c>
      <c r="K298" s="526"/>
      <c r="L298" s="526"/>
      <c r="AF298" s="499"/>
      <c r="AG298" s="499"/>
      <c r="AH298" s="499"/>
      <c r="AI298" s="499"/>
    </row>
    <row r="299" spans="1:35" s="581" customFormat="1">
      <c r="A299" s="568"/>
      <c r="B299" s="37">
        <v>297</v>
      </c>
      <c r="C299" s="569"/>
      <c r="F299" s="499"/>
      <c r="G299" s="570"/>
      <c r="H299" s="570"/>
      <c r="I299" s="578" t="str">
        <f>IF(Table1[[#This Row],[Staff]]="","",Table1[[#This Row],[Staff]])</f>
        <v/>
      </c>
      <c r="J299" s="569">
        <f>Table1[[#This Row],[Date]]</f>
        <v>0</v>
      </c>
      <c r="K299" s="526"/>
      <c r="L299" s="526"/>
      <c r="AF299" s="499"/>
      <c r="AG299" s="499"/>
      <c r="AH299" s="499"/>
      <c r="AI299" s="499"/>
    </row>
    <row r="300" spans="1:35" s="581" customFormat="1">
      <c r="A300" s="568"/>
      <c r="B300" s="37">
        <v>298</v>
      </c>
      <c r="C300" s="569"/>
      <c r="F300" s="499"/>
      <c r="G300" s="570"/>
      <c r="H300" s="570"/>
      <c r="I300" s="578" t="str">
        <f>IF(Table1[[#This Row],[Staff]]="","",Table1[[#This Row],[Staff]])</f>
        <v/>
      </c>
      <c r="J300" s="569">
        <f>Table1[[#This Row],[Date]]</f>
        <v>0</v>
      </c>
      <c r="K300" s="526"/>
      <c r="L300" s="526"/>
      <c r="AF300" s="499"/>
      <c r="AG300" s="499"/>
      <c r="AH300" s="499"/>
      <c r="AI300" s="499"/>
    </row>
    <row r="301" spans="1:35" s="581" customFormat="1">
      <c r="A301" s="568"/>
      <c r="B301" s="37">
        <v>299</v>
      </c>
      <c r="C301" s="569"/>
      <c r="F301" s="499"/>
      <c r="G301" s="570"/>
      <c r="H301" s="570"/>
      <c r="I301" s="578" t="str">
        <f>IF(Table1[[#This Row],[Staff]]="","",Table1[[#This Row],[Staff]])</f>
        <v/>
      </c>
      <c r="J301" s="569">
        <f>Table1[[#This Row],[Date]]</f>
        <v>0</v>
      </c>
      <c r="K301" s="526"/>
      <c r="L301" s="526"/>
      <c r="AF301" s="499"/>
      <c r="AG301" s="499"/>
      <c r="AH301" s="499"/>
      <c r="AI301" s="499"/>
    </row>
    <row r="302" spans="1:35" s="581" customFormat="1">
      <c r="A302" s="568"/>
      <c r="B302" s="37">
        <v>300</v>
      </c>
      <c r="C302" s="569"/>
      <c r="F302" s="499"/>
      <c r="G302" s="570"/>
      <c r="H302" s="570"/>
      <c r="I302" s="578" t="str">
        <f>IF(Table1[[#This Row],[Staff]]="","",Table1[[#This Row],[Staff]])</f>
        <v/>
      </c>
      <c r="J302" s="569">
        <f>Table1[[#This Row],[Date]]</f>
        <v>0</v>
      </c>
      <c r="K302" s="526"/>
      <c r="L302" s="526"/>
      <c r="AF302" s="499"/>
      <c r="AG302" s="499"/>
      <c r="AH302" s="499"/>
      <c r="AI302" s="499"/>
    </row>
    <row r="303" spans="1:35" s="581" customFormat="1">
      <c r="A303" s="568"/>
      <c r="B303" s="37">
        <v>301</v>
      </c>
      <c r="C303" s="569"/>
      <c r="F303" s="499"/>
      <c r="G303" s="570"/>
      <c r="H303" s="570"/>
      <c r="I303" s="578" t="str">
        <f>IF(Table1[[#This Row],[Staff]]="","",Table1[[#This Row],[Staff]])</f>
        <v/>
      </c>
      <c r="J303" s="569">
        <f>Table1[[#This Row],[Date]]</f>
        <v>0</v>
      </c>
      <c r="K303" s="526"/>
      <c r="L303" s="526"/>
      <c r="AF303" s="499"/>
      <c r="AG303" s="499"/>
      <c r="AH303" s="499"/>
      <c r="AI303" s="499"/>
    </row>
    <row r="304" spans="1:35" s="581" customFormat="1">
      <c r="A304" s="568"/>
      <c r="B304" s="37">
        <v>302</v>
      </c>
      <c r="C304" s="569"/>
      <c r="F304" s="499"/>
      <c r="G304" s="570"/>
      <c r="H304" s="570"/>
      <c r="I304" s="578" t="str">
        <f>IF(Table1[[#This Row],[Staff]]="","",Table1[[#This Row],[Staff]])</f>
        <v/>
      </c>
      <c r="J304" s="569">
        <f>Table1[[#This Row],[Date]]</f>
        <v>0</v>
      </c>
      <c r="K304" s="526"/>
      <c r="L304" s="526"/>
      <c r="AF304" s="499"/>
      <c r="AG304" s="499"/>
      <c r="AH304" s="499"/>
      <c r="AI304" s="499"/>
    </row>
    <row r="305" spans="1:35" s="581" customFormat="1">
      <c r="A305" s="568"/>
      <c r="B305" s="37">
        <v>303</v>
      </c>
      <c r="C305" s="569"/>
      <c r="F305" s="499"/>
      <c r="G305" s="570"/>
      <c r="H305" s="570"/>
      <c r="I305" s="578" t="str">
        <f>IF(Table1[[#This Row],[Staff]]="","",Table1[[#This Row],[Staff]])</f>
        <v/>
      </c>
      <c r="J305" s="569">
        <f>Table1[[#This Row],[Date]]</f>
        <v>0</v>
      </c>
      <c r="K305" s="526"/>
      <c r="L305" s="526"/>
      <c r="AF305" s="499"/>
      <c r="AG305" s="499"/>
      <c r="AH305" s="499"/>
      <c r="AI305" s="499"/>
    </row>
    <row r="306" spans="1:35" s="581" customFormat="1">
      <c r="A306" s="568"/>
      <c r="B306" s="37">
        <v>304</v>
      </c>
      <c r="C306" s="569"/>
      <c r="F306" s="499"/>
      <c r="G306" s="570"/>
      <c r="H306" s="570"/>
      <c r="I306" s="578" t="str">
        <f>IF(Table1[[#This Row],[Staff]]="","",Table1[[#This Row],[Staff]])</f>
        <v/>
      </c>
      <c r="J306" s="569">
        <f>Table1[[#This Row],[Date]]</f>
        <v>0</v>
      </c>
      <c r="K306" s="526"/>
      <c r="L306" s="526"/>
      <c r="AF306" s="499"/>
      <c r="AG306" s="499"/>
      <c r="AH306" s="499"/>
      <c r="AI306" s="499"/>
    </row>
    <row r="307" spans="1:35" s="581" customFormat="1">
      <c r="A307" s="568"/>
      <c r="B307" s="37">
        <v>305</v>
      </c>
      <c r="C307" s="569"/>
      <c r="F307" s="499"/>
      <c r="G307" s="570"/>
      <c r="H307" s="570"/>
      <c r="I307" s="578" t="str">
        <f>IF(Table1[[#This Row],[Staff]]="","",Table1[[#This Row],[Staff]])</f>
        <v/>
      </c>
      <c r="J307" s="569">
        <f>Table1[[#This Row],[Date]]</f>
        <v>0</v>
      </c>
      <c r="K307" s="526"/>
      <c r="L307" s="526"/>
      <c r="AF307" s="499"/>
      <c r="AG307" s="499"/>
      <c r="AH307" s="499"/>
      <c r="AI307" s="499"/>
    </row>
    <row r="308" spans="1:35" s="581" customFormat="1">
      <c r="A308" s="568"/>
      <c r="B308" s="37">
        <v>306</v>
      </c>
      <c r="C308" s="569"/>
      <c r="F308" s="499"/>
      <c r="G308" s="570"/>
      <c r="H308" s="570"/>
      <c r="I308" s="578" t="str">
        <f>IF(Table1[[#This Row],[Staff]]="","",Table1[[#This Row],[Staff]])</f>
        <v/>
      </c>
      <c r="J308" s="569">
        <f>Table1[[#This Row],[Date]]</f>
        <v>0</v>
      </c>
      <c r="K308" s="526"/>
      <c r="L308" s="526"/>
      <c r="AF308" s="499"/>
      <c r="AG308" s="499"/>
      <c r="AH308" s="499"/>
      <c r="AI308" s="499"/>
    </row>
    <row r="309" spans="1:35" s="581" customFormat="1">
      <c r="A309" s="568"/>
      <c r="B309" s="37">
        <v>307</v>
      </c>
      <c r="C309" s="569"/>
      <c r="F309" s="499"/>
      <c r="G309" s="570"/>
      <c r="H309" s="570"/>
      <c r="I309" s="578" t="str">
        <f>IF(Table1[[#This Row],[Staff]]="","",Table1[[#This Row],[Staff]])</f>
        <v/>
      </c>
      <c r="J309" s="569">
        <f>Table1[[#This Row],[Date]]</f>
        <v>0</v>
      </c>
      <c r="K309" s="526"/>
      <c r="L309" s="526"/>
      <c r="AF309" s="499"/>
      <c r="AG309" s="499"/>
      <c r="AH309" s="499"/>
      <c r="AI309" s="499"/>
    </row>
    <row r="310" spans="1:35" s="581" customFormat="1">
      <c r="A310" s="568"/>
      <c r="B310" s="37">
        <v>308</v>
      </c>
      <c r="C310" s="569"/>
      <c r="F310" s="499"/>
      <c r="G310" s="570"/>
      <c r="H310" s="570"/>
      <c r="I310" s="578" t="str">
        <f>IF(Table1[[#This Row],[Staff]]="","",Table1[[#This Row],[Staff]])</f>
        <v/>
      </c>
      <c r="J310" s="569">
        <f>Table1[[#This Row],[Date]]</f>
        <v>0</v>
      </c>
      <c r="K310" s="526"/>
      <c r="L310" s="526"/>
      <c r="AF310" s="499"/>
      <c r="AG310" s="499"/>
      <c r="AH310" s="499"/>
      <c r="AI310" s="499"/>
    </row>
    <row r="311" spans="1:35" s="581" customFormat="1">
      <c r="A311" s="568"/>
      <c r="B311" s="37">
        <v>309</v>
      </c>
      <c r="C311" s="569"/>
      <c r="F311" s="499"/>
      <c r="G311" s="570"/>
      <c r="H311" s="570"/>
      <c r="I311" s="578" t="str">
        <f>IF(Table1[[#This Row],[Staff]]="","",Table1[[#This Row],[Staff]])</f>
        <v/>
      </c>
      <c r="J311" s="569">
        <f>Table1[[#This Row],[Date]]</f>
        <v>0</v>
      </c>
      <c r="K311" s="526"/>
      <c r="L311" s="526"/>
      <c r="AF311" s="499"/>
      <c r="AG311" s="499"/>
      <c r="AH311" s="499"/>
      <c r="AI311" s="499"/>
    </row>
    <row r="312" spans="1:35">
      <c r="B312" s="37">
        <v>310</v>
      </c>
      <c r="C312" s="569" t="s">
        <v>0</v>
      </c>
      <c r="I312" s="578" t="str">
        <f>IF(Table1[[#This Row],[Staff]]="","",Table1[[#This Row],[Staff]])</f>
        <v/>
      </c>
      <c r="J312" s="569" t="str">
        <f>Table1[[#This Row],[Date]]</f>
        <v xml:space="preserve"> </v>
      </c>
      <c r="K312" s="526"/>
      <c r="L312" s="526"/>
    </row>
    <row r="313" spans="1:35">
      <c r="B313" s="37">
        <v>311</v>
      </c>
      <c r="C313" s="569" t="s">
        <v>0</v>
      </c>
      <c r="I313" s="578" t="str">
        <f>IF(Table1[[#This Row],[Staff]]="","",Table1[[#This Row],[Staff]])</f>
        <v/>
      </c>
      <c r="J313" s="569" t="str">
        <f>Table1[[#This Row],[Date]]</f>
        <v xml:space="preserve"> </v>
      </c>
      <c r="K313" s="526"/>
      <c r="L313" s="526"/>
    </row>
    <row r="314" spans="1:35">
      <c r="B314" s="37">
        <v>312</v>
      </c>
      <c r="C314" s="569" t="s">
        <v>0</v>
      </c>
      <c r="I314" s="578" t="str">
        <f>IF(Table1[[#This Row],[Staff]]="","",Table1[[#This Row],[Staff]])</f>
        <v/>
      </c>
      <c r="J314" s="569"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2"/>
  <dimension ref="A1:C15"/>
  <sheetViews>
    <sheetView workbookViewId="0">
      <selection activeCell="A16" sqref="A16"/>
    </sheetView>
  </sheetViews>
  <sheetFormatPr defaultRowHeight="14.25"/>
  <cols>
    <col min="1" max="1" width="9" style="600"/>
    <col min="2" max="2" width="33.375" style="600" customWidth="1"/>
    <col min="3" max="3" width="11.375" customWidth="1"/>
  </cols>
  <sheetData>
    <row r="1" spans="1:3">
      <c r="A1" s="602" t="s">
        <v>595</v>
      </c>
      <c r="B1" s="602" t="s">
        <v>594</v>
      </c>
      <c r="C1" s="602" t="s">
        <v>596</v>
      </c>
    </row>
    <row r="2" spans="1:3">
      <c r="A2" s="600" t="s">
        <v>614</v>
      </c>
      <c r="B2" s="600" t="s">
        <v>602</v>
      </c>
      <c r="C2" s="600" t="s">
        <v>597</v>
      </c>
    </row>
    <row r="3" spans="1:3">
      <c r="A3" s="600" t="s">
        <v>614</v>
      </c>
      <c r="B3" s="600" t="s">
        <v>598</v>
      </c>
      <c r="C3" s="600" t="s">
        <v>599</v>
      </c>
    </row>
    <row r="4" spans="1:3">
      <c r="A4" s="600" t="s">
        <v>614</v>
      </c>
      <c r="B4" s="600" t="s">
        <v>600</v>
      </c>
      <c r="C4" s="600" t="s">
        <v>601</v>
      </c>
    </row>
    <row r="5" spans="1:3">
      <c r="A5" s="600" t="s">
        <v>614</v>
      </c>
      <c r="B5" s="600" t="s">
        <v>603</v>
      </c>
      <c r="C5" s="600" t="s">
        <v>615</v>
      </c>
    </row>
    <row r="6" spans="1:3">
      <c r="A6" s="600" t="s">
        <v>614</v>
      </c>
      <c r="B6" s="600" t="s">
        <v>604</v>
      </c>
      <c r="C6" s="600" t="s">
        <v>615</v>
      </c>
    </row>
    <row r="7" spans="1:3">
      <c r="A7" s="600" t="s">
        <v>614</v>
      </c>
      <c r="B7" s="600" t="s">
        <v>605</v>
      </c>
      <c r="C7" s="600" t="s">
        <v>616</v>
      </c>
    </row>
    <row r="8" spans="1:3">
      <c r="A8" s="600" t="s">
        <v>614</v>
      </c>
      <c r="B8" s="600" t="s">
        <v>606</v>
      </c>
      <c r="C8" s="600" t="s">
        <v>617</v>
      </c>
    </row>
    <row r="9" spans="1:3">
      <c r="A9" s="600" t="s">
        <v>614</v>
      </c>
      <c r="B9" s="600" t="s">
        <v>607</v>
      </c>
      <c r="C9" s="600" t="s">
        <v>617</v>
      </c>
    </row>
    <row r="10" spans="1:3">
      <c r="A10" s="600" t="s">
        <v>614</v>
      </c>
      <c r="B10" s="600" t="s">
        <v>608</v>
      </c>
      <c r="C10" s="600" t="s">
        <v>617</v>
      </c>
    </row>
    <row r="11" spans="1:3">
      <c r="A11" s="600" t="s">
        <v>614</v>
      </c>
      <c r="B11" s="600" t="s">
        <v>609</v>
      </c>
      <c r="C11" s="600" t="s">
        <v>616</v>
      </c>
    </row>
    <row r="12" spans="1:3">
      <c r="A12" s="600" t="s">
        <v>614</v>
      </c>
      <c r="B12" s="600" t="s">
        <v>610</v>
      </c>
      <c r="C12" s="600" t="s">
        <v>618</v>
      </c>
    </row>
    <row r="13" spans="1:3">
      <c r="A13" s="600" t="s">
        <v>614</v>
      </c>
      <c r="B13" s="600" t="s">
        <v>611</v>
      </c>
      <c r="C13" s="600" t="s">
        <v>618</v>
      </c>
    </row>
    <row r="14" spans="1:3">
      <c r="A14" s="600" t="s">
        <v>614</v>
      </c>
      <c r="B14" s="600" t="s">
        <v>612</v>
      </c>
      <c r="C14" s="600" t="s">
        <v>618</v>
      </c>
    </row>
    <row r="15" spans="1:3">
      <c r="A15" s="600" t="s">
        <v>614</v>
      </c>
      <c r="B15" s="600" t="s">
        <v>613</v>
      </c>
      <c r="C15" s="600" t="s">
        <v>618</v>
      </c>
    </row>
  </sheetData>
  <dataValidations xWindow="404" yWindow="215"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AS50"/>
  <sheetViews>
    <sheetView showGridLines="0" zoomScaleNormal="100" workbookViewId="0">
      <selection activeCell="W6" sqref="W6"/>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56" t="s">
        <v>10</v>
      </c>
      <c r="E2" s="656"/>
      <c r="F2" s="656"/>
      <c r="G2" s="656"/>
      <c r="H2" s="662">
        <f ca="1">TODAY()</f>
        <v>41206</v>
      </c>
      <c r="I2" s="662"/>
      <c r="J2" s="662"/>
      <c r="K2" s="662"/>
      <c r="L2" s="662"/>
      <c r="M2" s="662"/>
      <c r="N2" s="662"/>
      <c r="O2" s="662"/>
      <c r="P2" s="662"/>
      <c r="Q2" s="662"/>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58" t="str">
        <f>R.1ProjectName</f>
        <v>Stringency review of LRAPA's 2010 Industrial Streamlining titles</v>
      </c>
      <c r="E4" s="658"/>
      <c r="F4" s="658"/>
      <c r="G4" s="658"/>
      <c r="H4" s="658"/>
      <c r="I4" s="658"/>
      <c r="J4" s="658"/>
      <c r="K4" s="658"/>
      <c r="L4" s="658"/>
      <c r="M4" s="658"/>
      <c r="N4" s="658"/>
      <c r="O4" s="658"/>
      <c r="P4" s="658"/>
      <c r="Q4" s="658"/>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57" t="s">
        <v>178</v>
      </c>
      <c r="D5" s="657"/>
      <c r="E5" s="657"/>
      <c r="F5" s="657"/>
      <c r="G5" s="657"/>
      <c r="H5" s="657"/>
      <c r="I5" s="657"/>
      <c r="J5" s="657"/>
      <c r="K5" s="657"/>
      <c r="L5" s="657"/>
      <c r="M5" s="657"/>
      <c r="N5" s="657"/>
      <c r="O5" s="657"/>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24" t="str">
        <f>'1ProjectRecord'!D2</f>
        <v>Project record</v>
      </c>
      <c r="E7" s="660" t="s">
        <v>89</v>
      </c>
      <c r="F7" s="653"/>
      <c r="G7" s="653"/>
      <c r="H7" s="653"/>
      <c r="I7" s="653"/>
      <c r="J7" s="653"/>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25" t="s">
        <v>159</v>
      </c>
      <c r="E8" s="661" t="s">
        <v>160</v>
      </c>
      <c r="F8" s="641"/>
      <c r="G8" s="641"/>
      <c r="H8" s="641" t="s">
        <v>80</v>
      </c>
      <c r="I8" s="641"/>
      <c r="J8" s="641"/>
      <c r="K8" s="281"/>
      <c r="L8" s="281"/>
      <c r="M8" s="212"/>
      <c r="N8" s="212"/>
      <c r="O8" s="659" t="s">
        <v>50</v>
      </c>
      <c r="P8" s="659"/>
      <c r="Q8" s="659"/>
      <c r="R8" s="659"/>
      <c r="S8" s="334"/>
      <c r="T8" s="25"/>
      <c r="U8" s="25"/>
      <c r="V8" s="25"/>
      <c r="W8" s="25"/>
      <c r="X8" s="25"/>
      <c r="Y8" s="25"/>
      <c r="Z8" s="25"/>
      <c r="AA8" s="25"/>
      <c r="AB8" s="25"/>
      <c r="AC8" s="25"/>
      <c r="AD8" s="25"/>
      <c r="AE8" s="25"/>
      <c r="AF8" s="25"/>
      <c r="AG8" s="25"/>
    </row>
    <row r="9" spans="1:45" s="7" customFormat="1" ht="15.75" customHeight="1">
      <c r="A9" s="29"/>
      <c r="B9" s="334"/>
      <c r="C9" s="213">
        <v>3</v>
      </c>
      <c r="D9" s="626" t="str">
        <f>'3CoreTeam'!D2</f>
        <v>Core Team</v>
      </c>
      <c r="E9" s="647">
        <f>R.3LowHrs</f>
        <v>9</v>
      </c>
      <c r="F9" s="648"/>
      <c r="G9" s="649"/>
      <c r="H9" s="642">
        <f>R.3HighHrs</f>
        <v>48</v>
      </c>
      <c r="I9" s="643"/>
      <c r="J9" s="644"/>
      <c r="K9" s="222"/>
      <c r="L9" s="652" t="s">
        <v>46</v>
      </c>
      <c r="M9" s="653"/>
      <c r="N9" s="653"/>
      <c r="O9" s="653"/>
      <c r="P9" s="654"/>
      <c r="Q9" s="282" t="str">
        <f>V9</f>
        <v>Low/Medium</v>
      </c>
      <c r="R9" s="372"/>
      <c r="S9" s="334"/>
      <c r="T9" s="49"/>
      <c r="U9" s="262">
        <f>R.2aOrgRisk</f>
        <v>2</v>
      </c>
      <c r="V9" s="263" t="str">
        <f>IF(U9=1,"Low",IF(U9=2,"Low/Medium",IF(U9=3,"Medium",IF(U9=4,"Medium/High","High"))))</f>
        <v>Low/Medium</v>
      </c>
      <c r="W9" s="25"/>
      <c r="X9" s="25"/>
      <c r="Y9" s="25"/>
      <c r="Z9" s="25"/>
      <c r="AA9" s="25"/>
      <c r="AB9" s="25"/>
      <c r="AC9" s="25"/>
      <c r="AD9" s="25"/>
      <c r="AE9" s="25"/>
      <c r="AF9" s="25"/>
      <c r="AG9" s="25"/>
    </row>
    <row r="10" spans="1:45" s="7" customFormat="1" ht="15.75" customHeight="1">
      <c r="A10" s="29"/>
      <c r="B10" s="334"/>
      <c r="C10" s="213">
        <v>4</v>
      </c>
      <c r="D10" s="624" t="str">
        <f>'4Advisors'!D2</f>
        <v>Advisors</v>
      </c>
      <c r="E10" s="647">
        <f>R.4LowHrs</f>
        <v>0</v>
      </c>
      <c r="F10" s="648"/>
      <c r="G10" s="649"/>
      <c r="H10" s="642">
        <f>R.4HighHrs</f>
        <v>0</v>
      </c>
      <c r="I10" s="643"/>
      <c r="J10" s="644"/>
      <c r="K10" s="222"/>
      <c r="L10" s="652" t="s">
        <v>47</v>
      </c>
      <c r="M10" s="653"/>
      <c r="N10" s="653"/>
      <c r="O10" s="653"/>
      <c r="P10" s="654"/>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624" t="str">
        <f>'5InterestedStaff'!D2</f>
        <v>Interested Staff and EQC</v>
      </c>
      <c r="E11" s="647">
        <f>R.5LowHrs</f>
        <v>0</v>
      </c>
      <c r="F11" s="648"/>
      <c r="G11" s="649"/>
      <c r="H11" s="642">
        <f>R.5HighHrs</f>
        <v>0</v>
      </c>
      <c r="I11" s="643"/>
      <c r="J11" s="644"/>
      <c r="K11" s="222"/>
      <c r="L11" s="652" t="s">
        <v>48</v>
      </c>
      <c r="M11" s="653"/>
      <c r="N11" s="653"/>
      <c r="O11" s="653"/>
      <c r="P11" s="654"/>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624" t="str">
        <f>'6OtherDivisions'!D2</f>
        <v>Other Divisions</v>
      </c>
      <c r="E12" s="647">
        <f>R.6LowHrs</f>
        <v>0</v>
      </c>
      <c r="F12" s="648"/>
      <c r="G12" s="649"/>
      <c r="H12" s="642">
        <f>R.6HighHrs</f>
        <v>0</v>
      </c>
      <c r="I12" s="643"/>
      <c r="J12" s="644"/>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24" t="str">
        <f>'7Regions'!D2</f>
        <v>Regions</v>
      </c>
      <c r="E13" s="650">
        <f>R.7LowHrs</f>
        <v>0</v>
      </c>
      <c r="F13" s="648"/>
      <c r="G13" s="649"/>
      <c r="H13" s="642">
        <f>R.7HighHrs</f>
        <v>0</v>
      </c>
      <c r="I13" s="643"/>
      <c r="J13" s="644"/>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24" t="str">
        <f>'8FinancialServices'!D2</f>
        <v>Financial Services</v>
      </c>
      <c r="E14" s="650">
        <f>R.8LowHrs</f>
        <v>0</v>
      </c>
      <c r="F14" s="648"/>
      <c r="G14" s="649"/>
      <c r="H14" s="642">
        <f>R.8HighHrs</f>
        <v>0</v>
      </c>
      <c r="I14" s="643"/>
      <c r="J14" s="644"/>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24" t="str">
        <f>'9OCO'!D2</f>
        <v>Communications and Outreach</v>
      </c>
      <c r="E15" s="647">
        <f>R.9LowHrs</f>
        <v>0</v>
      </c>
      <c r="F15" s="648"/>
      <c r="G15" s="649"/>
      <c r="H15" s="642">
        <f>R.9HighHrs</f>
        <v>0</v>
      </c>
      <c r="I15" s="643"/>
      <c r="J15" s="644"/>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24" t="str">
        <f>'10OrgServices'!D2</f>
        <v>Organizational Services</v>
      </c>
      <c r="E16" s="647">
        <f>R.10LowHrs</f>
        <v>0</v>
      </c>
      <c r="F16" s="648"/>
      <c r="G16" s="649"/>
      <c r="H16" s="642">
        <f>R.10HighHrs</f>
        <v>0</v>
      </c>
      <c r="I16" s="643"/>
      <c r="J16" s="644"/>
      <c r="K16" s="222"/>
      <c r="L16" s="655" t="s">
        <v>99</v>
      </c>
      <c r="M16" s="653"/>
      <c r="N16" s="653"/>
      <c r="O16" s="653"/>
      <c r="P16" s="654"/>
      <c r="Q16" s="289">
        <f>U16</f>
        <v>2</v>
      </c>
      <c r="R16" s="284"/>
      <c r="S16" s="334"/>
      <c r="T16" s="25"/>
      <c r="U16" s="583">
        <f>SUM(R.3StaffCount,R.4StaffCount,R.5StaffCount,R.6StaffCount,R.7StaffCount,R.8StaffCount,R.9StaffCount,R.10StaffCount,R.11StaffCount,R.12StaffCount,R.13StaffCount,R.15StaffCount)</f>
        <v>2</v>
      </c>
      <c r="V16" s="25"/>
      <c r="W16" s="25"/>
      <c r="X16" s="25"/>
      <c r="Y16" s="25"/>
      <c r="Z16" s="25"/>
      <c r="AA16" s="25"/>
      <c r="AB16" s="25"/>
      <c r="AC16" s="25"/>
      <c r="AD16" s="25"/>
      <c r="AE16" s="25"/>
      <c r="AF16" s="25"/>
      <c r="AG16" s="25"/>
    </row>
    <row r="17" spans="1:45" s="7" customFormat="1" ht="15.75" customHeight="1">
      <c r="A17" s="29"/>
      <c r="B17" s="334"/>
      <c r="C17" s="213">
        <v>11</v>
      </c>
      <c r="D17" s="624" t="str">
        <f>'11TechServices'!D2</f>
        <v>Technical Services</v>
      </c>
      <c r="E17" s="647">
        <f>R.11LowHrs</f>
        <v>0</v>
      </c>
      <c r="F17" s="648"/>
      <c r="G17" s="649"/>
      <c r="H17" s="642">
        <f>R.11HighHrs</f>
        <v>0</v>
      </c>
      <c r="I17" s="643"/>
      <c r="J17" s="644"/>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24" t="s">
        <v>152</v>
      </c>
      <c r="E18" s="647">
        <f>R.12LowHrs</f>
        <v>0</v>
      </c>
      <c r="F18" s="648"/>
      <c r="G18" s="649"/>
      <c r="H18" s="642">
        <f>R.12HighHrs</f>
        <v>0</v>
      </c>
      <c r="I18" s="643"/>
      <c r="J18" s="644"/>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24" t="str">
        <f>'13LEAD'!D2</f>
        <v>LEAD</v>
      </c>
      <c r="E19" s="647">
        <f>R.13LowHrs</f>
        <v>0</v>
      </c>
      <c r="F19" s="648"/>
      <c r="G19" s="649"/>
      <c r="H19" s="642">
        <f>R.13HighHrs</f>
        <v>0</v>
      </c>
      <c r="I19" s="643"/>
      <c r="J19" s="644"/>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24" t="str">
        <f>'14Intergovernmental'!D2</f>
        <v>Intergovernmental</v>
      </c>
      <c r="E20" s="647">
        <f>R.14LowHrs</f>
        <v>2</v>
      </c>
      <c r="F20" s="648"/>
      <c r="G20" s="649"/>
      <c r="H20" s="642">
        <f>R.14HighHrs</f>
        <v>16</v>
      </c>
      <c r="I20" s="643"/>
      <c r="J20" s="644"/>
      <c r="K20" s="634" t="s">
        <v>0</v>
      </c>
      <c r="L20" s="635"/>
      <c r="M20" s="635"/>
      <c r="N20" s="635"/>
      <c r="O20" s="635"/>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24" t="str">
        <f>'15CustomParticipants'!D2</f>
        <v>Custom Participants</v>
      </c>
      <c r="E21" s="647">
        <f>R.15LowHrs</f>
        <v>0</v>
      </c>
      <c r="F21" s="648"/>
      <c r="G21" s="649"/>
      <c r="H21" s="642">
        <f>R.15HighHrs</f>
        <v>0</v>
      </c>
      <c r="I21" s="643"/>
      <c r="J21" s="644"/>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27" t="s">
        <v>186</v>
      </c>
      <c r="E22" s="647">
        <f>14*1</f>
        <v>14</v>
      </c>
      <c r="F22" s="648"/>
      <c r="G22" s="649"/>
      <c r="H22" s="642">
        <f>14*4</f>
        <v>56</v>
      </c>
      <c r="I22" s="643"/>
      <c r="J22" s="644"/>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90</v>
      </c>
      <c r="E23" s="645">
        <f>SUM(E9:E22)</f>
        <v>25</v>
      </c>
      <c r="F23" s="645"/>
      <c r="G23" s="645"/>
      <c r="H23" s="645">
        <f>SUM(H9:H22)</f>
        <v>120</v>
      </c>
      <c r="I23" s="645"/>
      <c r="J23" s="645"/>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87</v>
      </c>
      <c r="E24" s="636">
        <f>-R.14LowHrs</f>
        <v>-2</v>
      </c>
      <c r="F24" s="637"/>
      <c r="G24" s="637"/>
      <c r="H24" s="636">
        <f>-R.14HighHrs</f>
        <v>-16</v>
      </c>
      <c r="I24" s="637"/>
      <c r="J24" s="637"/>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38">
        <f>SUM(E23:E24)</f>
        <v>23</v>
      </c>
      <c r="F25" s="638"/>
      <c r="G25" s="638"/>
      <c r="H25" s="639">
        <f>SUM(H23:H24)</f>
        <v>104</v>
      </c>
      <c r="I25" s="639"/>
      <c r="J25" s="639"/>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51" t="s">
        <v>93</v>
      </c>
      <c r="D26" s="651"/>
      <c r="E26" s="646" t="str">
        <f>"X    $"&amp;R.AvgHrDEQCost</f>
        <v>X    $58</v>
      </c>
      <c r="F26" s="646"/>
      <c r="G26" s="646"/>
      <c r="H26" s="646" t="str">
        <f>"X    $"&amp;R.AvgHrDEQCost</f>
        <v>X    $58</v>
      </c>
      <c r="I26" s="646"/>
      <c r="J26" s="646"/>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92</v>
      </c>
      <c r="E27" s="640">
        <f>E25*R.AvgHrDEQCost</f>
        <v>1334</v>
      </c>
      <c r="F27" s="640"/>
      <c r="G27" s="640"/>
      <c r="H27" s="640">
        <f>H25*R.AvgHrDEQCost</f>
        <v>6032</v>
      </c>
      <c r="I27" s="640"/>
      <c r="J27" s="640"/>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38.25" customHeight="1">
      <c r="A29" s="610"/>
      <c r="B29" s="618"/>
      <c r="C29" s="615"/>
      <c r="D29" s="633" t="s">
        <v>64</v>
      </c>
      <c r="E29" s="633"/>
      <c r="F29" s="633"/>
      <c r="G29" s="633"/>
      <c r="H29" s="633"/>
      <c r="I29" s="633"/>
      <c r="J29" s="633"/>
      <c r="K29" s="633"/>
      <c r="L29" s="633"/>
      <c r="M29" s="633"/>
      <c r="N29" s="633"/>
      <c r="O29" s="633"/>
      <c r="P29" s="633"/>
      <c r="Q29" s="616"/>
      <c r="R29" s="617"/>
      <c r="S29" s="618"/>
      <c r="T29" s="614"/>
      <c r="U29" s="613"/>
      <c r="V29" s="613"/>
      <c r="W29" s="612"/>
      <c r="X29" s="612"/>
      <c r="Y29" s="611"/>
      <c r="Z29" s="611"/>
      <c r="AA29" s="611"/>
      <c r="AB29" s="611"/>
      <c r="AC29" s="612"/>
      <c r="AD29" s="612"/>
      <c r="AE29" s="611"/>
      <c r="AF29" s="611"/>
      <c r="AG29" s="611"/>
      <c r="AH29" s="611"/>
      <c r="AI29" s="611"/>
      <c r="AJ29" s="611"/>
      <c r="AK29" s="611"/>
      <c r="AL29" s="611"/>
      <c r="AM29" s="611"/>
      <c r="AN29" s="611"/>
      <c r="AO29" s="611"/>
      <c r="AP29" s="611"/>
      <c r="AQ29" s="611"/>
      <c r="AR29" s="611"/>
      <c r="AS29" s="611"/>
    </row>
    <row r="30" spans="1:45" s="29" customFormat="1" ht="15.75" customHeight="1">
      <c r="A30" s="610"/>
      <c r="B30" s="618"/>
      <c r="C30" s="615"/>
      <c r="D30" s="619" t="s">
        <v>202</v>
      </c>
      <c r="E30" s="630" t="str">
        <f>R.3SEname</f>
        <v>Jill Inahara</v>
      </c>
      <c r="F30" s="630"/>
      <c r="G30" s="630"/>
      <c r="H30" s="630"/>
      <c r="I30" s="630"/>
      <c r="J30" s="630"/>
      <c r="K30" s="610"/>
      <c r="L30" s="631" t="str">
        <f>'3CoreTeam'!E13</f>
        <v>8 to 40 hrs</v>
      </c>
      <c r="M30" s="632"/>
      <c r="N30" s="632"/>
      <c r="O30" s="632"/>
      <c r="P30" s="632"/>
      <c r="Q30" s="632"/>
      <c r="R30" s="617"/>
      <c r="S30" s="618"/>
      <c r="T30" s="620" t="s">
        <v>0</v>
      </c>
      <c r="U30" s="613"/>
      <c r="V30" s="613"/>
      <c r="W30" s="612"/>
      <c r="X30" s="612"/>
      <c r="Y30" s="611"/>
      <c r="Z30" s="611"/>
      <c r="AA30" s="611"/>
      <c r="AB30" s="611"/>
      <c r="AC30" s="612"/>
      <c r="AD30" s="612"/>
      <c r="AE30" s="611"/>
      <c r="AF30" s="611"/>
      <c r="AG30" s="611"/>
      <c r="AH30" s="611"/>
      <c r="AI30" s="611"/>
      <c r="AJ30" s="611"/>
      <c r="AK30" s="611"/>
      <c r="AL30" s="611"/>
      <c r="AM30" s="611"/>
      <c r="AN30" s="611"/>
      <c r="AO30" s="611"/>
      <c r="AP30" s="611"/>
      <c r="AQ30" s="611"/>
      <c r="AR30" s="611"/>
      <c r="AS30" s="611"/>
    </row>
    <row r="31" spans="1:45" s="29" customFormat="1" ht="15.75" customHeight="1">
      <c r="A31" s="610"/>
      <c r="B31" s="618"/>
      <c r="C31" s="615"/>
      <c r="D31" s="619" t="s">
        <v>204</v>
      </c>
      <c r="E31" s="630" t="str">
        <f>R.3PEname</f>
        <v>Nicole Vick</v>
      </c>
      <c r="F31" s="630"/>
      <c r="G31" s="630"/>
      <c r="H31" s="630"/>
      <c r="I31" s="630"/>
      <c r="J31" s="630"/>
      <c r="K31" s="621"/>
      <c r="L31" s="631" t="str">
        <f>'3CoreTeam'!E31</f>
        <v>1 to 8 hrs</v>
      </c>
      <c r="M31" s="632"/>
      <c r="N31" s="632"/>
      <c r="O31" s="632"/>
      <c r="P31" s="632"/>
      <c r="Q31" s="632"/>
      <c r="R31" s="617"/>
      <c r="S31" s="618"/>
      <c r="T31" s="620" t="s">
        <v>0</v>
      </c>
      <c r="U31" s="613"/>
      <c r="V31" s="613"/>
      <c r="W31" s="612"/>
      <c r="X31" s="612"/>
      <c r="Y31" s="611"/>
      <c r="Z31" s="611"/>
      <c r="AA31" s="611"/>
      <c r="AB31" s="611"/>
      <c r="AC31" s="612"/>
      <c r="AD31" s="612"/>
      <c r="AE31" s="611"/>
      <c r="AF31" s="611"/>
      <c r="AG31" s="611"/>
      <c r="AH31" s="611"/>
      <c r="AI31" s="611"/>
      <c r="AJ31" s="611"/>
      <c r="AK31" s="611"/>
      <c r="AL31" s="611"/>
      <c r="AM31" s="611"/>
      <c r="AN31" s="611"/>
      <c r="AO31" s="611"/>
      <c r="AP31" s="611"/>
      <c r="AQ31" s="611"/>
      <c r="AR31" s="611"/>
      <c r="AS31" s="611"/>
    </row>
    <row r="32" spans="1:45" s="29" customFormat="1" ht="15.75" customHeight="1">
      <c r="A32" s="610"/>
      <c r="B32" s="618"/>
      <c r="C32" s="615"/>
      <c r="D32" s="619" t="s">
        <v>635</v>
      </c>
      <c r="E32" s="630" t="str">
        <f>R.3PAname</f>
        <v>PA name</v>
      </c>
      <c r="F32" s="630"/>
      <c r="G32" s="630"/>
      <c r="H32" s="630"/>
      <c r="I32" s="630"/>
      <c r="J32" s="630"/>
      <c r="K32" s="621"/>
      <c r="L32" s="631" t="str">
        <f>'3CoreTeam'!E37</f>
        <v>&lt; 1 hour</v>
      </c>
      <c r="M32" s="632"/>
      <c r="N32" s="632"/>
      <c r="O32" s="632"/>
      <c r="P32" s="632"/>
      <c r="Q32" s="632"/>
      <c r="R32" s="617"/>
      <c r="S32" s="618"/>
      <c r="T32" s="620" t="s">
        <v>0</v>
      </c>
      <c r="U32" s="613"/>
      <c r="V32" s="613"/>
      <c r="W32" s="612"/>
      <c r="X32" s="612"/>
      <c r="Y32" s="611"/>
      <c r="Z32" s="611"/>
      <c r="AA32" s="611"/>
      <c r="AB32" s="611"/>
      <c r="AC32" s="612"/>
      <c r="AD32" s="612"/>
      <c r="AE32" s="611"/>
      <c r="AF32" s="611"/>
      <c r="AG32" s="611"/>
      <c r="AH32" s="611"/>
      <c r="AI32" s="611"/>
      <c r="AJ32" s="611"/>
      <c r="AK32" s="611"/>
      <c r="AL32" s="611"/>
      <c r="AM32" s="611"/>
      <c r="AN32" s="611"/>
      <c r="AO32" s="611"/>
      <c r="AP32" s="611"/>
      <c r="AQ32" s="611"/>
      <c r="AR32" s="611"/>
      <c r="AS32" s="611"/>
    </row>
    <row r="33" spans="1:45" s="29" customFormat="1" ht="15.75" hidden="1" customHeight="1">
      <c r="B33" s="618"/>
      <c r="C33" s="615"/>
      <c r="D33" s="619" t="str">
        <f>R.3CustomRole1</f>
        <v>Custom Role 1</v>
      </c>
      <c r="E33" s="630" t="e">
        <f>R.3CR1name</f>
        <v>#NAME?</v>
      </c>
      <c r="F33" s="630"/>
      <c r="G33" s="630"/>
      <c r="H33" s="630"/>
      <c r="I33" s="630"/>
      <c r="J33" s="630"/>
      <c r="K33" s="621"/>
      <c r="L33" s="631" t="str">
        <f>'3CoreTeam'!E43</f>
        <v>&lt; 1 hour</v>
      </c>
      <c r="M33" s="632"/>
      <c r="N33" s="632"/>
      <c r="O33" s="632"/>
      <c r="P33" s="632"/>
      <c r="Q33" s="632"/>
      <c r="R33" s="617"/>
      <c r="S33" s="618"/>
      <c r="T33" s="620" t="s">
        <v>0</v>
      </c>
      <c r="U33" s="613"/>
      <c r="V33" s="613"/>
      <c r="W33" s="612"/>
      <c r="X33" s="612"/>
      <c r="Y33" s="611"/>
      <c r="Z33" s="611"/>
      <c r="AA33" s="611"/>
      <c r="AB33" s="611"/>
      <c r="AC33" s="612"/>
      <c r="AD33" s="612"/>
      <c r="AE33" s="611"/>
      <c r="AF33" s="611"/>
      <c r="AG33" s="611"/>
      <c r="AH33" s="611"/>
      <c r="AI33" s="611"/>
      <c r="AJ33" s="611"/>
      <c r="AK33" s="611"/>
      <c r="AL33" s="611"/>
      <c r="AM33" s="611"/>
      <c r="AN33" s="611"/>
      <c r="AO33" s="611"/>
      <c r="AP33" s="611"/>
      <c r="AQ33" s="611"/>
      <c r="AR33" s="611"/>
      <c r="AS33" s="611"/>
    </row>
    <row r="34" spans="1:45" s="29" customFormat="1" ht="15.75" hidden="1" customHeight="1">
      <c r="B34" s="618"/>
      <c r="C34" s="615"/>
      <c r="D34" s="623" t="str">
        <f>R.3CustomRole2</f>
        <v>Custom Role 2</v>
      </c>
      <c r="E34" s="630" t="e">
        <f>R.3CR2name</f>
        <v>#NAME?</v>
      </c>
      <c r="F34" s="630"/>
      <c r="G34" s="630"/>
      <c r="H34" s="630"/>
      <c r="I34" s="630"/>
      <c r="J34" s="630"/>
      <c r="K34" s="621"/>
      <c r="L34" s="631" t="str">
        <f>'3CoreTeam'!E49</f>
        <v>&lt; 1 hour</v>
      </c>
      <c r="M34" s="632"/>
      <c r="N34" s="632"/>
      <c r="O34" s="632"/>
      <c r="P34" s="632"/>
      <c r="Q34" s="632"/>
      <c r="R34" s="617"/>
      <c r="S34" s="618"/>
      <c r="T34" s="620" t="s">
        <v>0</v>
      </c>
      <c r="U34" s="613"/>
      <c r="V34" s="613"/>
      <c r="W34" s="612"/>
      <c r="X34" s="612"/>
      <c r="Y34" s="611"/>
      <c r="Z34" s="611"/>
      <c r="AA34" s="611"/>
      <c r="AB34" s="611"/>
      <c r="AC34" s="612"/>
      <c r="AD34" s="612"/>
      <c r="AE34" s="611"/>
      <c r="AF34" s="611"/>
      <c r="AG34" s="611"/>
      <c r="AH34" s="611"/>
      <c r="AI34" s="611"/>
      <c r="AJ34" s="611"/>
      <c r="AK34" s="611"/>
      <c r="AL34" s="611"/>
      <c r="AM34" s="611"/>
      <c r="AN34" s="611"/>
      <c r="AO34" s="611"/>
      <c r="AP34" s="611"/>
      <c r="AQ34" s="611"/>
      <c r="AR34" s="611"/>
      <c r="AS34" s="611"/>
    </row>
    <row r="35" spans="1:45" s="29" customFormat="1" ht="15.75" customHeight="1">
      <c r="B35" s="618"/>
      <c r="C35" s="615"/>
      <c r="D35" s="622" t="s">
        <v>119</v>
      </c>
      <c r="E35" s="630" t="str">
        <f>R.3LMname</f>
        <v>Uri Papish</v>
      </c>
      <c r="F35" s="630"/>
      <c r="G35" s="630"/>
      <c r="H35" s="630"/>
      <c r="I35" s="630"/>
      <c r="J35" s="630"/>
      <c r="K35" s="621"/>
      <c r="L35" s="631" t="str">
        <f>'3CoreTeam'!E19</f>
        <v>&lt; 1 hour</v>
      </c>
      <c r="M35" s="632"/>
      <c r="N35" s="632"/>
      <c r="O35" s="632"/>
      <c r="P35" s="632"/>
      <c r="Q35" s="632"/>
      <c r="R35" s="617"/>
      <c r="S35" s="618"/>
      <c r="T35" s="620" t="s">
        <v>0</v>
      </c>
      <c r="U35" s="613"/>
      <c r="V35" s="613"/>
      <c r="W35" s="612"/>
      <c r="X35" s="612"/>
      <c r="Y35" s="611"/>
      <c r="Z35" s="611"/>
      <c r="AA35" s="611"/>
      <c r="AB35" s="611"/>
      <c r="AC35" s="612"/>
      <c r="AD35" s="612"/>
      <c r="AE35" s="611"/>
      <c r="AF35" s="611"/>
      <c r="AG35" s="611"/>
      <c r="AH35" s="611"/>
      <c r="AI35" s="611"/>
      <c r="AJ35" s="611"/>
      <c r="AK35" s="611"/>
      <c r="AL35" s="611"/>
      <c r="AM35" s="611"/>
      <c r="AN35" s="611"/>
      <c r="AO35" s="611"/>
      <c r="AP35" s="611"/>
      <c r="AQ35" s="611"/>
      <c r="AR35" s="611"/>
      <c r="AS35" s="611"/>
    </row>
    <row r="36" spans="1:45" s="7" customFormat="1" ht="15.75" customHeight="1">
      <c r="A36" s="29"/>
      <c r="B36" s="334"/>
      <c r="C36" s="43"/>
      <c r="D36" s="35"/>
      <c r="E36" s="35"/>
      <c r="F36" s="35"/>
      <c r="G36" s="34"/>
      <c r="H36" s="434"/>
      <c r="I36" s="434"/>
      <c r="J36" s="434"/>
      <c r="K36" s="434"/>
      <c r="L36" s="434"/>
      <c r="M36" s="434"/>
      <c r="N36" s="434"/>
      <c r="O36" s="434"/>
      <c r="P36" s="434"/>
      <c r="Q36" s="434"/>
      <c r="R36" s="27"/>
      <c r="S36" s="334"/>
      <c r="T36" s="58"/>
      <c r="U36" s="57"/>
      <c r="V36" s="57"/>
      <c r="W36" s="45"/>
      <c r="X36" s="45"/>
      <c r="Y36" s="25"/>
      <c r="Z36" s="25"/>
      <c r="AA36" s="25"/>
      <c r="AB36" s="25"/>
      <c r="AC36" s="45"/>
      <c r="AD36" s="45"/>
      <c r="AE36" s="25"/>
      <c r="AF36" s="25"/>
      <c r="AG36" s="25"/>
      <c r="AH36" s="25"/>
      <c r="AI36" s="25"/>
      <c r="AJ36" s="25"/>
      <c r="AK36" s="25"/>
      <c r="AL36" s="25"/>
      <c r="AM36" s="25"/>
      <c r="AN36" s="25"/>
      <c r="AO36" s="25"/>
      <c r="AP36" s="25"/>
      <c r="AQ36" s="25"/>
      <c r="AR36" s="25"/>
      <c r="AS36" s="25"/>
    </row>
    <row r="37" spans="1:45" s="29" customFormat="1" ht="14.25" customHeight="1">
      <c r="B37" s="334"/>
      <c r="C37" s="334"/>
      <c r="D37" s="334"/>
      <c r="E37" s="334"/>
      <c r="F37" s="334"/>
      <c r="G37" s="334"/>
      <c r="H37" s="334"/>
      <c r="I37" s="334"/>
      <c r="J37" s="334"/>
      <c r="K37" s="334"/>
      <c r="L37" s="334"/>
      <c r="M37" s="334"/>
      <c r="N37" s="334"/>
      <c r="O37" s="334"/>
      <c r="P37" s="334"/>
      <c r="Q37" s="334"/>
      <c r="R37" s="334"/>
      <c r="S37" s="334"/>
      <c r="T37" s="58"/>
      <c r="U37" s="27"/>
      <c r="V37" s="27"/>
      <c r="W37" s="45"/>
      <c r="X37" s="45"/>
      <c r="Y37" s="25"/>
      <c r="Z37" s="25"/>
      <c r="AA37" s="25"/>
      <c r="AB37" s="25"/>
      <c r="AC37" s="45"/>
      <c r="AD37" s="45"/>
      <c r="AE37" s="25"/>
      <c r="AF37" s="25"/>
      <c r="AG37" s="25"/>
      <c r="AH37" s="25"/>
      <c r="AI37" s="25"/>
      <c r="AJ37" s="25"/>
      <c r="AK37" s="25"/>
      <c r="AL37" s="25"/>
      <c r="AM37" s="25"/>
      <c r="AN37" s="25"/>
      <c r="AO37" s="25"/>
      <c r="AP37" s="25"/>
      <c r="AQ37" s="25"/>
      <c r="AR37" s="25"/>
      <c r="AS37" s="25"/>
    </row>
    <row r="38" spans="1:45">
      <c r="C38" s="43"/>
      <c r="D38" s="434"/>
      <c r="E38" s="434"/>
      <c r="F38" s="434"/>
      <c r="G38" s="434"/>
      <c r="H38" s="434"/>
      <c r="I38" s="434"/>
      <c r="J38" s="434"/>
      <c r="K38" s="434"/>
      <c r="L38" s="434"/>
      <c r="M38" s="434"/>
      <c r="N38" s="434"/>
      <c r="O38" s="434"/>
      <c r="P38" s="434"/>
      <c r="Q38" s="434"/>
      <c r="R38" s="434"/>
      <c r="S38" s="45"/>
      <c r="T38" s="41"/>
      <c r="U38" s="45"/>
      <c r="V38" s="45"/>
      <c r="W38" s="45"/>
      <c r="X38" s="45"/>
      <c r="Y38" s="45"/>
      <c r="Z38" s="45"/>
      <c r="AA38" s="45"/>
    </row>
    <row r="39" spans="1:45">
      <c r="C39" s="43"/>
      <c r="D39" s="434"/>
      <c r="E39" s="434"/>
      <c r="F39" s="434"/>
      <c r="G39" s="434"/>
      <c r="H39" s="434"/>
      <c r="I39" s="434"/>
      <c r="J39" s="434"/>
      <c r="K39" s="434"/>
      <c r="L39" s="434"/>
      <c r="M39" s="434"/>
      <c r="N39" s="434"/>
      <c r="O39" s="434"/>
      <c r="P39" s="434"/>
      <c r="Q39" s="434"/>
      <c r="R39" s="434"/>
      <c r="S39" s="45"/>
      <c r="T39" s="41"/>
      <c r="U39" s="45"/>
      <c r="V39" s="45"/>
      <c r="W39" s="45"/>
      <c r="X39" s="45"/>
      <c r="Y39" s="45"/>
      <c r="Z39" s="45"/>
      <c r="AA39" s="45"/>
    </row>
    <row r="40" spans="1:45">
      <c r="C40" s="43"/>
      <c r="D40" s="434"/>
      <c r="E40" s="434"/>
      <c r="F40" s="434"/>
      <c r="G40" s="434"/>
      <c r="H40" s="434"/>
      <c r="I40" s="434"/>
      <c r="J40" s="434"/>
      <c r="K40" s="434"/>
      <c r="L40" s="434"/>
      <c r="M40" s="434"/>
      <c r="N40" s="434"/>
      <c r="O40" s="434"/>
      <c r="P40" s="434"/>
      <c r="Q40" s="434"/>
      <c r="R40" s="434"/>
      <c r="S40" s="45"/>
      <c r="T40" s="41"/>
      <c r="U40" s="45"/>
      <c r="V40" s="45"/>
      <c r="W40" s="45"/>
      <c r="X40" s="45"/>
      <c r="Y40" s="45"/>
      <c r="Z40" s="45"/>
      <c r="AA40" s="4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R46" s="434"/>
      <c r="S46" s="45"/>
      <c r="T46" s="41"/>
      <c r="U46" s="45"/>
      <c r="V46" s="45"/>
      <c r="W46" s="45"/>
      <c r="X46" s="45"/>
      <c r="Y46" s="45"/>
      <c r="Z46" s="45"/>
      <c r="AA46" s="45"/>
    </row>
    <row r="47" spans="1:45">
      <c r="C47" s="43"/>
      <c r="D47" s="434"/>
      <c r="E47" s="434"/>
      <c r="F47" s="434"/>
      <c r="G47" s="434"/>
      <c r="R47" s="434"/>
      <c r="S47" s="45"/>
      <c r="T47" s="41"/>
      <c r="U47" s="45"/>
      <c r="V47" s="45"/>
      <c r="W47" s="45"/>
      <c r="X47" s="45"/>
      <c r="Y47" s="45"/>
      <c r="Z47" s="45"/>
      <c r="AA47" s="45"/>
    </row>
    <row r="48" spans="1:45">
      <c r="C48" s="43"/>
      <c r="D48" s="434"/>
      <c r="E48" s="434"/>
      <c r="F48" s="434"/>
      <c r="G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D50" s="434"/>
      <c r="E50" s="434"/>
      <c r="F50" s="434"/>
      <c r="G50" s="434"/>
    </row>
  </sheetData>
  <sheetProtection sheet="1" scenarios="1" formatCells="0" formatRows="0" insertHyperlinks="0"/>
  <mergeCells count="65">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 ref="D29:P29"/>
    <mergeCell ref="E30:J30"/>
    <mergeCell ref="L30:Q30"/>
    <mergeCell ref="E31:J31"/>
    <mergeCell ref="L31:Q31"/>
    <mergeCell ref="E35:J35"/>
    <mergeCell ref="L35:Q35"/>
    <mergeCell ref="E32:J32"/>
    <mergeCell ref="L32:Q32"/>
    <mergeCell ref="E33:J33"/>
    <mergeCell ref="L33:Q33"/>
    <mergeCell ref="E34:J34"/>
    <mergeCell ref="L34:Q34"/>
  </mergeCells>
  <conditionalFormatting sqref="H38:N70 H36:N36">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6"/>
  <dimension ref="A1:BC348"/>
  <sheetViews>
    <sheetView topLeftCell="F1" zoomScaleNormal="100" workbookViewId="0">
      <selection activeCell="J4" sqref="J4"/>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663" t="s">
        <v>316</v>
      </c>
      <c r="C1" s="663"/>
      <c r="D1" s="663"/>
      <c r="E1" s="663"/>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250</v>
      </c>
      <c r="B2" s="558" t="s">
        <v>266</v>
      </c>
      <c r="C2" s="558" t="s">
        <v>251</v>
      </c>
      <c r="D2" s="558" t="s">
        <v>252</v>
      </c>
      <c r="E2" s="558" t="s">
        <v>210</v>
      </c>
      <c r="F2" s="558" t="s">
        <v>209</v>
      </c>
      <c r="G2" s="557" t="s">
        <v>218</v>
      </c>
      <c r="H2" s="557" t="s">
        <v>319</v>
      </c>
      <c r="I2" s="559" t="s">
        <v>318</v>
      </c>
      <c r="J2" s="559" t="s">
        <v>317</v>
      </c>
      <c r="K2" s="557" t="s">
        <v>265</v>
      </c>
      <c r="L2" s="557" t="s">
        <v>170</v>
      </c>
      <c r="M2" s="559" t="s">
        <v>277</v>
      </c>
      <c r="N2" s="559" t="s">
        <v>278</v>
      </c>
      <c r="O2" s="536" t="s">
        <v>273</v>
      </c>
      <c r="P2" s="536" t="s">
        <v>274</v>
      </c>
      <c r="Q2" s="539" t="s">
        <v>275</v>
      </c>
      <c r="R2" s="539" t="s">
        <v>276</v>
      </c>
      <c r="S2" s="539" t="s">
        <v>279</v>
      </c>
      <c r="T2" s="539" t="s">
        <v>280</v>
      </c>
      <c r="U2" s="539" t="s">
        <v>281</v>
      </c>
      <c r="V2" s="539" t="s">
        <v>282</v>
      </c>
      <c r="W2" s="539" t="s">
        <v>283</v>
      </c>
      <c r="X2" s="539" t="s">
        <v>284</v>
      </c>
      <c r="Y2" s="539" t="s">
        <v>285</v>
      </c>
      <c r="Z2" s="539" t="s">
        <v>286</v>
      </c>
      <c r="AA2" s="539" t="s">
        <v>287</v>
      </c>
      <c r="AB2" s="539" t="s">
        <v>288</v>
      </c>
      <c r="AC2" s="540" t="s">
        <v>289</v>
      </c>
      <c r="AD2" s="540" t="s">
        <v>290</v>
      </c>
      <c r="AE2" s="540" t="s">
        <v>291</v>
      </c>
      <c r="AF2" s="540" t="s">
        <v>292</v>
      </c>
      <c r="AG2" s="540" t="s">
        <v>293</v>
      </c>
      <c r="AH2" s="540" t="s">
        <v>294</v>
      </c>
      <c r="AI2" s="540" t="s">
        <v>295</v>
      </c>
      <c r="AJ2" s="540" t="s">
        <v>296</v>
      </c>
      <c r="AK2" s="540" t="s">
        <v>297</v>
      </c>
      <c r="AL2" s="540" t="s">
        <v>298</v>
      </c>
      <c r="AM2" s="540" t="s">
        <v>299</v>
      </c>
      <c r="AN2" s="540" t="s">
        <v>300</v>
      </c>
      <c r="AO2" s="537" t="s">
        <v>301</v>
      </c>
      <c r="AP2" s="537" t="s">
        <v>302</v>
      </c>
      <c r="AQ2" s="537" t="s">
        <v>303</v>
      </c>
      <c r="AR2" s="537" t="s">
        <v>304</v>
      </c>
      <c r="AS2" s="537" t="s">
        <v>305</v>
      </c>
      <c r="AT2" s="537" t="s">
        <v>306</v>
      </c>
      <c r="AU2" s="537" t="s">
        <v>307</v>
      </c>
      <c r="AV2" s="537" t="s">
        <v>308</v>
      </c>
      <c r="AW2" s="537" t="s">
        <v>309</v>
      </c>
      <c r="AX2" s="537" t="s">
        <v>310</v>
      </c>
      <c r="AY2" s="537" t="s">
        <v>311</v>
      </c>
      <c r="AZ2" s="537" t="s">
        <v>312</v>
      </c>
      <c r="BA2" s="538" t="s">
        <v>313</v>
      </c>
      <c r="BB2" s="538" t="s">
        <v>314</v>
      </c>
      <c r="BC2" s="538" t="s">
        <v>315</v>
      </c>
    </row>
    <row r="3" spans="1:55">
      <c r="A3" s="531" t="str">
        <f t="shared" ref="A3:A66" si="0">R.1Division</f>
        <v>AQ</v>
      </c>
      <c r="B3" s="50" t="str">
        <f t="shared" ref="B3:B66" si="1">R.1CodeName</f>
        <v>LRStrm10</v>
      </c>
      <c r="C3" s="50" t="s">
        <v>253</v>
      </c>
      <c r="D3" s="532" t="s">
        <v>202</v>
      </c>
      <c r="E3" s="50" t="s">
        <v>54</v>
      </c>
      <c r="F3" s="533" t="str">
        <f>R.3SEname</f>
        <v>Jill Inahara</v>
      </c>
      <c r="G3" s="543">
        <f>R.3SEhrs</f>
        <v>2</v>
      </c>
      <c r="H3" s="544">
        <f>Table3[[#This Row],[Hrs Rank]]</f>
        <v>2</v>
      </c>
      <c r="I3" s="534">
        <f>IF(ISNA(VLOOKUP($H3,R.VL_DEQResourceHours,2,FALSE)),0,VLOOKUP($H3,R.VL_DEQResourceHours,2,FALSE))</f>
        <v>8</v>
      </c>
      <c r="J3" s="534">
        <f>IF(ISNA(VLOOKUP($H3,R.VL_DEQResourceHours,3,FALSE)),0,VLOOKUP($H3,R.VL_DEQResourceHours,3,FALSE))</f>
        <v>40</v>
      </c>
      <c r="K3" s="608" t="s">
        <v>633</v>
      </c>
      <c r="L3" s="608" t="s">
        <v>634</v>
      </c>
      <c r="M3" s="547" t="s">
        <v>169</v>
      </c>
      <c r="N3" s="547" t="s">
        <v>169</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LRStrm10</v>
      </c>
      <c r="C4" s="50" t="s">
        <v>253</v>
      </c>
      <c r="D4" s="532" t="s">
        <v>204</v>
      </c>
      <c r="E4" s="50" t="s">
        <v>54</v>
      </c>
      <c r="F4" s="533" t="str">
        <f>R.3PEname</f>
        <v>Nicole Vick</v>
      </c>
      <c r="G4" s="543">
        <f>R.3PEHrs</f>
        <v>1</v>
      </c>
      <c r="H4" s="544">
        <f>Table3[[#This Row],[Hrs Rank]]</f>
        <v>1</v>
      </c>
      <c r="I4" s="534">
        <f>IF(ISNA(VLOOKUP($H4,R.VL_DEQResourceHours,2,FALSE)),0,VLOOKUP($H4,R.VL_DEQResourceHours,2,FALSE))</f>
        <v>1</v>
      </c>
      <c r="J4" s="534">
        <f>IF(ISNA(VLOOKUP($H4,R.VL_DEQResourceHours,3,FALSE)),0,VLOOKUP($H4,R.VL_DEQResourceHours,3,FALSE))</f>
        <v>8</v>
      </c>
      <c r="K4" s="546"/>
      <c r="L4" s="546"/>
      <c r="M4" s="547" t="s">
        <v>225</v>
      </c>
      <c r="N4" s="547" t="s">
        <v>225</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LRStrm10</v>
      </c>
      <c r="C5" s="50" t="s">
        <v>263</v>
      </c>
      <c r="D5" s="532" t="s">
        <v>130</v>
      </c>
      <c r="E5" s="50" t="s">
        <v>54</v>
      </c>
      <c r="F5" s="606" t="s">
        <v>630</v>
      </c>
      <c r="G5" s="543">
        <f>R.14LRAPADevHrs2</f>
        <v>1</v>
      </c>
      <c r="H5" s="544">
        <f>Table3[[#This Row],[Hrs Rank]]</f>
        <v>1</v>
      </c>
      <c r="I5" s="534">
        <f>IF(ISNA(VLOOKUP($H5,R.VL_DEQResourceHours,2,FALSE)),0,VLOOKUP($H5,R.VL_DEQResourceHours,2,FALSE))</f>
        <v>1</v>
      </c>
      <c r="J5" s="534">
        <f>IF(ISNA(VLOOKUP($H5,R.VL_DEQResourceHours,3,FALSE)),0,VLOOKUP($H5,R.VL_DEQResourceHours,3,FALSE))</f>
        <v>8</v>
      </c>
      <c r="K5" s="609"/>
      <c r="L5" s="609"/>
      <c r="M5" s="547" t="s">
        <v>225</v>
      </c>
      <c r="N5" s="547" t="s">
        <v>225</v>
      </c>
      <c r="O5" s="548"/>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LRStrm10</v>
      </c>
      <c r="C6" s="50" t="s">
        <v>263</v>
      </c>
      <c r="D6" s="532" t="s">
        <v>131</v>
      </c>
      <c r="E6" s="50" t="s">
        <v>54</v>
      </c>
      <c r="F6" s="607" t="str">
        <f>R.14EPADevName1</f>
        <v>Justin Spenillo</v>
      </c>
      <c r="G6" s="543">
        <f>R.14EPADevHrs1</f>
        <v>1</v>
      </c>
      <c r="H6" s="544">
        <f>Table3[[#This Row],[Hrs Rank]]</f>
        <v>1</v>
      </c>
      <c r="I6" s="534">
        <f>IF(ISNA(VLOOKUP($H6,R.VL_DEQResourceHours,2,FALSE)),0,VLOOKUP($H6,R.VL_DEQResourceHours,2,FALSE))</f>
        <v>1</v>
      </c>
      <c r="J6" s="534">
        <f>IF(ISNA(VLOOKUP($H6,R.VL_DEQResourceHours,3,FALSE)),0,VLOOKUP($H6,R.VL_DEQResourceHours,3,FALSE))</f>
        <v>8</v>
      </c>
      <c r="K6" s="609"/>
      <c r="L6" s="609"/>
      <c r="M6" s="547" t="s">
        <v>225</v>
      </c>
      <c r="N6" s="547" t="s">
        <v>225</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LRStrm10</v>
      </c>
      <c r="C7" s="50" t="s">
        <v>253</v>
      </c>
      <c r="D7" s="532" t="s">
        <v>119</v>
      </c>
      <c r="E7" s="50" t="s">
        <v>54</v>
      </c>
      <c r="F7" s="533" t="str">
        <f>R.3LMname</f>
        <v>Uri Papish</v>
      </c>
      <c r="G7" s="543">
        <f>R.3LMHrs</f>
        <v>0</v>
      </c>
      <c r="H7" s="544">
        <f>Table3[[#This Row],[Hrs Rank]]</f>
        <v>0</v>
      </c>
      <c r="I7" s="534">
        <v>1</v>
      </c>
      <c r="J7" s="534">
        <v>1</v>
      </c>
      <c r="K7" s="546"/>
      <c r="L7" s="546"/>
      <c r="M7" s="547" t="s">
        <v>225</v>
      </c>
      <c r="N7" s="547" t="s">
        <v>225</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LRStrm10</v>
      </c>
      <c r="C8" s="50" t="s">
        <v>253</v>
      </c>
      <c r="D8" s="532" t="s">
        <v>120</v>
      </c>
      <c r="E8" s="50" t="s">
        <v>54</v>
      </c>
      <c r="F8" s="533" t="str">
        <f>R.3LAname</f>
        <v>Andy Ginsburg</v>
      </c>
      <c r="G8" s="543">
        <f>R.3LAHrs</f>
        <v>0</v>
      </c>
      <c r="H8" s="544">
        <f>Table3[[#This Row],[Hrs Rank]]</f>
        <v>0</v>
      </c>
      <c r="I8" s="534">
        <v>1</v>
      </c>
      <c r="J8" s="534">
        <v>1</v>
      </c>
      <c r="K8" s="546"/>
      <c r="L8" s="546"/>
      <c r="M8" s="547" t="s">
        <v>225</v>
      </c>
      <c r="N8" s="547" t="s">
        <v>225</v>
      </c>
      <c r="O8" s="548" t="s">
        <v>0</v>
      </c>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LRStrm10</v>
      </c>
      <c r="C9" s="50" t="s">
        <v>253</v>
      </c>
      <c r="D9" s="532" t="s">
        <v>121</v>
      </c>
      <c r="E9" s="50" t="s">
        <v>54</v>
      </c>
      <c r="F9" s="533" t="str">
        <f>R.3PAname</f>
        <v>PA name</v>
      </c>
      <c r="G9" s="543">
        <f>R.3PAHrs</f>
        <v>0</v>
      </c>
      <c r="H9" s="544">
        <f>Table3[[#This Row],[Hrs Rank]]</f>
        <v>0</v>
      </c>
      <c r="I9" s="534">
        <v>1</v>
      </c>
      <c r="J9" s="534">
        <v>1</v>
      </c>
      <c r="K9" s="546"/>
      <c r="L9" s="546"/>
      <c r="M9" s="547" t="s">
        <v>225</v>
      </c>
      <c r="N9" s="547" t="s">
        <v>225</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LRStrm10</v>
      </c>
      <c r="C10" s="50" t="s">
        <v>203</v>
      </c>
      <c r="D10" s="532" t="s">
        <v>207</v>
      </c>
      <c r="E10" s="50" t="s">
        <v>54</v>
      </c>
      <c r="F10" s="533" t="str">
        <f>R.4AGName</f>
        <v>Larry Knudsen</v>
      </c>
      <c r="G10" s="543">
        <f>R.4AGHrs</f>
        <v>0</v>
      </c>
      <c r="H10" s="544">
        <f>Table3[[#This Row],[Hrs Rank]]</f>
        <v>0</v>
      </c>
      <c r="I10" s="534">
        <v>1</v>
      </c>
      <c r="J10" s="534">
        <v>1</v>
      </c>
      <c r="K10" s="546"/>
      <c r="L10" s="546"/>
      <c r="M10" s="547" t="s">
        <v>225</v>
      </c>
      <c r="N10" s="547" t="s">
        <v>225</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LRStrm10</v>
      </c>
      <c r="C11" s="50" t="s">
        <v>203</v>
      </c>
      <c r="D11" s="532" t="s">
        <v>122</v>
      </c>
      <c r="E11" s="50" t="s">
        <v>54</v>
      </c>
      <c r="F11" s="533" t="str">
        <f>R.4ARCName</f>
        <v>Maggie Vandehey</v>
      </c>
      <c r="G11" s="543">
        <f>R.4ARCHrs</f>
        <v>0</v>
      </c>
      <c r="H11" s="544">
        <f>Table3[[#This Row],[Hrs Rank]]</f>
        <v>0</v>
      </c>
      <c r="I11" s="534">
        <v>1</v>
      </c>
      <c r="J11" s="534">
        <v>1</v>
      </c>
      <c r="K11" s="546"/>
      <c r="L11" s="546"/>
      <c r="M11" s="547" t="s">
        <v>225</v>
      </c>
      <c r="N11" s="547" t="s">
        <v>225</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LRStrm10</v>
      </c>
      <c r="C12" s="50" t="s">
        <v>203</v>
      </c>
      <c r="D12" s="604" t="s">
        <v>172</v>
      </c>
      <c r="E12" s="50" t="s">
        <v>54</v>
      </c>
      <c r="F12" s="605" t="str">
        <f>R.4SIPCoName</f>
        <v>Nicole Vick</v>
      </c>
      <c r="G12" s="543">
        <f>R.4ASIPCoHrs</f>
        <v>0</v>
      </c>
      <c r="H12" s="544">
        <f>Table3[[#This Row],[Hrs Rank]]</f>
        <v>0</v>
      </c>
      <c r="I12" s="534">
        <v>1</v>
      </c>
      <c r="J12" s="534">
        <v>1</v>
      </c>
      <c r="K12" s="546"/>
      <c r="L12" s="546"/>
      <c r="M12" s="547" t="s">
        <v>225</v>
      </c>
      <c r="N12" s="547" t="s">
        <v>225</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LRStrm10</v>
      </c>
      <c r="C13" s="50" t="s">
        <v>254</v>
      </c>
      <c r="D13" s="604" t="s">
        <v>181</v>
      </c>
      <c r="E13" s="50" t="s">
        <v>54</v>
      </c>
      <c r="F13" s="605" t="str">
        <f>R.5EQCName1</f>
        <v>EQC - all members</v>
      </c>
      <c r="G13" s="543">
        <f>R.5EQCHrs1</f>
        <v>0</v>
      </c>
      <c r="H13" s="544">
        <f>Table3[[#This Row],[Hrs Rank]]</f>
        <v>0</v>
      </c>
      <c r="I13" s="534">
        <v>1</v>
      </c>
      <c r="J13" s="534">
        <v>1</v>
      </c>
      <c r="K13" s="546"/>
      <c r="L13" s="546"/>
      <c r="M13" s="547" t="s">
        <v>225</v>
      </c>
      <c r="N13" s="547" t="s">
        <v>225</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LRStrm10</v>
      </c>
      <c r="C14" s="50" t="s">
        <v>257</v>
      </c>
      <c r="D14" s="604" t="s">
        <v>146</v>
      </c>
      <c r="E14" s="50" t="s">
        <v>54</v>
      </c>
      <c r="F14" s="606" t="str">
        <f>R.8BudDevName1</f>
        <v>Robin Williams</v>
      </c>
      <c r="G14" s="543">
        <f>R.8BudDevHrs1</f>
        <v>0</v>
      </c>
      <c r="H14" s="544">
        <f>Table3[[#This Row],[Hrs Rank]]</f>
        <v>0</v>
      </c>
      <c r="I14" s="534">
        <v>1</v>
      </c>
      <c r="J14" s="534">
        <v>1</v>
      </c>
      <c r="K14" s="546"/>
      <c r="L14" s="546"/>
      <c r="M14" s="547" t="s">
        <v>225</v>
      </c>
      <c r="N14" s="547" t="s">
        <v>225</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LRStrm10</v>
      </c>
      <c r="C15" s="50" t="s">
        <v>257</v>
      </c>
      <c r="D15" s="604" t="s">
        <v>146</v>
      </c>
      <c r="E15" s="50" t="s">
        <v>54</v>
      </c>
      <c r="F15" s="606" t="str">
        <f>R.8BudDevName2</f>
        <v>Jim Roys</v>
      </c>
      <c r="G15" s="543">
        <f>R.8BudDevHrs2</f>
        <v>0</v>
      </c>
      <c r="H15" s="544">
        <f>Table3[[#This Row],[Hrs Rank]]</f>
        <v>0</v>
      </c>
      <c r="I15" s="534">
        <v>1</v>
      </c>
      <c r="J15" s="534">
        <v>1</v>
      </c>
      <c r="K15" s="546"/>
      <c r="L15" s="546"/>
      <c r="M15" s="547" t="s">
        <v>225</v>
      </c>
      <c r="N15" s="547" t="s">
        <v>225</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LRStrm10</v>
      </c>
      <c r="C16" s="50" t="s">
        <v>258</v>
      </c>
      <c r="D16" s="532" t="s">
        <v>268</v>
      </c>
      <c r="E16" s="50" t="s">
        <v>54</v>
      </c>
      <c r="F16" s="606" t="str">
        <f>R.9ComStrategyDevName1</f>
        <v>William Knight</v>
      </c>
      <c r="G16" s="543">
        <f>R.9ComStrategyDevHrs1</f>
        <v>0</v>
      </c>
      <c r="H16" s="544">
        <f>Table3[[#This Row],[Hrs Rank]]</f>
        <v>0</v>
      </c>
      <c r="I16" s="534">
        <v>1</v>
      </c>
      <c r="J16" s="534">
        <v>1</v>
      </c>
      <c r="K16" s="546"/>
      <c r="L16" s="546"/>
      <c r="M16" s="547" t="s">
        <v>225</v>
      </c>
      <c r="N16" s="547" t="s">
        <v>225</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LRStrm10</v>
      </c>
      <c r="C17" s="50" t="s">
        <v>258</v>
      </c>
      <c r="D17" s="532" t="s">
        <v>269</v>
      </c>
      <c r="E17" s="50" t="s">
        <v>53</v>
      </c>
      <c r="F17" s="606" t="str">
        <f>R.9PRImpName1</f>
        <v>William Knight</v>
      </c>
      <c r="G17" s="543">
        <f>R.9PRImpHrs1</f>
        <v>0</v>
      </c>
      <c r="H17" s="544">
        <f>Table3[[#This Row],[Hrs Rank]]</f>
        <v>0</v>
      </c>
      <c r="I17" s="534">
        <v>1</v>
      </c>
      <c r="J17" s="534">
        <v>1</v>
      </c>
      <c r="K17" s="546"/>
      <c r="L17" s="546"/>
      <c r="M17" s="547" t="s">
        <v>225</v>
      </c>
      <c r="N17" s="547" t="s">
        <v>225</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LRStrm10</v>
      </c>
      <c r="C18" s="50" t="s">
        <v>258</v>
      </c>
      <c r="D18" s="532" t="s">
        <v>106</v>
      </c>
      <c r="E18" s="50" t="s">
        <v>54</v>
      </c>
      <c r="F18" s="606" t="str">
        <f>R.9WebDevName1</f>
        <v>Elle Kozlowski</v>
      </c>
      <c r="G18" s="543">
        <f>R.9WebDevHrs1</f>
        <v>0</v>
      </c>
      <c r="H18" s="544">
        <f>Table3[[#This Row],[Hrs Rank]]</f>
        <v>0</v>
      </c>
      <c r="I18" s="534">
        <v>1</v>
      </c>
      <c r="J18" s="534">
        <v>1</v>
      </c>
      <c r="K18" s="546"/>
      <c r="L18" s="546"/>
      <c r="M18" s="547" t="s">
        <v>225</v>
      </c>
      <c r="N18" s="547" t="s">
        <v>225</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LRStrm10</v>
      </c>
      <c r="C19" s="50" t="s">
        <v>258</v>
      </c>
      <c r="D19" s="604" t="s">
        <v>106</v>
      </c>
      <c r="E19" s="50" t="s">
        <v>53</v>
      </c>
      <c r="F19" s="606" t="str">
        <f>R.9WebImpName1</f>
        <v>Elle Kozlowski</v>
      </c>
      <c r="G19" s="543">
        <f>R.9WebImpHrs1</f>
        <v>0</v>
      </c>
      <c r="H19" s="544">
        <f>Table3[[#This Row],[Hrs Rank]]</f>
        <v>0</v>
      </c>
      <c r="I19" s="534">
        <v>1</v>
      </c>
      <c r="J19" s="534">
        <v>1</v>
      </c>
      <c r="K19" s="546"/>
      <c r="L19" s="546"/>
      <c r="M19" s="547" t="s">
        <v>225</v>
      </c>
      <c r="N19" s="547" t="s">
        <v>225</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LRStrm10</v>
      </c>
      <c r="C20" s="50" t="s">
        <v>263</v>
      </c>
      <c r="D20" s="604" t="s">
        <v>130</v>
      </c>
      <c r="E20" s="50" t="s">
        <v>54</v>
      </c>
      <c r="F20" s="606" t="str">
        <f>R.14LRAPADevName1</f>
        <v>Max Hueftle</v>
      </c>
      <c r="G20" s="543">
        <v>0</v>
      </c>
      <c r="H20" s="544">
        <f>Table3[[#This Row],[Hrs Rank]]</f>
        <v>0</v>
      </c>
      <c r="I20" s="534">
        <v>1</v>
      </c>
      <c r="J20" s="534">
        <v>1</v>
      </c>
      <c r="K20" s="609"/>
      <c r="L20" s="609"/>
      <c r="M20" s="547" t="s">
        <v>225</v>
      </c>
      <c r="N20" s="547" t="s">
        <v>225</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LRStrm10</v>
      </c>
      <c r="C21" s="50" t="s">
        <v>263</v>
      </c>
      <c r="D21" s="604" t="s">
        <v>130</v>
      </c>
      <c r="E21" s="50" t="s">
        <v>54</v>
      </c>
      <c r="F21" s="606" t="str">
        <f>R.14LRAPADevName2</f>
        <v>Robbye Lanier</v>
      </c>
      <c r="G21" s="543">
        <f>R.14LRAPADevHrs1</f>
        <v>0</v>
      </c>
      <c r="H21" s="544">
        <f>Table3[[#This Row],[Hrs Rank]]</f>
        <v>0</v>
      </c>
      <c r="I21" s="534">
        <v>1</v>
      </c>
      <c r="J21" s="534">
        <v>1</v>
      </c>
      <c r="K21" s="609"/>
      <c r="L21" s="609"/>
      <c r="M21" s="547" t="s">
        <v>225</v>
      </c>
      <c r="N21" s="547" t="s">
        <v>225</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LRStrm10</v>
      </c>
      <c r="C22" s="50" t="s">
        <v>253</v>
      </c>
      <c r="D22" s="604" t="str">
        <f>R.3CustomRole1</f>
        <v>Custom Role 1</v>
      </c>
      <c r="E22" s="50" t="s">
        <v>54</v>
      </c>
      <c r="F22" s="605" t="str">
        <f>R.3CustomName1</f>
        <v>CR1 name</v>
      </c>
      <c r="G22" s="543">
        <f>R.3CustomHrs1</f>
        <v>0</v>
      </c>
      <c r="H22" s="544">
        <f>Table3[[#This Row],[Hrs Rank]]</f>
        <v>0</v>
      </c>
      <c r="I22" s="534">
        <f t="shared" ref="I22:I85" si="2">IF(ISNA(VLOOKUP($H22,R.VL_DEQResourceHours,2,FALSE)),0,VLOOKUP($H22,R.VL_DEQResourceHours,2,FALSE))</f>
        <v>0</v>
      </c>
      <c r="J22" s="534">
        <f t="shared" ref="J22:J85" si="3">IF(ISNA(VLOOKUP($H22,R.VL_DEQResourceHours,3,FALSE)),0,VLOOKUP($H22,R.VL_DEQResourceHours,3,FALSE))</f>
        <v>0</v>
      </c>
      <c r="K22" s="546"/>
      <c r="L22" s="546"/>
      <c r="M22" s="547" t="s">
        <v>225</v>
      </c>
      <c r="N22" s="547" t="s">
        <v>225</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LRStrm10</v>
      </c>
      <c r="C23" s="50" t="s">
        <v>253</v>
      </c>
      <c r="D23" s="604" t="str">
        <f>R.3CustomRole2</f>
        <v>Custom Role 2</v>
      </c>
      <c r="E23" s="50" t="s">
        <v>54</v>
      </c>
      <c r="F23" s="605" t="str">
        <f>R.3CustomName2</f>
        <v>Cr2 name</v>
      </c>
      <c r="G23" s="543">
        <f>R.3CustomHrs2</f>
        <v>0</v>
      </c>
      <c r="H23" s="544">
        <f>Table3[[#This Row],[Hrs Rank]]</f>
        <v>0</v>
      </c>
      <c r="I23" s="534">
        <f t="shared" si="2"/>
        <v>0</v>
      </c>
      <c r="J23" s="534">
        <f t="shared" si="3"/>
        <v>0</v>
      </c>
      <c r="K23" s="546"/>
      <c r="L23" s="546"/>
      <c r="M23" s="547" t="s">
        <v>225</v>
      </c>
      <c r="N23" s="547" t="s">
        <v>225</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LRStrm10</v>
      </c>
      <c r="C24" s="50" t="s">
        <v>203</v>
      </c>
      <c r="D24" s="604" t="str">
        <f>R.4CustomRole1</f>
        <v>Custom Role 1</v>
      </c>
      <c r="E24" s="50" t="s">
        <v>54</v>
      </c>
      <c r="F24" s="605" t="str">
        <f>R.4CustomRole2</f>
        <v>Custom Role 2</v>
      </c>
      <c r="G24" s="543">
        <f>R.4CustomHrs1</f>
        <v>0</v>
      </c>
      <c r="H24" s="544">
        <f>Table3[[#This Row],[Hrs Rank]]</f>
        <v>0</v>
      </c>
      <c r="I24" s="534">
        <f t="shared" si="2"/>
        <v>0</v>
      </c>
      <c r="J24" s="534">
        <f t="shared" si="3"/>
        <v>0</v>
      </c>
      <c r="K24" s="546"/>
      <c r="L24" s="546"/>
      <c r="M24" s="547" t="s">
        <v>225</v>
      </c>
      <c r="N24" s="547" t="s">
        <v>225</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LRStrm10</v>
      </c>
      <c r="C25" s="50" t="s">
        <v>203</v>
      </c>
      <c r="D25" s="604" t="str">
        <f>R.4CustomRole2</f>
        <v>Custom Role 2</v>
      </c>
      <c r="E25" s="50" t="s">
        <v>54</v>
      </c>
      <c r="F25" s="605" t="str">
        <f>R.4CustomRole1</f>
        <v>Custom Role 1</v>
      </c>
      <c r="G25" s="543">
        <f>R.4CustomHrs2</f>
        <v>0</v>
      </c>
      <c r="H25" s="544">
        <f>Table3[[#This Row],[Hrs Rank]]</f>
        <v>0</v>
      </c>
      <c r="I25" s="534">
        <f t="shared" si="2"/>
        <v>0</v>
      </c>
      <c r="J25" s="534">
        <f t="shared" si="3"/>
        <v>0</v>
      </c>
      <c r="K25" s="546"/>
      <c r="L25" s="546"/>
      <c r="M25" s="547" t="s">
        <v>225</v>
      </c>
      <c r="N25" s="547" t="s">
        <v>225</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LRStrm10</v>
      </c>
      <c r="C26" s="50" t="s">
        <v>254</v>
      </c>
      <c r="D26" s="604" t="s">
        <v>183</v>
      </c>
      <c r="E26" s="50" t="s">
        <v>54</v>
      </c>
      <c r="F26" s="605" t="str">
        <f>R.5EQCName2</f>
        <v>Bill Blosser</v>
      </c>
      <c r="G26" s="543">
        <f>R.5EQCHrs2</f>
        <v>0</v>
      </c>
      <c r="H26" s="544">
        <f>Table3[[#This Row],[Hrs Rank]]</f>
        <v>0</v>
      </c>
      <c r="I26" s="534">
        <f t="shared" si="2"/>
        <v>0</v>
      </c>
      <c r="J26" s="534">
        <f t="shared" si="3"/>
        <v>0</v>
      </c>
      <c r="K26" s="546"/>
      <c r="L26" s="546"/>
      <c r="M26" s="547" t="s">
        <v>225</v>
      </c>
      <c r="N26" s="547" t="s">
        <v>225</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LRStrm10</v>
      </c>
      <c r="C27" s="50" t="s">
        <v>254</v>
      </c>
      <c r="D27" s="532" t="s">
        <v>184</v>
      </c>
      <c r="E27" s="50" t="s">
        <v>54</v>
      </c>
      <c r="F27" s="605" t="str">
        <f>R.5EQCName3</f>
        <v>Jane O'Keeffe</v>
      </c>
      <c r="G27" s="543">
        <f>R.5EQCHrs3</f>
        <v>0</v>
      </c>
      <c r="H27" s="544">
        <f>Table3[[#This Row],[Hrs Rank]]</f>
        <v>0</v>
      </c>
      <c r="I27" s="534">
        <f t="shared" si="2"/>
        <v>0</v>
      </c>
      <c r="J27" s="534">
        <f t="shared" si="3"/>
        <v>0</v>
      </c>
      <c r="K27" s="546"/>
      <c r="L27" s="546"/>
      <c r="M27" s="547" t="s">
        <v>225</v>
      </c>
      <c r="N27" s="547" t="s">
        <v>225</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LRStrm10</v>
      </c>
      <c r="C28" s="50" t="s">
        <v>254</v>
      </c>
      <c r="D28" s="532" t="s">
        <v>189</v>
      </c>
      <c r="E28" s="50" t="s">
        <v>54</v>
      </c>
      <c r="F28" s="605" t="str">
        <f>R.5EQCName4</f>
        <v>Ed Armstrong</v>
      </c>
      <c r="G28" s="543">
        <f>R.5EQCHrs4</f>
        <v>0</v>
      </c>
      <c r="H28" s="544">
        <f>Table3[[#This Row],[Hrs Rank]]</f>
        <v>0</v>
      </c>
      <c r="I28" s="534">
        <f t="shared" si="2"/>
        <v>0</v>
      </c>
      <c r="J28" s="534">
        <f t="shared" si="3"/>
        <v>0</v>
      </c>
      <c r="K28" s="546"/>
      <c r="L28" s="546"/>
      <c r="M28" s="547" t="s">
        <v>225</v>
      </c>
      <c r="N28" s="547" t="s">
        <v>225</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LRStrm10</v>
      </c>
      <c r="C29" s="50" t="s">
        <v>254</v>
      </c>
      <c r="D29" s="532" t="s">
        <v>189</v>
      </c>
      <c r="E29" s="50" t="s">
        <v>54</v>
      </c>
      <c r="F29" s="605" t="str">
        <f>R.5EQCName5</f>
        <v>Morgan Rider</v>
      </c>
      <c r="G29" s="543">
        <f>R.5EQCHrs5</f>
        <v>0</v>
      </c>
      <c r="H29" s="544">
        <f>Table3[[#This Row],[Hrs Rank]]</f>
        <v>0</v>
      </c>
      <c r="I29" s="534">
        <f t="shared" si="2"/>
        <v>0</v>
      </c>
      <c r="J29" s="534">
        <f t="shared" si="3"/>
        <v>0</v>
      </c>
      <c r="K29" s="546"/>
      <c r="L29" s="546"/>
      <c r="M29" s="547" t="s">
        <v>225</v>
      </c>
      <c r="N29" s="547" t="s">
        <v>225</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LRStrm10</v>
      </c>
      <c r="C30" s="50" t="s">
        <v>254</v>
      </c>
      <c r="D30" s="532" t="s">
        <v>189</v>
      </c>
      <c r="E30" s="50" t="s">
        <v>54</v>
      </c>
      <c r="F30" s="605" t="str">
        <f>R.5EQCName6</f>
        <v>Pending appointment</v>
      </c>
      <c r="G30" s="543">
        <f>R.5EQCHrs6</f>
        <v>0</v>
      </c>
      <c r="H30" s="544">
        <f>Table3[[#This Row],[Hrs Rank]]</f>
        <v>0</v>
      </c>
      <c r="I30" s="534">
        <f t="shared" si="2"/>
        <v>0</v>
      </c>
      <c r="J30" s="534">
        <f t="shared" si="3"/>
        <v>0</v>
      </c>
      <c r="K30" s="546"/>
      <c r="L30" s="546"/>
      <c r="M30" s="547" t="s">
        <v>225</v>
      </c>
      <c r="N30" s="547" t="s">
        <v>225</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LRStrm10</v>
      </c>
      <c r="C31" s="50" t="s">
        <v>254</v>
      </c>
      <c r="D31" s="606" t="s">
        <v>267</v>
      </c>
      <c r="E31" s="50" t="s">
        <v>54</v>
      </c>
      <c r="F31" s="606" t="str">
        <f>R.5InterestedStaffNameA</f>
        <v xml:space="preserve"> </v>
      </c>
      <c r="G31" s="543">
        <f>R.5InterestedStaffHrsA</f>
        <v>0</v>
      </c>
      <c r="H31" s="544">
        <f>Table3[[#This Row],[Hrs Rank]]</f>
        <v>0</v>
      </c>
      <c r="I31" s="534">
        <f t="shared" si="2"/>
        <v>0</v>
      </c>
      <c r="J31" s="534">
        <f t="shared" si="3"/>
        <v>0</v>
      </c>
      <c r="K31" s="546"/>
      <c r="L31" s="546"/>
      <c r="M31" s="547" t="s">
        <v>225</v>
      </c>
      <c r="N31" s="547" t="s">
        <v>225</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LRStrm10</v>
      </c>
      <c r="C32" s="50" t="s">
        <v>254</v>
      </c>
      <c r="D32" s="606" t="s">
        <v>267</v>
      </c>
      <c r="E32" s="50" t="s">
        <v>54</v>
      </c>
      <c r="F32" s="606">
        <f>R.5InterestedStaffNameB</f>
        <v>0</v>
      </c>
      <c r="G32" s="543">
        <f>R.5InterestedStaffHrsB</f>
        <v>0</v>
      </c>
      <c r="H32" s="544">
        <f>Table3[[#This Row],[Hrs Rank]]</f>
        <v>0</v>
      </c>
      <c r="I32" s="534">
        <f t="shared" si="2"/>
        <v>0</v>
      </c>
      <c r="J32" s="534">
        <f t="shared" si="3"/>
        <v>0</v>
      </c>
      <c r="K32" s="546"/>
      <c r="L32" s="546"/>
      <c r="M32" s="547" t="s">
        <v>225</v>
      </c>
      <c r="N32" s="547" t="s">
        <v>225</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LRStrm10</v>
      </c>
      <c r="C33" s="50" t="s">
        <v>254</v>
      </c>
      <c r="D33" s="606" t="s">
        <v>267</v>
      </c>
      <c r="E33" s="50" t="s">
        <v>54</v>
      </c>
      <c r="F33" s="606" t="str">
        <f>R.5InterestedStaffNameC</f>
        <v xml:space="preserve"> </v>
      </c>
      <c r="G33" s="543">
        <f>R.5InterestedStaffHrsC</f>
        <v>0</v>
      </c>
      <c r="H33" s="544">
        <f>Table3[[#This Row],[Hrs Rank]]</f>
        <v>0</v>
      </c>
      <c r="I33" s="534">
        <f t="shared" si="2"/>
        <v>0</v>
      </c>
      <c r="J33" s="534">
        <f t="shared" si="3"/>
        <v>0</v>
      </c>
      <c r="K33" s="546"/>
      <c r="L33" s="546"/>
      <c r="M33" s="547" t="s">
        <v>225</v>
      </c>
      <c r="N33" s="547" t="s">
        <v>225</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LRStrm10</v>
      </c>
      <c r="C34" s="50" t="s">
        <v>254</v>
      </c>
      <c r="D34" s="606" t="s">
        <v>267</v>
      </c>
      <c r="E34" s="50" t="s">
        <v>54</v>
      </c>
      <c r="F34" s="606" t="str">
        <f>R.5InterestedStaffNameD</f>
        <v xml:space="preserve"> </v>
      </c>
      <c r="G34" s="543">
        <f>R.5InterestedStaffHrsD</f>
        <v>0</v>
      </c>
      <c r="H34" s="544">
        <f>Table3[[#This Row],[Hrs Rank]]</f>
        <v>0</v>
      </c>
      <c r="I34" s="534">
        <f t="shared" si="2"/>
        <v>0</v>
      </c>
      <c r="J34" s="534">
        <f t="shared" si="3"/>
        <v>0</v>
      </c>
      <c r="K34" s="546"/>
      <c r="L34" s="546"/>
      <c r="M34" s="547" t="s">
        <v>225</v>
      </c>
      <c r="N34" s="547" t="s">
        <v>225</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si="0"/>
        <v>AQ</v>
      </c>
      <c r="B35" s="50" t="str">
        <f t="shared" si="1"/>
        <v>LRStrm10</v>
      </c>
      <c r="C35" s="50" t="s">
        <v>255</v>
      </c>
      <c r="D35" s="532" t="s">
        <v>125</v>
      </c>
      <c r="E35" s="50" t="s">
        <v>54</v>
      </c>
      <c r="F35" s="605">
        <f>R.6LQDevName1</f>
        <v>0</v>
      </c>
      <c r="G35" s="543">
        <f>R.6LQDevHrs1</f>
        <v>0</v>
      </c>
      <c r="H35" s="544">
        <f>Table3[[#This Row],[Hrs Rank]]</f>
        <v>0</v>
      </c>
      <c r="I35" s="534">
        <f t="shared" si="2"/>
        <v>0</v>
      </c>
      <c r="J35" s="534">
        <f t="shared" si="3"/>
        <v>0</v>
      </c>
      <c r="K35" s="546"/>
      <c r="L35" s="546"/>
      <c r="M35" s="547" t="s">
        <v>225</v>
      </c>
      <c r="N35" s="547" t="s">
        <v>225</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0"/>
        <v>AQ</v>
      </c>
      <c r="B36" s="50" t="str">
        <f t="shared" si="1"/>
        <v>LRStrm10</v>
      </c>
      <c r="C36" s="50" t="s">
        <v>255</v>
      </c>
      <c r="D36" s="532" t="s">
        <v>125</v>
      </c>
      <c r="E36" s="50" t="s">
        <v>54</v>
      </c>
      <c r="F36" s="605" t="str">
        <f>R.6LQDevName2</f>
        <v xml:space="preserve"> </v>
      </c>
      <c r="G36" s="543">
        <f>R.6LQDevHrs2</f>
        <v>0</v>
      </c>
      <c r="H36" s="544">
        <f>Table3[[#This Row],[Hrs Rank]]</f>
        <v>0</v>
      </c>
      <c r="I36" s="534">
        <f t="shared" si="2"/>
        <v>0</v>
      </c>
      <c r="J36" s="534">
        <f t="shared" si="3"/>
        <v>0</v>
      </c>
      <c r="K36" s="546"/>
      <c r="L36" s="546"/>
      <c r="M36" s="547" t="s">
        <v>225</v>
      </c>
      <c r="N36" s="547" t="s">
        <v>225</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0"/>
        <v>AQ</v>
      </c>
      <c r="B37" s="50" t="str">
        <f t="shared" si="1"/>
        <v>LRStrm10</v>
      </c>
      <c r="C37" s="50" t="s">
        <v>255</v>
      </c>
      <c r="D37" s="532" t="s">
        <v>125</v>
      </c>
      <c r="E37" s="50" t="s">
        <v>54</v>
      </c>
      <c r="F37" s="605" t="str">
        <f>R.6LQDevName3</f>
        <v xml:space="preserve"> </v>
      </c>
      <c r="G37" s="543">
        <f>R.6LQDevHrs3</f>
        <v>0</v>
      </c>
      <c r="H37" s="544">
        <f>Table3[[#This Row],[Hrs Rank]]</f>
        <v>0</v>
      </c>
      <c r="I37" s="534">
        <f t="shared" si="2"/>
        <v>0</v>
      </c>
      <c r="J37" s="534">
        <f t="shared" si="3"/>
        <v>0</v>
      </c>
      <c r="K37" s="546"/>
      <c r="L37" s="546"/>
      <c r="M37" s="547" t="s">
        <v>225</v>
      </c>
      <c r="N37" s="547" t="s">
        <v>225</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0"/>
        <v>AQ</v>
      </c>
      <c r="B38" s="50" t="str">
        <f t="shared" si="1"/>
        <v>LRStrm10</v>
      </c>
      <c r="C38" s="50" t="s">
        <v>255</v>
      </c>
      <c r="D38" s="532" t="s">
        <v>125</v>
      </c>
      <c r="E38" s="50" t="s">
        <v>54</v>
      </c>
      <c r="F38" s="605" t="str">
        <f>R.6LQDevName4</f>
        <v xml:space="preserve"> </v>
      </c>
      <c r="G38" s="543">
        <f>R.6LQDevHrs4</f>
        <v>0</v>
      </c>
      <c r="H38" s="544">
        <f>Table3[[#This Row],[Hrs Rank]]</f>
        <v>0</v>
      </c>
      <c r="I38" s="534">
        <f t="shared" si="2"/>
        <v>0</v>
      </c>
      <c r="J38" s="534">
        <f t="shared" si="3"/>
        <v>0</v>
      </c>
      <c r="K38" s="546"/>
      <c r="L38" s="546"/>
      <c r="M38" s="547" t="s">
        <v>225</v>
      </c>
      <c r="N38" s="547" t="s">
        <v>225</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0"/>
        <v>AQ</v>
      </c>
      <c r="B39" s="50" t="str">
        <f t="shared" si="1"/>
        <v>LRStrm10</v>
      </c>
      <c r="C39" s="50" t="s">
        <v>255</v>
      </c>
      <c r="D39" s="532" t="s">
        <v>125</v>
      </c>
      <c r="E39" s="50" t="s">
        <v>53</v>
      </c>
      <c r="F39" s="605" t="str">
        <f>R.6LQImpName1</f>
        <v xml:space="preserve"> </v>
      </c>
      <c r="G39" s="543">
        <f>R.6LQImpHrs1</f>
        <v>0</v>
      </c>
      <c r="H39" s="544">
        <f>Table3[[#This Row],[Hrs Rank]]</f>
        <v>0</v>
      </c>
      <c r="I39" s="534">
        <f t="shared" si="2"/>
        <v>0</v>
      </c>
      <c r="J39" s="534">
        <f t="shared" si="3"/>
        <v>0</v>
      </c>
      <c r="K39" s="546"/>
      <c r="L39" s="546"/>
      <c r="M39" s="547" t="s">
        <v>225</v>
      </c>
      <c r="N39" s="547" t="s">
        <v>225</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0"/>
        <v>AQ</v>
      </c>
      <c r="B40" s="50" t="str">
        <f t="shared" si="1"/>
        <v>LRStrm10</v>
      </c>
      <c r="C40" s="50" t="s">
        <v>255</v>
      </c>
      <c r="D40" s="532" t="s">
        <v>125</v>
      </c>
      <c r="E40" s="50" t="s">
        <v>53</v>
      </c>
      <c r="F40" s="605" t="str">
        <f>R.6LQImpName2</f>
        <v xml:space="preserve"> </v>
      </c>
      <c r="G40" s="543">
        <f>R.6LQImpHrs2</f>
        <v>0</v>
      </c>
      <c r="H40" s="544">
        <f>Table3[[#This Row],[Hrs Rank]]</f>
        <v>0</v>
      </c>
      <c r="I40" s="534">
        <f t="shared" si="2"/>
        <v>0</v>
      </c>
      <c r="J40" s="534">
        <f t="shared" si="3"/>
        <v>0</v>
      </c>
      <c r="K40" s="546"/>
      <c r="L40" s="546"/>
      <c r="M40" s="547" t="s">
        <v>225</v>
      </c>
      <c r="N40" s="547" t="s">
        <v>225</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0"/>
        <v>AQ</v>
      </c>
      <c r="B41" s="50" t="str">
        <f t="shared" si="1"/>
        <v>LRStrm10</v>
      </c>
      <c r="C41" s="50" t="s">
        <v>255</v>
      </c>
      <c r="D41" s="532" t="s">
        <v>125</v>
      </c>
      <c r="E41" s="50" t="s">
        <v>53</v>
      </c>
      <c r="F41" s="605" t="str">
        <f>R.6LQImpName3</f>
        <v xml:space="preserve"> </v>
      </c>
      <c r="G41" s="543">
        <f>R.6LQImpHrs3</f>
        <v>0</v>
      </c>
      <c r="H41" s="544">
        <f>Table3[[#This Row],[Hrs Rank]]</f>
        <v>0</v>
      </c>
      <c r="I41" s="534">
        <f t="shared" si="2"/>
        <v>0</v>
      </c>
      <c r="J41" s="534">
        <f t="shared" si="3"/>
        <v>0</v>
      </c>
      <c r="K41" s="546"/>
      <c r="L41" s="546"/>
      <c r="M41" s="547" t="s">
        <v>225</v>
      </c>
      <c r="N41" s="547" t="s">
        <v>225</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0"/>
        <v>AQ</v>
      </c>
      <c r="B42" s="50" t="str">
        <f t="shared" si="1"/>
        <v>LRStrm10</v>
      </c>
      <c r="C42" s="50" t="s">
        <v>255</v>
      </c>
      <c r="D42" s="532" t="s">
        <v>125</v>
      </c>
      <c r="E42" s="50" t="s">
        <v>53</v>
      </c>
      <c r="F42" s="605" t="str">
        <f>R.6LQImpName4</f>
        <v xml:space="preserve"> </v>
      </c>
      <c r="G42" s="543">
        <f>R.6LQImpHrs4</f>
        <v>0</v>
      </c>
      <c r="H42" s="544">
        <f>Table3[[#This Row],[Hrs Rank]]</f>
        <v>0</v>
      </c>
      <c r="I42" s="534">
        <f t="shared" si="2"/>
        <v>0</v>
      </c>
      <c r="J42" s="534">
        <f t="shared" si="3"/>
        <v>0</v>
      </c>
      <c r="K42" s="546"/>
      <c r="L42" s="546"/>
      <c r="M42" s="547" t="s">
        <v>225</v>
      </c>
      <c r="N42" s="547" t="s">
        <v>225</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0"/>
        <v>AQ</v>
      </c>
      <c r="B43" s="50" t="str">
        <f t="shared" si="1"/>
        <v>LRStrm10</v>
      </c>
      <c r="C43" s="50" t="s">
        <v>255</v>
      </c>
      <c r="D43" s="532" t="s">
        <v>126</v>
      </c>
      <c r="E43" s="50" t="s">
        <v>54</v>
      </c>
      <c r="F43" s="535">
        <f>R.6WQDevName1</f>
        <v>0</v>
      </c>
      <c r="G43" s="543">
        <f>R.6WQDevHrs1</f>
        <v>0</v>
      </c>
      <c r="H43" s="544">
        <f>Table3[[#This Row],[Hrs Rank]]</f>
        <v>0</v>
      </c>
      <c r="I43" s="534">
        <f t="shared" si="2"/>
        <v>0</v>
      </c>
      <c r="J43" s="534">
        <f t="shared" si="3"/>
        <v>0</v>
      </c>
      <c r="K43" s="546"/>
      <c r="L43" s="546"/>
      <c r="M43" s="547" t="s">
        <v>225</v>
      </c>
      <c r="N43" s="547" t="s">
        <v>225</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0"/>
        <v>AQ</v>
      </c>
      <c r="B44" s="50" t="str">
        <f t="shared" si="1"/>
        <v>LRStrm10</v>
      </c>
      <c r="C44" s="50" t="s">
        <v>255</v>
      </c>
      <c r="D44" s="532" t="s">
        <v>126</v>
      </c>
      <c r="E44" s="50" t="s">
        <v>54</v>
      </c>
      <c r="F44" s="535">
        <f>R.6WQDevName2</f>
        <v>0</v>
      </c>
      <c r="G44" s="543">
        <f>R.6WQDevHrs2</f>
        <v>0</v>
      </c>
      <c r="H44" s="544">
        <f>Table3[[#This Row],[Hrs Rank]]</f>
        <v>0</v>
      </c>
      <c r="I44" s="534">
        <f t="shared" si="2"/>
        <v>0</v>
      </c>
      <c r="J44" s="534">
        <f t="shared" si="3"/>
        <v>0</v>
      </c>
      <c r="K44" s="546"/>
      <c r="L44" s="546"/>
      <c r="M44" s="547" t="s">
        <v>225</v>
      </c>
      <c r="N44" s="547" t="s">
        <v>225</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0"/>
        <v>AQ</v>
      </c>
      <c r="B45" s="50" t="str">
        <f t="shared" si="1"/>
        <v>LRStrm10</v>
      </c>
      <c r="C45" s="50" t="s">
        <v>255</v>
      </c>
      <c r="D45" s="532" t="s">
        <v>126</v>
      </c>
      <c r="E45" s="50" t="s">
        <v>54</v>
      </c>
      <c r="F45" s="535">
        <f>R.6WQDevName3</f>
        <v>0</v>
      </c>
      <c r="G45" s="543">
        <f>R.6WQDevHrs3</f>
        <v>0</v>
      </c>
      <c r="H45" s="544">
        <f>Table3[[#This Row],[Hrs Rank]]</f>
        <v>0</v>
      </c>
      <c r="I45" s="534">
        <f t="shared" si="2"/>
        <v>0</v>
      </c>
      <c r="J45" s="534">
        <f t="shared" si="3"/>
        <v>0</v>
      </c>
      <c r="K45" s="546"/>
      <c r="L45" s="546"/>
      <c r="M45" s="547" t="s">
        <v>225</v>
      </c>
      <c r="N45" s="547" t="s">
        <v>225</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0"/>
        <v>AQ</v>
      </c>
      <c r="B46" s="50" t="str">
        <f t="shared" si="1"/>
        <v>LRStrm10</v>
      </c>
      <c r="C46" s="50" t="s">
        <v>255</v>
      </c>
      <c r="D46" s="532" t="s">
        <v>126</v>
      </c>
      <c r="E46" s="50" t="s">
        <v>54</v>
      </c>
      <c r="F46" s="535">
        <f>R.6WQDevName4</f>
        <v>0</v>
      </c>
      <c r="G46" s="543">
        <f>R.6WQDevHrs4</f>
        <v>0</v>
      </c>
      <c r="H46" s="544">
        <f>Table3[[#This Row],[Hrs Rank]]</f>
        <v>0</v>
      </c>
      <c r="I46" s="534">
        <f t="shared" si="2"/>
        <v>0</v>
      </c>
      <c r="J46" s="534">
        <f t="shared" si="3"/>
        <v>0</v>
      </c>
      <c r="K46" s="546"/>
      <c r="L46" s="546"/>
      <c r="M46" s="547" t="s">
        <v>225</v>
      </c>
      <c r="N46" s="547" t="s">
        <v>225</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0"/>
        <v>AQ</v>
      </c>
      <c r="B47" s="50" t="str">
        <f t="shared" si="1"/>
        <v>LRStrm10</v>
      </c>
      <c r="C47" s="50" t="s">
        <v>255</v>
      </c>
      <c r="D47" s="532" t="s">
        <v>126</v>
      </c>
      <c r="E47" s="50" t="s">
        <v>53</v>
      </c>
      <c r="F47" s="535" t="str">
        <f>R.6WQImpName1</f>
        <v xml:space="preserve"> </v>
      </c>
      <c r="G47" s="543">
        <f>R.6WQImpHrs1</f>
        <v>0</v>
      </c>
      <c r="H47" s="544">
        <f>Table3[[#This Row],[Hrs Rank]]</f>
        <v>0</v>
      </c>
      <c r="I47" s="534">
        <f t="shared" si="2"/>
        <v>0</v>
      </c>
      <c r="J47" s="534">
        <f t="shared" si="3"/>
        <v>0</v>
      </c>
      <c r="K47" s="546"/>
      <c r="L47" s="546"/>
      <c r="M47" s="547" t="s">
        <v>225</v>
      </c>
      <c r="N47" s="547" t="s">
        <v>225</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0"/>
        <v>AQ</v>
      </c>
      <c r="B48" s="50" t="str">
        <f t="shared" si="1"/>
        <v>LRStrm10</v>
      </c>
      <c r="C48" s="50" t="s">
        <v>255</v>
      </c>
      <c r="D48" s="532" t="s">
        <v>126</v>
      </c>
      <c r="E48" s="50" t="s">
        <v>53</v>
      </c>
      <c r="F48" s="535" t="str">
        <f>R.6WQImpName2</f>
        <v xml:space="preserve"> </v>
      </c>
      <c r="G48" s="543">
        <f>R.6WQImpHrs2</f>
        <v>0</v>
      </c>
      <c r="H48" s="544">
        <f>Table3[[#This Row],[Hrs Rank]]</f>
        <v>0</v>
      </c>
      <c r="I48" s="534">
        <f t="shared" si="2"/>
        <v>0</v>
      </c>
      <c r="J48" s="534">
        <f t="shared" si="3"/>
        <v>0</v>
      </c>
      <c r="K48" s="546"/>
      <c r="L48" s="546"/>
      <c r="M48" s="547" t="s">
        <v>225</v>
      </c>
      <c r="N48" s="547" t="s">
        <v>225</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0"/>
        <v>AQ</v>
      </c>
      <c r="B49" s="50" t="str">
        <f t="shared" si="1"/>
        <v>LRStrm10</v>
      </c>
      <c r="C49" s="50" t="s">
        <v>255</v>
      </c>
      <c r="D49" s="532" t="s">
        <v>126</v>
      </c>
      <c r="E49" s="50" t="s">
        <v>53</v>
      </c>
      <c r="F49" s="535" t="str">
        <f>R.6WQImpName3</f>
        <v xml:space="preserve"> </v>
      </c>
      <c r="G49" s="543">
        <f>R.6WQImpHrs3</f>
        <v>0</v>
      </c>
      <c r="H49" s="544">
        <f>Table3[[#This Row],[Hrs Rank]]</f>
        <v>0</v>
      </c>
      <c r="I49" s="534">
        <f t="shared" si="2"/>
        <v>0</v>
      </c>
      <c r="J49" s="534">
        <f t="shared" si="3"/>
        <v>0</v>
      </c>
      <c r="K49" s="546"/>
      <c r="L49" s="546"/>
      <c r="M49" s="547" t="s">
        <v>225</v>
      </c>
      <c r="N49" s="547" t="s">
        <v>225</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0"/>
        <v>AQ</v>
      </c>
      <c r="B50" s="50" t="str">
        <f t="shared" si="1"/>
        <v>LRStrm10</v>
      </c>
      <c r="C50" s="50" t="s">
        <v>255</v>
      </c>
      <c r="D50" s="532" t="s">
        <v>126</v>
      </c>
      <c r="E50" s="50" t="s">
        <v>53</v>
      </c>
      <c r="F50" s="535" t="str">
        <f>R.6WQImpName4</f>
        <v xml:space="preserve"> </v>
      </c>
      <c r="G50" s="543">
        <f>R.6WQImpHrs4</f>
        <v>0</v>
      </c>
      <c r="H50" s="544">
        <f>Table3[[#This Row],[Hrs Rank]]</f>
        <v>0</v>
      </c>
      <c r="I50" s="534">
        <f t="shared" si="2"/>
        <v>0</v>
      </c>
      <c r="J50" s="534">
        <f t="shared" si="3"/>
        <v>0</v>
      </c>
      <c r="K50" s="546"/>
      <c r="L50" s="546"/>
      <c r="M50" s="547" t="s">
        <v>225</v>
      </c>
      <c r="N50" s="547" t="s">
        <v>225</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0"/>
        <v>AQ</v>
      </c>
      <c r="B51" s="50" t="str">
        <f t="shared" si="1"/>
        <v>LRStrm10</v>
      </c>
      <c r="C51" s="50" t="s">
        <v>255</v>
      </c>
      <c r="D51" s="532" t="s">
        <v>127</v>
      </c>
      <c r="E51" s="50" t="s">
        <v>54</v>
      </c>
      <c r="F51" s="535" t="str">
        <f>R.6AQDevName1</f>
        <v xml:space="preserve"> </v>
      </c>
      <c r="G51" s="543">
        <f>R.6AQDevHrs1</f>
        <v>0</v>
      </c>
      <c r="H51" s="544">
        <f>Table3[[#This Row],[Hrs Rank]]</f>
        <v>0</v>
      </c>
      <c r="I51" s="534">
        <f t="shared" si="2"/>
        <v>0</v>
      </c>
      <c r="J51" s="534">
        <f t="shared" si="3"/>
        <v>0</v>
      </c>
      <c r="K51" s="546"/>
      <c r="L51" s="546"/>
      <c r="M51" s="547" t="s">
        <v>225</v>
      </c>
      <c r="N51" s="547" t="s">
        <v>225</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0"/>
        <v>AQ</v>
      </c>
      <c r="B52" s="50" t="str">
        <f t="shared" si="1"/>
        <v>LRStrm10</v>
      </c>
      <c r="C52" s="50" t="s">
        <v>255</v>
      </c>
      <c r="D52" s="532" t="s">
        <v>127</v>
      </c>
      <c r="E52" s="50" t="s">
        <v>54</v>
      </c>
      <c r="F52" s="535" t="str">
        <f>R.6AQDevName2</f>
        <v xml:space="preserve"> </v>
      </c>
      <c r="G52" s="543">
        <f>R.6AQDevHrs2</f>
        <v>0</v>
      </c>
      <c r="H52" s="544">
        <f>Table3[[#This Row],[Hrs Rank]]</f>
        <v>0</v>
      </c>
      <c r="I52" s="534">
        <f t="shared" si="2"/>
        <v>0</v>
      </c>
      <c r="J52" s="534">
        <f t="shared" si="3"/>
        <v>0</v>
      </c>
      <c r="K52" s="546"/>
      <c r="L52" s="546"/>
      <c r="M52" s="547" t="s">
        <v>225</v>
      </c>
      <c r="N52" s="547" t="s">
        <v>225</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0"/>
        <v>AQ</v>
      </c>
      <c r="B53" s="50" t="str">
        <f t="shared" si="1"/>
        <v>LRStrm10</v>
      </c>
      <c r="C53" s="50" t="s">
        <v>255</v>
      </c>
      <c r="D53" s="532" t="s">
        <v>127</v>
      </c>
      <c r="E53" s="50" t="s">
        <v>54</v>
      </c>
      <c r="F53" s="535" t="str">
        <f>R.6AQDevName3</f>
        <v xml:space="preserve"> </v>
      </c>
      <c r="G53" s="543">
        <f>R.6AQDevHrs3</f>
        <v>0</v>
      </c>
      <c r="H53" s="544">
        <f>Table3[[#This Row],[Hrs Rank]]</f>
        <v>0</v>
      </c>
      <c r="I53" s="534">
        <f t="shared" si="2"/>
        <v>0</v>
      </c>
      <c r="J53" s="534">
        <f t="shared" si="3"/>
        <v>0</v>
      </c>
      <c r="K53" s="546"/>
      <c r="L53" s="546"/>
      <c r="M53" s="547" t="s">
        <v>225</v>
      </c>
      <c r="N53" s="547" t="s">
        <v>225</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0"/>
        <v>AQ</v>
      </c>
      <c r="B54" s="50" t="str">
        <f t="shared" si="1"/>
        <v>LRStrm10</v>
      </c>
      <c r="C54" s="50" t="s">
        <v>255</v>
      </c>
      <c r="D54" s="532" t="s">
        <v>127</v>
      </c>
      <c r="E54" s="50" t="s">
        <v>54</v>
      </c>
      <c r="F54" s="535">
        <f>R.6AQDevName4</f>
        <v>0</v>
      </c>
      <c r="G54" s="543">
        <f>R.6AQDevHrs4</f>
        <v>0</v>
      </c>
      <c r="H54" s="544">
        <f>Table3[[#This Row],[Hrs Rank]]</f>
        <v>0</v>
      </c>
      <c r="I54" s="534">
        <f t="shared" si="2"/>
        <v>0</v>
      </c>
      <c r="J54" s="534">
        <f t="shared" si="3"/>
        <v>0</v>
      </c>
      <c r="K54" s="546"/>
      <c r="L54" s="546"/>
      <c r="M54" s="547" t="s">
        <v>225</v>
      </c>
      <c r="N54" s="547" t="s">
        <v>225</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0"/>
        <v>AQ</v>
      </c>
      <c r="B55" s="50" t="str">
        <f t="shared" si="1"/>
        <v>LRStrm10</v>
      </c>
      <c r="C55" s="50" t="s">
        <v>255</v>
      </c>
      <c r="D55" s="532" t="s">
        <v>127</v>
      </c>
      <c r="E55" s="50" t="s">
        <v>53</v>
      </c>
      <c r="F55" s="535" t="str">
        <f>R.6AQImpName1</f>
        <v xml:space="preserve"> </v>
      </c>
      <c r="G55" s="543">
        <f>R.6AQImpHrs1</f>
        <v>0</v>
      </c>
      <c r="H55" s="544">
        <f>Table3[[#This Row],[Hrs Rank]]</f>
        <v>0</v>
      </c>
      <c r="I55" s="534">
        <f t="shared" si="2"/>
        <v>0</v>
      </c>
      <c r="J55" s="534">
        <f t="shared" si="3"/>
        <v>0</v>
      </c>
      <c r="K55" s="546"/>
      <c r="L55" s="546"/>
      <c r="M55" s="547" t="s">
        <v>225</v>
      </c>
      <c r="N55" s="547" t="s">
        <v>225</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0"/>
        <v>AQ</v>
      </c>
      <c r="B56" s="50" t="str">
        <f t="shared" si="1"/>
        <v>LRStrm10</v>
      </c>
      <c r="C56" s="50" t="s">
        <v>255</v>
      </c>
      <c r="D56" s="532" t="s">
        <v>127</v>
      </c>
      <c r="E56" s="50" t="s">
        <v>53</v>
      </c>
      <c r="F56" s="535" t="str">
        <f>R.6AQImpName2</f>
        <v xml:space="preserve"> </v>
      </c>
      <c r="G56" s="543">
        <f>R.6AQImpHrs2</f>
        <v>0</v>
      </c>
      <c r="H56" s="544">
        <f>Table3[[#This Row],[Hrs Rank]]</f>
        <v>0</v>
      </c>
      <c r="I56" s="534">
        <f t="shared" si="2"/>
        <v>0</v>
      </c>
      <c r="J56" s="534">
        <f t="shared" si="3"/>
        <v>0</v>
      </c>
      <c r="K56" s="546"/>
      <c r="L56" s="546"/>
      <c r="M56" s="547" t="s">
        <v>225</v>
      </c>
      <c r="N56" s="547" t="s">
        <v>225</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0"/>
        <v>AQ</v>
      </c>
      <c r="B57" s="50" t="str">
        <f t="shared" si="1"/>
        <v>LRStrm10</v>
      </c>
      <c r="C57" s="50" t="s">
        <v>255</v>
      </c>
      <c r="D57" s="532" t="s">
        <v>127</v>
      </c>
      <c r="E57" s="50" t="s">
        <v>53</v>
      </c>
      <c r="F57" s="535" t="str">
        <f>R.6AQImpName3</f>
        <v xml:space="preserve"> </v>
      </c>
      <c r="G57" s="543">
        <f>R.6AQImpHrs3</f>
        <v>0</v>
      </c>
      <c r="H57" s="544">
        <f>Table3[[#This Row],[Hrs Rank]]</f>
        <v>0</v>
      </c>
      <c r="I57" s="534">
        <f t="shared" si="2"/>
        <v>0</v>
      </c>
      <c r="J57" s="534">
        <f t="shared" si="3"/>
        <v>0</v>
      </c>
      <c r="K57" s="546"/>
      <c r="L57" s="546"/>
      <c r="M57" s="547" t="s">
        <v>225</v>
      </c>
      <c r="N57" s="547" t="s">
        <v>225</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0"/>
        <v>AQ</v>
      </c>
      <c r="B58" s="50" t="str">
        <f t="shared" si="1"/>
        <v>LRStrm10</v>
      </c>
      <c r="C58" s="50" t="s">
        <v>255</v>
      </c>
      <c r="D58" s="532" t="s">
        <v>127</v>
      </c>
      <c r="E58" s="50" t="s">
        <v>53</v>
      </c>
      <c r="F58" s="535" t="str">
        <f>R.6AQImpName4</f>
        <v xml:space="preserve"> </v>
      </c>
      <c r="G58" s="543">
        <f>R.6AQImpHrs4</f>
        <v>0</v>
      </c>
      <c r="H58" s="544">
        <f>Table3[[#This Row],[Hrs Rank]]</f>
        <v>0</v>
      </c>
      <c r="I58" s="534">
        <f t="shared" si="2"/>
        <v>0</v>
      </c>
      <c r="J58" s="534">
        <f t="shared" si="3"/>
        <v>0</v>
      </c>
      <c r="K58" s="546"/>
      <c r="L58" s="546"/>
      <c r="M58" s="547" t="s">
        <v>225</v>
      </c>
      <c r="N58" s="547" t="s">
        <v>225</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0"/>
        <v>AQ</v>
      </c>
      <c r="B59" s="50" t="str">
        <f t="shared" si="1"/>
        <v>LRStrm10</v>
      </c>
      <c r="C59" s="50" t="s">
        <v>255</v>
      </c>
      <c r="D59" s="532" t="s">
        <v>208</v>
      </c>
      <c r="E59" s="50" t="s">
        <v>54</v>
      </c>
      <c r="F59" s="535" t="str">
        <f>R.6MSDDevName1</f>
        <v xml:space="preserve"> </v>
      </c>
      <c r="G59" s="543">
        <f>R.6MSDDevHrs1</f>
        <v>0</v>
      </c>
      <c r="H59" s="544">
        <f>Table3[[#This Row],[Hrs Rank]]</f>
        <v>0</v>
      </c>
      <c r="I59" s="534">
        <f t="shared" si="2"/>
        <v>0</v>
      </c>
      <c r="J59" s="534">
        <f t="shared" si="3"/>
        <v>0</v>
      </c>
      <c r="K59" s="546"/>
      <c r="L59" s="546"/>
      <c r="M59" s="547" t="s">
        <v>225</v>
      </c>
      <c r="N59" s="547" t="s">
        <v>225</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0"/>
        <v>AQ</v>
      </c>
      <c r="B60" s="50" t="str">
        <f t="shared" si="1"/>
        <v>LRStrm10</v>
      </c>
      <c r="C60" s="50" t="s">
        <v>255</v>
      </c>
      <c r="D60" s="532" t="s">
        <v>208</v>
      </c>
      <c r="E60" s="50" t="s">
        <v>54</v>
      </c>
      <c r="F60" s="535" t="str">
        <f>R.6MSDDevName2</f>
        <v xml:space="preserve"> </v>
      </c>
      <c r="G60" s="543">
        <f>R.6MSDDevHrs2</f>
        <v>0</v>
      </c>
      <c r="H60" s="544">
        <f>Table3[[#This Row],[Hrs Rank]]</f>
        <v>0</v>
      </c>
      <c r="I60" s="534">
        <f t="shared" si="2"/>
        <v>0</v>
      </c>
      <c r="J60" s="534">
        <f t="shared" si="3"/>
        <v>0</v>
      </c>
      <c r="K60" s="546"/>
      <c r="L60" s="546"/>
      <c r="M60" s="547" t="s">
        <v>225</v>
      </c>
      <c r="N60" s="547" t="s">
        <v>225</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0"/>
        <v>AQ</v>
      </c>
      <c r="B61" s="50" t="str">
        <f t="shared" si="1"/>
        <v>LRStrm10</v>
      </c>
      <c r="C61" s="50" t="s">
        <v>255</v>
      </c>
      <c r="D61" s="532" t="s">
        <v>208</v>
      </c>
      <c r="E61" s="50" t="s">
        <v>54</v>
      </c>
      <c r="F61" s="535" t="str">
        <f>R.6MSDDevName3</f>
        <v xml:space="preserve"> </v>
      </c>
      <c r="G61" s="543">
        <f>R.6MSDDevHrs3</f>
        <v>0</v>
      </c>
      <c r="H61" s="544">
        <f>Table3[[#This Row],[Hrs Rank]]</f>
        <v>0</v>
      </c>
      <c r="I61" s="534">
        <f t="shared" si="2"/>
        <v>0</v>
      </c>
      <c r="J61" s="534">
        <f t="shared" si="3"/>
        <v>0</v>
      </c>
      <c r="K61" s="546"/>
      <c r="L61" s="546"/>
      <c r="M61" s="547" t="s">
        <v>225</v>
      </c>
      <c r="N61" s="547" t="s">
        <v>225</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0"/>
        <v>AQ</v>
      </c>
      <c r="B62" s="50" t="str">
        <f t="shared" si="1"/>
        <v>LRStrm10</v>
      </c>
      <c r="C62" s="50" t="s">
        <v>255</v>
      </c>
      <c r="D62" s="532" t="s">
        <v>208</v>
      </c>
      <c r="E62" s="50" t="s">
        <v>54</v>
      </c>
      <c r="F62" s="535" t="str">
        <f>R.6MSDDevName4</f>
        <v xml:space="preserve"> </v>
      </c>
      <c r="G62" s="543">
        <f>R.6MSDDevHrs4</f>
        <v>0</v>
      </c>
      <c r="H62" s="544">
        <f>Table3[[#This Row],[Hrs Rank]]</f>
        <v>0</v>
      </c>
      <c r="I62" s="534">
        <f t="shared" si="2"/>
        <v>0</v>
      </c>
      <c r="J62" s="534">
        <f t="shared" si="3"/>
        <v>0</v>
      </c>
      <c r="K62" s="546"/>
      <c r="L62" s="546"/>
      <c r="M62" s="547" t="s">
        <v>225</v>
      </c>
      <c r="N62" s="547" t="s">
        <v>225</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0"/>
        <v>AQ</v>
      </c>
      <c r="B63" s="50" t="str">
        <f t="shared" si="1"/>
        <v>LRStrm10</v>
      </c>
      <c r="C63" s="50" t="s">
        <v>255</v>
      </c>
      <c r="D63" s="532" t="s">
        <v>208</v>
      </c>
      <c r="E63" s="50" t="s">
        <v>53</v>
      </c>
      <c r="F63" s="535" t="str">
        <f>R.6MSDImpName1</f>
        <v xml:space="preserve"> </v>
      </c>
      <c r="G63" s="543">
        <f>R.6MSDImpHrs1</f>
        <v>0</v>
      </c>
      <c r="H63" s="544">
        <f>Table3[[#This Row],[Hrs Rank]]</f>
        <v>0</v>
      </c>
      <c r="I63" s="534">
        <f t="shared" si="2"/>
        <v>0</v>
      </c>
      <c r="J63" s="534">
        <f t="shared" si="3"/>
        <v>0</v>
      </c>
      <c r="K63" s="546"/>
      <c r="L63" s="546"/>
      <c r="M63" s="547" t="s">
        <v>225</v>
      </c>
      <c r="N63" s="547" t="s">
        <v>225</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0"/>
        <v>AQ</v>
      </c>
      <c r="B64" s="50" t="str">
        <f t="shared" si="1"/>
        <v>LRStrm10</v>
      </c>
      <c r="C64" s="50" t="s">
        <v>255</v>
      </c>
      <c r="D64" s="532" t="s">
        <v>208</v>
      </c>
      <c r="E64" s="50" t="s">
        <v>53</v>
      </c>
      <c r="F64" s="535" t="str">
        <f>R.6MSDImpName2</f>
        <v xml:space="preserve"> </v>
      </c>
      <c r="G64" s="543">
        <f>R.6MSDImpHrs2</f>
        <v>0</v>
      </c>
      <c r="H64" s="544">
        <f>Table3[[#This Row],[Hrs Rank]]</f>
        <v>0</v>
      </c>
      <c r="I64" s="534">
        <f t="shared" si="2"/>
        <v>0</v>
      </c>
      <c r="J64" s="534">
        <f t="shared" si="3"/>
        <v>0</v>
      </c>
      <c r="K64" s="546"/>
      <c r="L64" s="546"/>
      <c r="M64" s="547" t="s">
        <v>225</v>
      </c>
      <c r="N64" s="547" t="s">
        <v>225</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0"/>
        <v>AQ</v>
      </c>
      <c r="B65" s="50" t="str">
        <f t="shared" si="1"/>
        <v>LRStrm10</v>
      </c>
      <c r="C65" s="50" t="s">
        <v>255</v>
      </c>
      <c r="D65" s="532" t="s">
        <v>208</v>
      </c>
      <c r="E65" s="50" t="s">
        <v>53</v>
      </c>
      <c r="F65" s="535" t="str">
        <f>R.6MSDImpName3</f>
        <v xml:space="preserve"> </v>
      </c>
      <c r="G65" s="543">
        <f>R.6MSDImpHrs3</f>
        <v>0</v>
      </c>
      <c r="H65" s="544">
        <f>Table3[[#This Row],[Hrs Rank]]</f>
        <v>0</v>
      </c>
      <c r="I65" s="534">
        <f t="shared" si="2"/>
        <v>0</v>
      </c>
      <c r="J65" s="534">
        <f t="shared" si="3"/>
        <v>0</v>
      </c>
      <c r="K65" s="546"/>
      <c r="L65" s="546"/>
      <c r="M65" s="547" t="s">
        <v>225</v>
      </c>
      <c r="N65" s="547" t="s">
        <v>225</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0"/>
        <v>AQ</v>
      </c>
      <c r="B66" s="50" t="str">
        <f t="shared" si="1"/>
        <v>LRStrm10</v>
      </c>
      <c r="C66" s="50" t="s">
        <v>255</v>
      </c>
      <c r="D66" s="532" t="s">
        <v>208</v>
      </c>
      <c r="E66" s="50" t="s">
        <v>53</v>
      </c>
      <c r="F66" s="535" t="str">
        <f>R.6MSDImpName4</f>
        <v xml:space="preserve"> </v>
      </c>
      <c r="G66" s="543">
        <f>R.6MSDImpHrs4</f>
        <v>0</v>
      </c>
      <c r="H66" s="544">
        <f>Table3[[#This Row],[Hrs Rank]]</f>
        <v>0</v>
      </c>
      <c r="I66" s="534">
        <f t="shared" si="2"/>
        <v>0</v>
      </c>
      <c r="J66" s="534">
        <f t="shared" si="3"/>
        <v>0</v>
      </c>
      <c r="K66" s="546"/>
      <c r="L66" s="546"/>
      <c r="M66" s="547" t="s">
        <v>225</v>
      </c>
      <c r="N66" s="547" t="s">
        <v>225</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130" si="4">R.1Division</f>
        <v>AQ</v>
      </c>
      <c r="B67" s="50" t="str">
        <f t="shared" ref="B67:B130" si="5">R.1CodeName</f>
        <v>LRStrm10</v>
      </c>
      <c r="C67" s="50" t="s">
        <v>256</v>
      </c>
      <c r="D67" s="532" t="s">
        <v>211</v>
      </c>
      <c r="E67" s="50" t="s">
        <v>54</v>
      </c>
      <c r="F67" s="535">
        <f>R.7EastDevName1</f>
        <v>0</v>
      </c>
      <c r="G67" s="543">
        <f>R.7EastDevHrs1</f>
        <v>0</v>
      </c>
      <c r="H67" s="544">
        <f>Table3[[#This Row],[Hrs Rank]]</f>
        <v>0</v>
      </c>
      <c r="I67" s="534">
        <f t="shared" si="2"/>
        <v>0</v>
      </c>
      <c r="J67" s="534">
        <f t="shared" si="3"/>
        <v>0</v>
      </c>
      <c r="K67" s="546"/>
      <c r="L67" s="546"/>
      <c r="M67" s="547" t="s">
        <v>225</v>
      </c>
      <c r="N67" s="547" t="s">
        <v>225</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4"/>
        <v>AQ</v>
      </c>
      <c r="B68" s="50" t="str">
        <f t="shared" si="5"/>
        <v>LRStrm10</v>
      </c>
      <c r="C68" s="50" t="s">
        <v>256</v>
      </c>
      <c r="D68" s="532" t="s">
        <v>211</v>
      </c>
      <c r="E68" s="50" t="s">
        <v>54</v>
      </c>
      <c r="F68" s="535" t="str">
        <f>R.7EastDevName2</f>
        <v xml:space="preserve"> </v>
      </c>
      <c r="G68" s="543">
        <f>R.7EastDevHrs2</f>
        <v>0</v>
      </c>
      <c r="H68" s="544">
        <f>Table3[[#This Row],[Hrs Rank]]</f>
        <v>0</v>
      </c>
      <c r="I68" s="534">
        <f t="shared" si="2"/>
        <v>0</v>
      </c>
      <c r="J68" s="534">
        <f t="shared" si="3"/>
        <v>0</v>
      </c>
      <c r="K68" s="546"/>
      <c r="L68" s="546"/>
      <c r="M68" s="547" t="s">
        <v>225</v>
      </c>
      <c r="N68" s="547" t="s">
        <v>225</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4"/>
        <v>AQ</v>
      </c>
      <c r="B69" s="50" t="str">
        <f t="shared" si="5"/>
        <v>LRStrm10</v>
      </c>
      <c r="C69" s="50" t="s">
        <v>256</v>
      </c>
      <c r="D69" s="532" t="s">
        <v>211</v>
      </c>
      <c r="E69" s="50" t="s">
        <v>54</v>
      </c>
      <c r="F69" s="535" t="str">
        <f>R.7EastDevName3</f>
        <v xml:space="preserve"> </v>
      </c>
      <c r="G69" s="543">
        <f>R.7EastDevHrs3</f>
        <v>0</v>
      </c>
      <c r="H69" s="544">
        <f>Table3[[#This Row],[Hrs Rank]]</f>
        <v>0</v>
      </c>
      <c r="I69" s="534">
        <f t="shared" si="2"/>
        <v>0</v>
      </c>
      <c r="J69" s="534">
        <f t="shared" si="3"/>
        <v>0</v>
      </c>
      <c r="K69" s="546"/>
      <c r="L69" s="546"/>
      <c r="M69" s="547" t="s">
        <v>225</v>
      </c>
      <c r="N69" s="547" t="s">
        <v>225</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4"/>
        <v>AQ</v>
      </c>
      <c r="B70" s="50" t="str">
        <f t="shared" si="5"/>
        <v>LRStrm10</v>
      </c>
      <c r="C70" s="50" t="s">
        <v>256</v>
      </c>
      <c r="D70" s="532" t="s">
        <v>211</v>
      </c>
      <c r="E70" s="50" t="s">
        <v>54</v>
      </c>
      <c r="F70" s="535">
        <f>R.7EastDevName4</f>
        <v>0</v>
      </c>
      <c r="G70" s="543">
        <f>R.7EastDevHrs4</f>
        <v>0</v>
      </c>
      <c r="H70" s="544">
        <f>Table3[[#This Row],[Hrs Rank]]</f>
        <v>0</v>
      </c>
      <c r="I70" s="534">
        <f t="shared" si="2"/>
        <v>0</v>
      </c>
      <c r="J70" s="534">
        <f t="shared" si="3"/>
        <v>0</v>
      </c>
      <c r="K70" s="546"/>
      <c r="L70" s="546"/>
      <c r="M70" s="547" t="s">
        <v>225</v>
      </c>
      <c r="N70" s="547" t="s">
        <v>225</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4"/>
        <v>AQ</v>
      </c>
      <c r="B71" s="50" t="str">
        <f t="shared" si="5"/>
        <v>LRStrm10</v>
      </c>
      <c r="C71" s="50" t="s">
        <v>256</v>
      </c>
      <c r="D71" s="532" t="s">
        <v>211</v>
      </c>
      <c r="E71" s="50" t="s">
        <v>53</v>
      </c>
      <c r="F71" s="535">
        <f>R.7EastImpName1</f>
        <v>0</v>
      </c>
      <c r="G71" s="543">
        <f>R.7EastImpHrs1</f>
        <v>0</v>
      </c>
      <c r="H71" s="544">
        <f>Table3[[#This Row],[Hrs Rank]]</f>
        <v>0</v>
      </c>
      <c r="I71" s="534">
        <f t="shared" si="2"/>
        <v>0</v>
      </c>
      <c r="J71" s="534">
        <f t="shared" si="3"/>
        <v>0</v>
      </c>
      <c r="K71" s="546"/>
      <c r="L71" s="546"/>
      <c r="M71" s="547" t="s">
        <v>225</v>
      </c>
      <c r="N71" s="547" t="s">
        <v>225</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4"/>
        <v>AQ</v>
      </c>
      <c r="B72" s="50" t="str">
        <f t="shared" si="5"/>
        <v>LRStrm10</v>
      </c>
      <c r="C72" s="50" t="s">
        <v>256</v>
      </c>
      <c r="D72" s="532" t="s">
        <v>211</v>
      </c>
      <c r="E72" s="50" t="s">
        <v>53</v>
      </c>
      <c r="F72" s="535">
        <f>R.7EastImpName2</f>
        <v>0</v>
      </c>
      <c r="G72" s="543">
        <f>R.7EastImpHrs2</f>
        <v>0</v>
      </c>
      <c r="H72" s="544">
        <f>Table3[[#This Row],[Hrs Rank]]</f>
        <v>0</v>
      </c>
      <c r="I72" s="534">
        <f t="shared" si="2"/>
        <v>0</v>
      </c>
      <c r="J72" s="534">
        <f t="shared" si="3"/>
        <v>0</v>
      </c>
      <c r="K72" s="546"/>
      <c r="L72" s="546"/>
      <c r="M72" s="547" t="s">
        <v>225</v>
      </c>
      <c r="N72" s="547" t="s">
        <v>225</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4"/>
        <v>AQ</v>
      </c>
      <c r="B73" s="50" t="str">
        <f t="shared" si="5"/>
        <v>LRStrm10</v>
      </c>
      <c r="C73" s="50" t="s">
        <v>256</v>
      </c>
      <c r="D73" s="532" t="s">
        <v>211</v>
      </c>
      <c r="E73" s="50" t="s">
        <v>53</v>
      </c>
      <c r="F73" s="535">
        <f>R.7EastImpName3</f>
        <v>0</v>
      </c>
      <c r="G73" s="543">
        <f>R.7EastImpHrs3</f>
        <v>0</v>
      </c>
      <c r="H73" s="544">
        <f>Table3[[#This Row],[Hrs Rank]]</f>
        <v>0</v>
      </c>
      <c r="I73" s="534">
        <f t="shared" si="2"/>
        <v>0</v>
      </c>
      <c r="J73" s="534">
        <f t="shared" si="3"/>
        <v>0</v>
      </c>
      <c r="K73" s="546"/>
      <c r="L73" s="546"/>
      <c r="M73" s="547" t="s">
        <v>225</v>
      </c>
      <c r="N73" s="547" t="s">
        <v>225</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4"/>
        <v>AQ</v>
      </c>
      <c r="B74" s="50" t="str">
        <f t="shared" si="5"/>
        <v>LRStrm10</v>
      </c>
      <c r="C74" s="50" t="s">
        <v>256</v>
      </c>
      <c r="D74" s="532" t="s">
        <v>211</v>
      </c>
      <c r="E74" s="50" t="s">
        <v>53</v>
      </c>
      <c r="F74" s="535">
        <f>R.7EastImpName4</f>
        <v>0</v>
      </c>
      <c r="G74" s="543">
        <f>R.7EastImpHrs4</f>
        <v>0</v>
      </c>
      <c r="H74" s="544">
        <f>Table3[[#This Row],[Hrs Rank]]</f>
        <v>0</v>
      </c>
      <c r="I74" s="534">
        <f t="shared" si="2"/>
        <v>0</v>
      </c>
      <c r="J74" s="534">
        <f t="shared" si="3"/>
        <v>0</v>
      </c>
      <c r="K74" s="546"/>
      <c r="L74" s="546"/>
      <c r="M74" s="547" t="s">
        <v>225</v>
      </c>
      <c r="N74" s="547" t="s">
        <v>225</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4"/>
        <v>AQ</v>
      </c>
      <c r="B75" s="50" t="str">
        <f t="shared" si="5"/>
        <v>LRStrm10</v>
      </c>
      <c r="C75" s="50" t="s">
        <v>256</v>
      </c>
      <c r="D75" s="532" t="s">
        <v>212</v>
      </c>
      <c r="E75" s="50" t="s">
        <v>54</v>
      </c>
      <c r="F75" s="535">
        <f>R.7WestDevName1</f>
        <v>0</v>
      </c>
      <c r="G75" s="543">
        <f>R.7WestDevHrs1</f>
        <v>0</v>
      </c>
      <c r="H75" s="544">
        <f>Table3[[#This Row],[Hrs Rank]]</f>
        <v>0</v>
      </c>
      <c r="I75" s="534">
        <f t="shared" si="2"/>
        <v>0</v>
      </c>
      <c r="J75" s="534">
        <f t="shared" si="3"/>
        <v>0</v>
      </c>
      <c r="K75" s="546"/>
      <c r="L75" s="546"/>
      <c r="M75" s="547" t="s">
        <v>225</v>
      </c>
      <c r="N75" s="547" t="s">
        <v>225</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4"/>
        <v>AQ</v>
      </c>
      <c r="B76" s="50" t="str">
        <f t="shared" si="5"/>
        <v>LRStrm10</v>
      </c>
      <c r="C76" s="50" t="s">
        <v>256</v>
      </c>
      <c r="D76" s="532" t="s">
        <v>212</v>
      </c>
      <c r="E76" s="50" t="s">
        <v>54</v>
      </c>
      <c r="F76" s="535">
        <f>R.7WestDevName2</f>
        <v>0</v>
      </c>
      <c r="G76" s="543">
        <f>R.7WestDevHrs2</f>
        <v>0</v>
      </c>
      <c r="H76" s="544">
        <f>Table3[[#This Row],[Hrs Rank]]</f>
        <v>0</v>
      </c>
      <c r="I76" s="534">
        <f t="shared" si="2"/>
        <v>0</v>
      </c>
      <c r="J76" s="534">
        <f t="shared" si="3"/>
        <v>0</v>
      </c>
      <c r="K76" s="546"/>
      <c r="L76" s="546"/>
      <c r="M76" s="547" t="s">
        <v>225</v>
      </c>
      <c r="N76" s="547" t="s">
        <v>225</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4"/>
        <v>AQ</v>
      </c>
      <c r="B77" s="50" t="str">
        <f t="shared" si="5"/>
        <v>LRStrm10</v>
      </c>
      <c r="C77" s="50" t="s">
        <v>256</v>
      </c>
      <c r="D77" s="532" t="s">
        <v>212</v>
      </c>
      <c r="E77" s="50" t="s">
        <v>54</v>
      </c>
      <c r="F77" s="535">
        <f>R.7WestDevName3</f>
        <v>0</v>
      </c>
      <c r="G77" s="543">
        <f>R.7WestDevHrs3</f>
        <v>0</v>
      </c>
      <c r="H77" s="544">
        <f>Table3[[#This Row],[Hrs Rank]]</f>
        <v>0</v>
      </c>
      <c r="I77" s="534">
        <f t="shared" si="2"/>
        <v>0</v>
      </c>
      <c r="J77" s="534">
        <f t="shared" si="3"/>
        <v>0</v>
      </c>
      <c r="K77" s="546"/>
      <c r="L77" s="546"/>
      <c r="M77" s="547" t="s">
        <v>225</v>
      </c>
      <c r="N77" s="547" t="s">
        <v>225</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4"/>
        <v>AQ</v>
      </c>
      <c r="B78" s="50" t="str">
        <f t="shared" si="5"/>
        <v>LRStrm10</v>
      </c>
      <c r="C78" s="50" t="s">
        <v>256</v>
      </c>
      <c r="D78" s="532" t="s">
        <v>212</v>
      </c>
      <c r="E78" s="50" t="s">
        <v>54</v>
      </c>
      <c r="F78" s="535">
        <f>R.7WestDevName4</f>
        <v>0</v>
      </c>
      <c r="G78" s="543">
        <f>R.7WestDevHrs4</f>
        <v>0</v>
      </c>
      <c r="H78" s="544">
        <f>Table3[[#This Row],[Hrs Rank]]</f>
        <v>0</v>
      </c>
      <c r="I78" s="534">
        <f t="shared" si="2"/>
        <v>0</v>
      </c>
      <c r="J78" s="534">
        <f t="shared" si="3"/>
        <v>0</v>
      </c>
      <c r="K78" s="546"/>
      <c r="L78" s="546"/>
      <c r="M78" s="547" t="s">
        <v>225</v>
      </c>
      <c r="N78" s="547" t="s">
        <v>225</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4"/>
        <v>AQ</v>
      </c>
      <c r="B79" s="50" t="str">
        <f t="shared" si="5"/>
        <v>LRStrm10</v>
      </c>
      <c r="C79" s="50" t="s">
        <v>256</v>
      </c>
      <c r="D79" s="532" t="s">
        <v>212</v>
      </c>
      <c r="E79" s="50" t="s">
        <v>53</v>
      </c>
      <c r="F79" s="535" t="str">
        <f>R.7WestImpName1</f>
        <v xml:space="preserve"> </v>
      </c>
      <c r="G79" s="543">
        <f>R.7WestImpHrs1</f>
        <v>0</v>
      </c>
      <c r="H79" s="544">
        <f>Table3[[#This Row],[Hrs Rank]]</f>
        <v>0</v>
      </c>
      <c r="I79" s="534">
        <f t="shared" si="2"/>
        <v>0</v>
      </c>
      <c r="J79" s="534">
        <f t="shared" si="3"/>
        <v>0</v>
      </c>
      <c r="K79" s="546"/>
      <c r="L79" s="546"/>
      <c r="M79" s="547" t="s">
        <v>225</v>
      </c>
      <c r="N79" s="547" t="s">
        <v>225</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4"/>
        <v>AQ</v>
      </c>
      <c r="B80" s="50" t="str">
        <f t="shared" si="5"/>
        <v>LRStrm10</v>
      </c>
      <c r="C80" s="50" t="s">
        <v>256</v>
      </c>
      <c r="D80" s="532" t="s">
        <v>212</v>
      </c>
      <c r="E80" s="50" t="s">
        <v>53</v>
      </c>
      <c r="F80" s="535">
        <f>R.7WestImpName2</f>
        <v>0</v>
      </c>
      <c r="G80" s="543">
        <f>R.7WestDevHrs2</f>
        <v>0</v>
      </c>
      <c r="H80" s="544">
        <f>Table3[[#This Row],[Hrs Rank]]</f>
        <v>0</v>
      </c>
      <c r="I80" s="534">
        <f t="shared" si="2"/>
        <v>0</v>
      </c>
      <c r="J80" s="534">
        <f t="shared" si="3"/>
        <v>0</v>
      </c>
      <c r="K80" s="546"/>
      <c r="L80" s="546"/>
      <c r="M80" s="547" t="s">
        <v>225</v>
      </c>
      <c r="N80" s="547" t="s">
        <v>225</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4"/>
        <v>AQ</v>
      </c>
      <c r="B81" s="50" t="str">
        <f t="shared" si="5"/>
        <v>LRStrm10</v>
      </c>
      <c r="C81" s="50" t="s">
        <v>256</v>
      </c>
      <c r="D81" s="532" t="s">
        <v>212</v>
      </c>
      <c r="E81" s="50" t="s">
        <v>53</v>
      </c>
      <c r="F81" s="535">
        <f>R.7WestImpName3</f>
        <v>0</v>
      </c>
      <c r="G81" s="543">
        <f>R.7WestDevHrs3</f>
        <v>0</v>
      </c>
      <c r="H81" s="544">
        <f>Table3[[#This Row],[Hrs Rank]]</f>
        <v>0</v>
      </c>
      <c r="I81" s="534">
        <f t="shared" si="2"/>
        <v>0</v>
      </c>
      <c r="J81" s="534">
        <f t="shared" si="3"/>
        <v>0</v>
      </c>
      <c r="K81" s="546"/>
      <c r="L81" s="546"/>
      <c r="M81" s="547" t="s">
        <v>225</v>
      </c>
      <c r="N81" s="547" t="s">
        <v>225</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4"/>
        <v>AQ</v>
      </c>
      <c r="B82" s="50" t="str">
        <f t="shared" si="5"/>
        <v>LRStrm10</v>
      </c>
      <c r="C82" s="50" t="s">
        <v>256</v>
      </c>
      <c r="D82" s="532" t="s">
        <v>212</v>
      </c>
      <c r="E82" s="50" t="s">
        <v>53</v>
      </c>
      <c r="F82" s="535">
        <f>R.7WestImpName4</f>
        <v>0</v>
      </c>
      <c r="G82" s="543">
        <f>R.7WestDevHrs4</f>
        <v>0</v>
      </c>
      <c r="H82" s="544">
        <f>Table3[[#This Row],[Hrs Rank]]</f>
        <v>0</v>
      </c>
      <c r="I82" s="534">
        <f t="shared" si="2"/>
        <v>0</v>
      </c>
      <c r="J82" s="534">
        <f t="shared" si="3"/>
        <v>0</v>
      </c>
      <c r="K82" s="546"/>
      <c r="L82" s="546"/>
      <c r="M82" s="547" t="s">
        <v>225</v>
      </c>
      <c r="N82" s="547" t="s">
        <v>225</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4"/>
        <v>AQ</v>
      </c>
      <c r="B83" s="50" t="str">
        <f t="shared" si="5"/>
        <v>LRStrm10</v>
      </c>
      <c r="C83" s="50" t="s">
        <v>256</v>
      </c>
      <c r="D83" s="532" t="s">
        <v>213</v>
      </c>
      <c r="E83" s="50" t="s">
        <v>54</v>
      </c>
      <c r="F83" s="535" t="str">
        <f>R.7NWRegionDevName1</f>
        <v xml:space="preserve"> </v>
      </c>
      <c r="G83" s="543">
        <f>R.7NWRegionDevHrs1</f>
        <v>0</v>
      </c>
      <c r="H83" s="544">
        <f>Table3[[#This Row],[Hrs Rank]]</f>
        <v>0</v>
      </c>
      <c r="I83" s="534">
        <f t="shared" si="2"/>
        <v>0</v>
      </c>
      <c r="J83" s="534">
        <f t="shared" si="3"/>
        <v>0</v>
      </c>
      <c r="K83" s="546"/>
      <c r="L83" s="546"/>
      <c r="M83" s="547" t="s">
        <v>225</v>
      </c>
      <c r="N83" s="547" t="s">
        <v>225</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4"/>
        <v>AQ</v>
      </c>
      <c r="B84" s="50" t="str">
        <f t="shared" si="5"/>
        <v>LRStrm10</v>
      </c>
      <c r="C84" s="50" t="s">
        <v>256</v>
      </c>
      <c r="D84" s="532" t="s">
        <v>213</v>
      </c>
      <c r="E84" s="50" t="s">
        <v>54</v>
      </c>
      <c r="F84" s="535" t="str">
        <f>R.7NWRegionDevName2</f>
        <v xml:space="preserve"> </v>
      </c>
      <c r="G84" s="543">
        <f>R.7NWRegionDevHrs2</f>
        <v>0</v>
      </c>
      <c r="H84" s="544">
        <f>Table3[[#This Row],[Hrs Rank]]</f>
        <v>0</v>
      </c>
      <c r="I84" s="534">
        <f t="shared" si="2"/>
        <v>0</v>
      </c>
      <c r="J84" s="534">
        <f t="shared" si="3"/>
        <v>0</v>
      </c>
      <c r="K84" s="546"/>
      <c r="L84" s="546"/>
      <c r="M84" s="547" t="s">
        <v>225</v>
      </c>
      <c r="N84" s="547" t="s">
        <v>225</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4"/>
        <v>AQ</v>
      </c>
      <c r="B85" s="50" t="str">
        <f t="shared" si="5"/>
        <v>LRStrm10</v>
      </c>
      <c r="C85" s="50" t="s">
        <v>256</v>
      </c>
      <c r="D85" s="532" t="s">
        <v>213</v>
      </c>
      <c r="E85" s="50" t="s">
        <v>54</v>
      </c>
      <c r="F85" s="535" t="str">
        <f>R.7NWRegionDevName3</f>
        <v xml:space="preserve"> </v>
      </c>
      <c r="G85" s="543">
        <f>R.7NWRegionDevHrs3</f>
        <v>0</v>
      </c>
      <c r="H85" s="544">
        <f>Table3[[#This Row],[Hrs Rank]]</f>
        <v>0</v>
      </c>
      <c r="I85" s="534">
        <f t="shared" si="2"/>
        <v>0</v>
      </c>
      <c r="J85" s="534">
        <f t="shared" si="3"/>
        <v>0</v>
      </c>
      <c r="K85" s="546"/>
      <c r="L85" s="546"/>
      <c r="M85" s="547" t="s">
        <v>225</v>
      </c>
      <c r="N85" s="547" t="s">
        <v>225</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4"/>
        <v>AQ</v>
      </c>
      <c r="B86" s="50" t="str">
        <f t="shared" si="5"/>
        <v>LRStrm10</v>
      </c>
      <c r="C86" s="50" t="s">
        <v>256</v>
      </c>
      <c r="D86" s="532" t="s">
        <v>213</v>
      </c>
      <c r="E86" s="50" t="s">
        <v>54</v>
      </c>
      <c r="F86" s="535" t="str">
        <f>R.7NWRegionDevName4</f>
        <v xml:space="preserve"> </v>
      </c>
      <c r="G86" s="543">
        <f>R.7NWRegionDevHrs4</f>
        <v>0</v>
      </c>
      <c r="H86" s="544">
        <f>Table3[[#This Row],[Hrs Rank]]</f>
        <v>0</v>
      </c>
      <c r="I86" s="534">
        <f t="shared" ref="I86:I149" si="6">IF(ISNA(VLOOKUP($H86,R.VL_DEQResourceHours,2,FALSE)),0,VLOOKUP($H86,R.VL_DEQResourceHours,2,FALSE))</f>
        <v>0</v>
      </c>
      <c r="J86" s="534">
        <f t="shared" ref="J86:J149" si="7">IF(ISNA(VLOOKUP($H86,R.VL_DEQResourceHours,3,FALSE)),0,VLOOKUP($H86,R.VL_DEQResourceHours,3,FALSE))</f>
        <v>0</v>
      </c>
      <c r="K86" s="546"/>
      <c r="L86" s="546"/>
      <c r="M86" s="547" t="s">
        <v>225</v>
      </c>
      <c r="N86" s="547" t="s">
        <v>225</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4"/>
        <v>AQ</v>
      </c>
      <c r="B87" s="50" t="str">
        <f t="shared" si="5"/>
        <v>LRStrm10</v>
      </c>
      <c r="C87" s="50" t="s">
        <v>256</v>
      </c>
      <c r="D87" s="532" t="s">
        <v>213</v>
      </c>
      <c r="E87" s="50" t="s">
        <v>53</v>
      </c>
      <c r="F87" s="535" t="str">
        <f>R.7NWRegionImpName1</f>
        <v xml:space="preserve"> </v>
      </c>
      <c r="G87" s="543">
        <f>R.7NWRegionImpHrs1</f>
        <v>0</v>
      </c>
      <c r="H87" s="544">
        <f>Table3[[#This Row],[Hrs Rank]]</f>
        <v>0</v>
      </c>
      <c r="I87" s="534">
        <f t="shared" si="6"/>
        <v>0</v>
      </c>
      <c r="J87" s="534">
        <f t="shared" si="7"/>
        <v>0</v>
      </c>
      <c r="K87" s="546"/>
      <c r="L87" s="546"/>
      <c r="M87" s="547" t="s">
        <v>225</v>
      </c>
      <c r="N87" s="547" t="s">
        <v>225</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4"/>
        <v>AQ</v>
      </c>
      <c r="B88" s="50" t="str">
        <f t="shared" si="5"/>
        <v>LRStrm10</v>
      </c>
      <c r="C88" s="50" t="s">
        <v>256</v>
      </c>
      <c r="D88" s="532" t="s">
        <v>213</v>
      </c>
      <c r="E88" s="50" t="s">
        <v>53</v>
      </c>
      <c r="F88" s="535" t="str">
        <f>R.7NWRegionImpName2</f>
        <v xml:space="preserve"> </v>
      </c>
      <c r="G88" s="543">
        <f>R.7NWRegionImpHrs2</f>
        <v>0</v>
      </c>
      <c r="H88" s="544">
        <f>Table3[[#This Row],[Hrs Rank]]</f>
        <v>0</v>
      </c>
      <c r="I88" s="534">
        <f t="shared" si="6"/>
        <v>0</v>
      </c>
      <c r="J88" s="534">
        <f t="shared" si="7"/>
        <v>0</v>
      </c>
      <c r="K88" s="546"/>
      <c r="L88" s="546"/>
      <c r="M88" s="547" t="s">
        <v>225</v>
      </c>
      <c r="N88" s="547" t="s">
        <v>225</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4"/>
        <v>AQ</v>
      </c>
      <c r="B89" s="50" t="str">
        <f t="shared" si="5"/>
        <v>LRStrm10</v>
      </c>
      <c r="C89" s="50" t="s">
        <v>256</v>
      </c>
      <c r="D89" s="532" t="s">
        <v>213</v>
      </c>
      <c r="E89" s="50" t="s">
        <v>53</v>
      </c>
      <c r="F89" s="535" t="str">
        <f>R.7NWRegionImpName3</f>
        <v xml:space="preserve"> </v>
      </c>
      <c r="G89" s="543">
        <f>R.7NWRegionImpHrs3</f>
        <v>0</v>
      </c>
      <c r="H89" s="544">
        <f>Table3[[#This Row],[Hrs Rank]]</f>
        <v>0</v>
      </c>
      <c r="I89" s="534">
        <f t="shared" si="6"/>
        <v>0</v>
      </c>
      <c r="J89" s="534">
        <f t="shared" si="7"/>
        <v>0</v>
      </c>
      <c r="K89" s="546"/>
      <c r="L89" s="546"/>
      <c r="M89" s="547" t="s">
        <v>225</v>
      </c>
      <c r="N89" s="547" t="s">
        <v>225</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4"/>
        <v>AQ</v>
      </c>
      <c r="B90" s="50" t="str">
        <f t="shared" si="5"/>
        <v>LRStrm10</v>
      </c>
      <c r="C90" s="50" t="s">
        <v>256</v>
      </c>
      <c r="D90" s="532" t="s">
        <v>213</v>
      </c>
      <c r="E90" s="50" t="s">
        <v>53</v>
      </c>
      <c r="F90" s="535" t="str">
        <f>R.7NWRegionImpName4</f>
        <v xml:space="preserve"> </v>
      </c>
      <c r="G90" s="543">
        <f>R.7NWRegionImpHrs4</f>
        <v>0</v>
      </c>
      <c r="H90" s="544">
        <f>Table3[[#This Row],[Hrs Rank]]</f>
        <v>0</v>
      </c>
      <c r="I90" s="534">
        <f t="shared" si="6"/>
        <v>0</v>
      </c>
      <c r="J90" s="534">
        <f t="shared" si="7"/>
        <v>0</v>
      </c>
      <c r="K90" s="546"/>
      <c r="L90" s="546"/>
      <c r="M90" s="547" t="s">
        <v>225</v>
      </c>
      <c r="N90" s="547" t="s">
        <v>225</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4"/>
        <v>AQ</v>
      </c>
      <c r="B91" s="50" t="str">
        <f t="shared" si="5"/>
        <v>LRStrm10</v>
      </c>
      <c r="C91" s="50" t="s">
        <v>257</v>
      </c>
      <c r="D91" s="532" t="s">
        <v>146</v>
      </c>
      <c r="E91" s="50" t="s">
        <v>54</v>
      </c>
      <c r="F91" s="535" t="str">
        <f>R.8BudDevName3</f>
        <v xml:space="preserve"> </v>
      </c>
      <c r="G91" s="543">
        <f>R.8BudDevHrs3</f>
        <v>0</v>
      </c>
      <c r="H91" s="544">
        <f>Table3[[#This Row],[Hrs Rank]]</f>
        <v>0</v>
      </c>
      <c r="I91" s="534">
        <f t="shared" si="6"/>
        <v>0</v>
      </c>
      <c r="J91" s="534">
        <f t="shared" si="7"/>
        <v>0</v>
      </c>
      <c r="K91" s="546"/>
      <c r="L91" s="546"/>
      <c r="M91" s="547" t="s">
        <v>225</v>
      </c>
      <c r="N91" s="547" t="s">
        <v>225</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4"/>
        <v>AQ</v>
      </c>
      <c r="B92" s="50" t="str">
        <f t="shared" si="5"/>
        <v>LRStrm10</v>
      </c>
      <c r="C92" s="50" t="s">
        <v>257</v>
      </c>
      <c r="D92" s="532" t="s">
        <v>146</v>
      </c>
      <c r="E92" s="50" t="s">
        <v>54</v>
      </c>
      <c r="F92" s="535" t="str">
        <f>R.8BudDevName4</f>
        <v xml:space="preserve"> </v>
      </c>
      <c r="G92" s="543">
        <f>R.8BudDevHrs4</f>
        <v>0</v>
      </c>
      <c r="H92" s="544">
        <f>Table3[[#This Row],[Hrs Rank]]</f>
        <v>0</v>
      </c>
      <c r="I92" s="534">
        <f t="shared" si="6"/>
        <v>0</v>
      </c>
      <c r="J92" s="534">
        <f t="shared" si="7"/>
        <v>0</v>
      </c>
      <c r="K92" s="546"/>
      <c r="L92" s="546"/>
      <c r="M92" s="547" t="s">
        <v>225</v>
      </c>
      <c r="N92" s="547" t="s">
        <v>225</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4"/>
        <v>AQ</v>
      </c>
      <c r="B93" s="50" t="str">
        <f t="shared" si="5"/>
        <v>LRStrm10</v>
      </c>
      <c r="C93" s="50" t="s">
        <v>257</v>
      </c>
      <c r="D93" s="532" t="s">
        <v>146</v>
      </c>
      <c r="E93" s="50" t="s">
        <v>53</v>
      </c>
      <c r="F93" s="535" t="str">
        <f>R.8BudImpName1</f>
        <v xml:space="preserve"> </v>
      </c>
      <c r="G93" s="543">
        <f>R.8BudImpHrs1</f>
        <v>0</v>
      </c>
      <c r="H93" s="544">
        <f>Table3[[#This Row],[Hrs Rank]]</f>
        <v>0</v>
      </c>
      <c r="I93" s="534">
        <f t="shared" si="6"/>
        <v>0</v>
      </c>
      <c r="J93" s="534">
        <f t="shared" si="7"/>
        <v>0</v>
      </c>
      <c r="K93" s="546"/>
      <c r="L93" s="546"/>
      <c r="M93" s="547" t="s">
        <v>225</v>
      </c>
      <c r="N93" s="547" t="s">
        <v>225</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4"/>
        <v>AQ</v>
      </c>
      <c r="B94" s="50" t="str">
        <f t="shared" si="5"/>
        <v>LRStrm10</v>
      </c>
      <c r="C94" s="50" t="s">
        <v>257</v>
      </c>
      <c r="D94" s="532" t="s">
        <v>146</v>
      </c>
      <c r="E94" s="50" t="s">
        <v>53</v>
      </c>
      <c r="F94" s="535" t="str">
        <f>R.8BudImpName2</f>
        <v xml:space="preserve"> </v>
      </c>
      <c r="G94" s="543">
        <f>R.8BudImpHrs2</f>
        <v>0</v>
      </c>
      <c r="H94" s="544">
        <f>Table3[[#This Row],[Hrs Rank]]</f>
        <v>0</v>
      </c>
      <c r="I94" s="534">
        <f t="shared" si="6"/>
        <v>0</v>
      </c>
      <c r="J94" s="534">
        <f t="shared" si="7"/>
        <v>0</v>
      </c>
      <c r="K94" s="546"/>
      <c r="L94" s="546"/>
      <c r="M94" s="547" t="s">
        <v>225</v>
      </c>
      <c r="N94" s="547" t="s">
        <v>225</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4"/>
        <v>AQ</v>
      </c>
      <c r="B95" s="50" t="str">
        <f t="shared" si="5"/>
        <v>LRStrm10</v>
      </c>
      <c r="C95" s="50" t="s">
        <v>257</v>
      </c>
      <c r="D95" s="532" t="s">
        <v>146</v>
      </c>
      <c r="E95" s="50" t="s">
        <v>53</v>
      </c>
      <c r="F95" s="535" t="str">
        <f>R.8BudImpName3</f>
        <v xml:space="preserve"> </v>
      </c>
      <c r="G95" s="543">
        <f>R.8BudImpHrs3</f>
        <v>0</v>
      </c>
      <c r="H95" s="544">
        <f>Table3[[#This Row],[Hrs Rank]]</f>
        <v>0</v>
      </c>
      <c r="I95" s="534">
        <f t="shared" si="6"/>
        <v>0</v>
      </c>
      <c r="J95" s="534">
        <f t="shared" si="7"/>
        <v>0</v>
      </c>
      <c r="K95" s="546"/>
      <c r="L95" s="546"/>
      <c r="M95" s="547" t="s">
        <v>225</v>
      </c>
      <c r="N95" s="547" t="s">
        <v>225</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4"/>
        <v>AQ</v>
      </c>
      <c r="B96" s="50" t="str">
        <f t="shared" si="5"/>
        <v>LRStrm10</v>
      </c>
      <c r="C96" s="50" t="s">
        <v>257</v>
      </c>
      <c r="D96" s="532" t="s">
        <v>146</v>
      </c>
      <c r="E96" s="50" t="s">
        <v>53</v>
      </c>
      <c r="F96" s="535" t="str">
        <f>R.8BudImpName4</f>
        <v xml:space="preserve"> </v>
      </c>
      <c r="G96" s="543">
        <f>R.8BudImpHrs4</f>
        <v>0</v>
      </c>
      <c r="H96" s="544">
        <f>Table3[[#This Row],[Hrs Rank]]</f>
        <v>0</v>
      </c>
      <c r="I96" s="534">
        <f t="shared" si="6"/>
        <v>0</v>
      </c>
      <c r="J96" s="534">
        <f t="shared" si="7"/>
        <v>0</v>
      </c>
      <c r="K96" s="546"/>
      <c r="L96" s="546"/>
      <c r="M96" s="547" t="s">
        <v>225</v>
      </c>
      <c r="N96" s="547" t="s">
        <v>225</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4"/>
        <v>AQ</v>
      </c>
      <c r="B97" s="50" t="str">
        <f t="shared" si="5"/>
        <v>LRStrm10</v>
      </c>
      <c r="C97" s="50" t="s">
        <v>257</v>
      </c>
      <c r="D97" s="532" t="s">
        <v>144</v>
      </c>
      <c r="E97" s="50" t="s">
        <v>54</v>
      </c>
      <c r="F97" s="535" t="str">
        <f>R.8AcctDevName1</f>
        <v xml:space="preserve"> </v>
      </c>
      <c r="G97" s="543">
        <f>R.8AcctDevHrs1</f>
        <v>0</v>
      </c>
      <c r="H97" s="544">
        <f>Table3[[#This Row],[Hrs Rank]]</f>
        <v>0</v>
      </c>
      <c r="I97" s="534">
        <f t="shared" si="6"/>
        <v>0</v>
      </c>
      <c r="J97" s="534">
        <f t="shared" si="7"/>
        <v>0</v>
      </c>
      <c r="K97" s="546"/>
      <c r="L97" s="546"/>
      <c r="M97" s="547" t="s">
        <v>225</v>
      </c>
      <c r="N97" s="547" t="s">
        <v>225</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4"/>
        <v>AQ</v>
      </c>
      <c r="B98" s="50" t="str">
        <f t="shared" si="5"/>
        <v>LRStrm10</v>
      </c>
      <c r="C98" s="50" t="s">
        <v>257</v>
      </c>
      <c r="D98" s="532" t="s">
        <v>144</v>
      </c>
      <c r="E98" s="50" t="s">
        <v>54</v>
      </c>
      <c r="F98" s="535" t="str">
        <f>R.8AcctDevName2</f>
        <v xml:space="preserve"> </v>
      </c>
      <c r="G98" s="543">
        <f>R.8AcctDevHrs2</f>
        <v>0</v>
      </c>
      <c r="H98" s="544">
        <f>Table3[[#This Row],[Hrs Rank]]</f>
        <v>0</v>
      </c>
      <c r="I98" s="534">
        <f t="shared" si="6"/>
        <v>0</v>
      </c>
      <c r="J98" s="534">
        <f t="shared" si="7"/>
        <v>0</v>
      </c>
      <c r="K98" s="546"/>
      <c r="L98" s="546"/>
      <c r="M98" s="547" t="s">
        <v>225</v>
      </c>
      <c r="N98" s="547" t="s">
        <v>225</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si="4"/>
        <v>AQ</v>
      </c>
      <c r="B99" s="50" t="str">
        <f t="shared" si="5"/>
        <v>LRStrm10</v>
      </c>
      <c r="C99" s="50" t="s">
        <v>257</v>
      </c>
      <c r="D99" s="532" t="s">
        <v>144</v>
      </c>
      <c r="E99" s="50" t="s">
        <v>54</v>
      </c>
      <c r="F99" s="535" t="str">
        <f>R.8AcctDevName3</f>
        <v xml:space="preserve"> </v>
      </c>
      <c r="G99" s="543">
        <f>R.8AcctDevHrs3</f>
        <v>0</v>
      </c>
      <c r="H99" s="544">
        <f>Table3[[#This Row],[Hrs Rank]]</f>
        <v>0</v>
      </c>
      <c r="I99" s="534">
        <f t="shared" si="6"/>
        <v>0</v>
      </c>
      <c r="J99" s="534">
        <f t="shared" si="7"/>
        <v>0</v>
      </c>
      <c r="K99" s="546"/>
      <c r="L99" s="546"/>
      <c r="M99" s="547" t="s">
        <v>225</v>
      </c>
      <c r="N99" s="547" t="s">
        <v>225</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4"/>
        <v>AQ</v>
      </c>
      <c r="B100" s="50" t="str">
        <f t="shared" si="5"/>
        <v>LRStrm10</v>
      </c>
      <c r="C100" s="50" t="s">
        <v>257</v>
      </c>
      <c r="D100" s="532" t="s">
        <v>144</v>
      </c>
      <c r="E100" s="50" t="s">
        <v>54</v>
      </c>
      <c r="F100" s="535" t="str">
        <f>R.8AcctDevName4</f>
        <v xml:space="preserve"> </v>
      </c>
      <c r="G100" s="543">
        <f>R.8AcctDevHrs4</f>
        <v>0</v>
      </c>
      <c r="H100" s="544">
        <f>Table3[[#This Row],[Hrs Rank]]</f>
        <v>0</v>
      </c>
      <c r="I100" s="534">
        <f t="shared" si="6"/>
        <v>0</v>
      </c>
      <c r="J100" s="534">
        <f t="shared" si="7"/>
        <v>0</v>
      </c>
      <c r="K100" s="546"/>
      <c r="L100" s="546"/>
      <c r="M100" s="547" t="s">
        <v>225</v>
      </c>
      <c r="N100" s="547" t="s">
        <v>225</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4"/>
        <v>AQ</v>
      </c>
      <c r="B101" s="50" t="str">
        <f t="shared" si="5"/>
        <v>LRStrm10</v>
      </c>
      <c r="C101" s="50" t="s">
        <v>257</v>
      </c>
      <c r="D101" s="532" t="s">
        <v>144</v>
      </c>
      <c r="E101" s="50" t="s">
        <v>53</v>
      </c>
      <c r="F101" s="535">
        <f>R.8AcctImpName1</f>
        <v>0</v>
      </c>
      <c r="G101" s="543">
        <f>R.8AcctImpHrs1</f>
        <v>0</v>
      </c>
      <c r="H101" s="544">
        <f>Table3[[#This Row],[Hrs Rank]]</f>
        <v>0</v>
      </c>
      <c r="I101" s="534">
        <f t="shared" si="6"/>
        <v>0</v>
      </c>
      <c r="J101" s="534">
        <f t="shared" si="7"/>
        <v>0</v>
      </c>
      <c r="K101" s="546"/>
      <c r="L101" s="546"/>
      <c r="M101" s="547" t="s">
        <v>225</v>
      </c>
      <c r="N101" s="547" t="s">
        <v>225</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4"/>
        <v>AQ</v>
      </c>
      <c r="B102" s="50" t="str">
        <f t="shared" si="5"/>
        <v>LRStrm10</v>
      </c>
      <c r="C102" s="50" t="s">
        <v>257</v>
      </c>
      <c r="D102" s="532" t="s">
        <v>144</v>
      </c>
      <c r="E102" s="50" t="s">
        <v>53</v>
      </c>
      <c r="F102" s="535" t="str">
        <f>R.8AcctImpName2</f>
        <v xml:space="preserve"> </v>
      </c>
      <c r="G102" s="543">
        <f>R.8AcctImpHrs2</f>
        <v>0</v>
      </c>
      <c r="H102" s="544">
        <f>Table3[[#This Row],[Hrs Rank]]</f>
        <v>0</v>
      </c>
      <c r="I102" s="534">
        <f t="shared" si="6"/>
        <v>0</v>
      </c>
      <c r="J102" s="534">
        <f t="shared" si="7"/>
        <v>0</v>
      </c>
      <c r="K102" s="546"/>
      <c r="L102" s="546"/>
      <c r="M102" s="547" t="s">
        <v>225</v>
      </c>
      <c r="N102" s="547" t="s">
        <v>225</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4"/>
        <v>AQ</v>
      </c>
      <c r="B103" s="50" t="str">
        <f t="shared" si="5"/>
        <v>LRStrm10</v>
      </c>
      <c r="C103" s="50" t="s">
        <v>257</v>
      </c>
      <c r="D103" s="532" t="s">
        <v>144</v>
      </c>
      <c r="E103" s="50" t="s">
        <v>53</v>
      </c>
      <c r="F103" s="535" t="str">
        <f>R.8AcctImpName3</f>
        <v xml:space="preserve"> </v>
      </c>
      <c r="G103" s="543">
        <f>R.8AcctImpHrs3</f>
        <v>0</v>
      </c>
      <c r="H103" s="544">
        <f>Table3[[#This Row],[Hrs Rank]]</f>
        <v>0</v>
      </c>
      <c r="I103" s="534">
        <f t="shared" si="6"/>
        <v>0</v>
      </c>
      <c r="J103" s="534">
        <f t="shared" si="7"/>
        <v>0</v>
      </c>
      <c r="K103" s="546"/>
      <c r="L103" s="546"/>
      <c r="M103" s="547" t="s">
        <v>225</v>
      </c>
      <c r="N103" s="547" t="s">
        <v>225</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4"/>
        <v>AQ</v>
      </c>
      <c r="B104" s="50" t="str">
        <f t="shared" si="5"/>
        <v>LRStrm10</v>
      </c>
      <c r="C104" s="50" t="s">
        <v>257</v>
      </c>
      <c r="D104" s="532" t="s">
        <v>144</v>
      </c>
      <c r="E104" s="50" t="s">
        <v>53</v>
      </c>
      <c r="F104" s="535" t="str">
        <f>R.8AcctImpName4</f>
        <v xml:space="preserve"> </v>
      </c>
      <c r="G104" s="543">
        <f>R.8AcctImpHrs4</f>
        <v>0</v>
      </c>
      <c r="H104" s="544">
        <f>Table3[[#This Row],[Hrs Rank]]</f>
        <v>0</v>
      </c>
      <c r="I104" s="534">
        <f t="shared" si="6"/>
        <v>0</v>
      </c>
      <c r="J104" s="534">
        <f t="shared" si="7"/>
        <v>0</v>
      </c>
      <c r="K104" s="546"/>
      <c r="L104" s="546"/>
      <c r="M104" s="547" t="s">
        <v>225</v>
      </c>
      <c r="N104" s="547" t="s">
        <v>225</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4"/>
        <v>AQ</v>
      </c>
      <c r="B105" s="50" t="str">
        <f t="shared" si="5"/>
        <v>LRStrm10</v>
      </c>
      <c r="C105" s="50" t="s">
        <v>257</v>
      </c>
      <c r="D105" s="532" t="s">
        <v>145</v>
      </c>
      <c r="E105" s="50" t="s">
        <v>54</v>
      </c>
      <c r="F105" s="535">
        <f>R.8DContractDevName1</f>
        <v>0</v>
      </c>
      <c r="G105" s="543">
        <f>R.8DContractDevHrs1</f>
        <v>0</v>
      </c>
      <c r="H105" s="544">
        <f>Table3[[#This Row],[Hrs Rank]]</f>
        <v>0</v>
      </c>
      <c r="I105" s="534">
        <f t="shared" si="6"/>
        <v>0</v>
      </c>
      <c r="J105" s="534">
        <f t="shared" si="7"/>
        <v>0</v>
      </c>
      <c r="K105" s="546"/>
      <c r="L105" s="546"/>
      <c r="M105" s="547" t="s">
        <v>225</v>
      </c>
      <c r="N105" s="547" t="s">
        <v>225</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4"/>
        <v>AQ</v>
      </c>
      <c r="B106" s="50" t="str">
        <f t="shared" si="5"/>
        <v>LRStrm10</v>
      </c>
      <c r="C106" s="50" t="s">
        <v>257</v>
      </c>
      <c r="D106" s="532" t="s">
        <v>145</v>
      </c>
      <c r="E106" s="50" t="s">
        <v>54</v>
      </c>
      <c r="F106" s="535" t="str">
        <f>R.8DContractDevName2</f>
        <v xml:space="preserve"> </v>
      </c>
      <c r="G106" s="543">
        <f>R.8DContractDevHrs2</f>
        <v>0</v>
      </c>
      <c r="H106" s="544">
        <f>Table3[[#This Row],[Hrs Rank]]</f>
        <v>0</v>
      </c>
      <c r="I106" s="534">
        <f t="shared" si="6"/>
        <v>0</v>
      </c>
      <c r="J106" s="534">
        <f t="shared" si="7"/>
        <v>0</v>
      </c>
      <c r="K106" s="546"/>
      <c r="L106" s="546"/>
      <c r="M106" s="547" t="s">
        <v>225</v>
      </c>
      <c r="N106" s="547" t="s">
        <v>225</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4"/>
        <v>AQ</v>
      </c>
      <c r="B107" s="50" t="str">
        <f t="shared" si="5"/>
        <v>LRStrm10</v>
      </c>
      <c r="C107" s="50" t="s">
        <v>257</v>
      </c>
      <c r="D107" s="532" t="s">
        <v>145</v>
      </c>
      <c r="E107" s="50" t="s">
        <v>54</v>
      </c>
      <c r="F107" s="535" t="str">
        <f>R.8DContractDevName3</f>
        <v xml:space="preserve"> </v>
      </c>
      <c r="G107" s="543">
        <f>R.8DContractDevHrs3</f>
        <v>0</v>
      </c>
      <c r="H107" s="544">
        <f>Table3[[#This Row],[Hrs Rank]]</f>
        <v>0</v>
      </c>
      <c r="I107" s="534">
        <f t="shared" si="6"/>
        <v>0</v>
      </c>
      <c r="J107" s="534">
        <f t="shared" si="7"/>
        <v>0</v>
      </c>
      <c r="K107" s="546"/>
      <c r="L107" s="546"/>
      <c r="M107" s="547" t="s">
        <v>225</v>
      </c>
      <c r="N107" s="547" t="s">
        <v>225</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4"/>
        <v>AQ</v>
      </c>
      <c r="B108" s="50" t="str">
        <f t="shared" si="5"/>
        <v>LRStrm10</v>
      </c>
      <c r="C108" s="50" t="s">
        <v>257</v>
      </c>
      <c r="D108" s="532" t="s">
        <v>145</v>
      </c>
      <c r="E108" s="50" t="s">
        <v>54</v>
      </c>
      <c r="F108" s="535" t="str">
        <f>R.8DContractDevName4</f>
        <v xml:space="preserve"> </v>
      </c>
      <c r="G108" s="543">
        <f>R.8DContractDevHrs4</f>
        <v>0</v>
      </c>
      <c r="H108" s="544">
        <f>Table3[[#This Row],[Hrs Rank]]</f>
        <v>0</v>
      </c>
      <c r="I108" s="534">
        <f t="shared" si="6"/>
        <v>0</v>
      </c>
      <c r="J108" s="534">
        <f t="shared" si="7"/>
        <v>0</v>
      </c>
      <c r="K108" s="546"/>
      <c r="L108" s="546"/>
      <c r="M108" s="547" t="s">
        <v>225</v>
      </c>
      <c r="N108" s="547" t="s">
        <v>225</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4"/>
        <v>AQ</v>
      </c>
      <c r="B109" s="50" t="str">
        <f t="shared" si="5"/>
        <v>LRStrm10</v>
      </c>
      <c r="C109" s="50" t="s">
        <v>257</v>
      </c>
      <c r="D109" s="532" t="s">
        <v>145</v>
      </c>
      <c r="E109" s="50" t="s">
        <v>53</v>
      </c>
      <c r="F109" s="535">
        <f>R.8DContractImpName1</f>
        <v>0</v>
      </c>
      <c r="G109" s="543">
        <f>R.8DContractImpHrs1</f>
        <v>0</v>
      </c>
      <c r="H109" s="544">
        <f>Table3[[#This Row],[Hrs Rank]]</f>
        <v>0</v>
      </c>
      <c r="I109" s="534">
        <f t="shared" si="6"/>
        <v>0</v>
      </c>
      <c r="J109" s="534">
        <f t="shared" si="7"/>
        <v>0</v>
      </c>
      <c r="K109" s="546"/>
      <c r="L109" s="546"/>
      <c r="M109" s="547" t="s">
        <v>225</v>
      </c>
      <c r="N109" s="547" t="s">
        <v>225</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4"/>
        <v>AQ</v>
      </c>
      <c r="B110" s="50" t="str">
        <f t="shared" si="5"/>
        <v>LRStrm10</v>
      </c>
      <c r="C110" s="50" t="s">
        <v>257</v>
      </c>
      <c r="D110" s="532" t="s">
        <v>145</v>
      </c>
      <c r="E110" s="50" t="s">
        <v>53</v>
      </c>
      <c r="F110" s="535">
        <f>R.8DContractImpName2</f>
        <v>0</v>
      </c>
      <c r="G110" s="543">
        <f>R.8DContractImpHrs2</f>
        <v>0</v>
      </c>
      <c r="H110" s="544">
        <f>Table3[[#This Row],[Hrs Rank]]</f>
        <v>0</v>
      </c>
      <c r="I110" s="534">
        <f t="shared" si="6"/>
        <v>0</v>
      </c>
      <c r="J110" s="534">
        <f t="shared" si="7"/>
        <v>0</v>
      </c>
      <c r="K110" s="546"/>
      <c r="L110" s="546"/>
      <c r="M110" s="547" t="s">
        <v>225</v>
      </c>
      <c r="N110" s="547" t="s">
        <v>225</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4"/>
        <v>AQ</v>
      </c>
      <c r="B111" s="50" t="str">
        <f t="shared" si="5"/>
        <v>LRStrm10</v>
      </c>
      <c r="C111" s="50" t="s">
        <v>257</v>
      </c>
      <c r="D111" s="532" t="s">
        <v>145</v>
      </c>
      <c r="E111" s="50" t="s">
        <v>53</v>
      </c>
      <c r="F111" s="535" t="str">
        <f>R.8DContractImpName3</f>
        <v xml:space="preserve"> </v>
      </c>
      <c r="G111" s="543">
        <f>R.8DContractImpHrs3</f>
        <v>0</v>
      </c>
      <c r="H111" s="544">
        <f>Table3[[#This Row],[Hrs Rank]]</f>
        <v>0</v>
      </c>
      <c r="I111" s="534">
        <f t="shared" si="6"/>
        <v>0</v>
      </c>
      <c r="J111" s="534">
        <f t="shared" si="7"/>
        <v>0</v>
      </c>
      <c r="K111" s="546"/>
      <c r="L111" s="546"/>
      <c r="M111" s="547" t="s">
        <v>225</v>
      </c>
      <c r="N111" s="547" t="s">
        <v>225</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4"/>
        <v>AQ</v>
      </c>
      <c r="B112" s="50" t="str">
        <f t="shared" si="5"/>
        <v>LRStrm10</v>
      </c>
      <c r="C112" s="50" t="s">
        <v>257</v>
      </c>
      <c r="D112" s="532" t="s">
        <v>145</v>
      </c>
      <c r="E112" s="50" t="s">
        <v>53</v>
      </c>
      <c r="F112" s="535" t="str">
        <f>R.8DContractImpName4</f>
        <v xml:space="preserve"> </v>
      </c>
      <c r="G112" s="543">
        <f>R.8DContractImpHrs4</f>
        <v>0</v>
      </c>
      <c r="H112" s="544">
        <f>Table3[[#This Row],[Hrs Rank]]</f>
        <v>0</v>
      </c>
      <c r="I112" s="534">
        <f t="shared" si="6"/>
        <v>0</v>
      </c>
      <c r="J112" s="534">
        <f t="shared" si="7"/>
        <v>0</v>
      </c>
      <c r="K112" s="546"/>
      <c r="L112" s="546"/>
      <c r="M112" s="547" t="s">
        <v>225</v>
      </c>
      <c r="N112" s="547" t="s">
        <v>225</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si="4"/>
        <v>AQ</v>
      </c>
      <c r="B113" s="50" t="str">
        <f t="shared" si="5"/>
        <v>LRStrm10</v>
      </c>
      <c r="C113" s="50" t="s">
        <v>258</v>
      </c>
      <c r="D113" s="532" t="s">
        <v>268</v>
      </c>
      <c r="E113" s="50" t="s">
        <v>54</v>
      </c>
      <c r="F113" s="535">
        <f>R.9ComStrategyDevName2</f>
        <v>0</v>
      </c>
      <c r="G113" s="543">
        <f>R.9ComStrategyDevHrs2</f>
        <v>0</v>
      </c>
      <c r="H113" s="544">
        <f>Table3[[#This Row],[Hrs Rank]]</f>
        <v>0</v>
      </c>
      <c r="I113" s="534">
        <f t="shared" si="6"/>
        <v>0</v>
      </c>
      <c r="J113" s="534">
        <f t="shared" si="7"/>
        <v>0</v>
      </c>
      <c r="K113" s="546"/>
      <c r="L113" s="546"/>
      <c r="M113" s="547" t="s">
        <v>225</v>
      </c>
      <c r="N113" s="547" t="s">
        <v>225</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4"/>
        <v>AQ</v>
      </c>
      <c r="B114" s="50" t="str">
        <f t="shared" si="5"/>
        <v>LRStrm10</v>
      </c>
      <c r="C114" s="50" t="s">
        <v>258</v>
      </c>
      <c r="D114" s="532" t="s">
        <v>268</v>
      </c>
      <c r="E114" s="50" t="s">
        <v>54</v>
      </c>
      <c r="F114" s="535" t="str">
        <f>R.9ComStrategyDevName3</f>
        <v xml:space="preserve"> </v>
      </c>
      <c r="G114" s="543">
        <f>R.9ComStrategyDevHrs3</f>
        <v>0</v>
      </c>
      <c r="H114" s="544">
        <f>Table3[[#This Row],[Hrs Rank]]</f>
        <v>0</v>
      </c>
      <c r="I114" s="534">
        <f t="shared" si="6"/>
        <v>0</v>
      </c>
      <c r="J114" s="534">
        <f t="shared" si="7"/>
        <v>0</v>
      </c>
      <c r="K114" s="546"/>
      <c r="L114" s="546"/>
      <c r="M114" s="547" t="s">
        <v>225</v>
      </c>
      <c r="N114" s="547" t="s">
        <v>225</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4"/>
        <v>AQ</v>
      </c>
      <c r="B115" s="50" t="str">
        <f t="shared" si="5"/>
        <v>LRStrm10</v>
      </c>
      <c r="C115" s="50" t="s">
        <v>258</v>
      </c>
      <c r="D115" s="532" t="s">
        <v>268</v>
      </c>
      <c r="E115" s="50" t="s">
        <v>54</v>
      </c>
      <c r="F115" s="535" t="str">
        <f>R.9ComStrategyDevName4</f>
        <v xml:space="preserve"> </v>
      </c>
      <c r="G115" s="543">
        <f>R.9ComStrategyDevHrs4</f>
        <v>0</v>
      </c>
      <c r="H115" s="544">
        <f>Table3[[#This Row],[Hrs Rank]]</f>
        <v>0</v>
      </c>
      <c r="I115" s="534">
        <f t="shared" si="6"/>
        <v>0</v>
      </c>
      <c r="J115" s="534">
        <f t="shared" si="7"/>
        <v>0</v>
      </c>
      <c r="K115" s="546"/>
      <c r="L115" s="546"/>
      <c r="M115" s="547" t="s">
        <v>225</v>
      </c>
      <c r="N115" s="547" t="s">
        <v>225</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4"/>
        <v>AQ</v>
      </c>
      <c r="B116" s="50" t="str">
        <f t="shared" si="5"/>
        <v>LRStrm10</v>
      </c>
      <c r="C116" s="50" t="s">
        <v>258</v>
      </c>
      <c r="D116" s="532" t="s">
        <v>268</v>
      </c>
      <c r="E116" s="50" t="s">
        <v>53</v>
      </c>
      <c r="F116" s="535" t="str">
        <f>R.9ComStrategyImpName1</f>
        <v xml:space="preserve"> </v>
      </c>
      <c r="G116" s="543">
        <f>R.9ComStrategyImpHrs1</f>
        <v>0</v>
      </c>
      <c r="H116" s="544">
        <f>Table3[[#This Row],[Hrs Rank]]</f>
        <v>0</v>
      </c>
      <c r="I116" s="534">
        <f t="shared" si="6"/>
        <v>0</v>
      </c>
      <c r="J116" s="534">
        <f t="shared" si="7"/>
        <v>0</v>
      </c>
      <c r="K116" s="546"/>
      <c r="L116" s="546"/>
      <c r="M116" s="547" t="s">
        <v>225</v>
      </c>
      <c r="N116" s="547" t="s">
        <v>225</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4"/>
        <v>AQ</v>
      </c>
      <c r="B117" s="50" t="str">
        <f t="shared" si="5"/>
        <v>LRStrm10</v>
      </c>
      <c r="C117" s="50" t="s">
        <v>258</v>
      </c>
      <c r="D117" s="532" t="s">
        <v>268</v>
      </c>
      <c r="E117" s="50" t="s">
        <v>53</v>
      </c>
      <c r="F117" s="535">
        <f>R.9ComStrategyImpName2</f>
        <v>0</v>
      </c>
      <c r="G117" s="543">
        <f>R.9ComStrategyImpHrs2</f>
        <v>0</v>
      </c>
      <c r="H117" s="544">
        <f>Table3[[#This Row],[Hrs Rank]]</f>
        <v>0</v>
      </c>
      <c r="I117" s="534">
        <f t="shared" si="6"/>
        <v>0</v>
      </c>
      <c r="J117" s="534">
        <f t="shared" si="7"/>
        <v>0</v>
      </c>
      <c r="K117" s="546"/>
      <c r="L117" s="546"/>
      <c r="M117" s="547" t="s">
        <v>225</v>
      </c>
      <c r="N117" s="547" t="s">
        <v>225</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4"/>
        <v>AQ</v>
      </c>
      <c r="B118" s="50" t="str">
        <f t="shared" si="5"/>
        <v>LRStrm10</v>
      </c>
      <c r="C118" s="50" t="s">
        <v>258</v>
      </c>
      <c r="D118" s="532" t="s">
        <v>268</v>
      </c>
      <c r="E118" s="50" t="s">
        <v>53</v>
      </c>
      <c r="F118" s="535">
        <f>R.9ComStrategyImpName3</f>
        <v>0</v>
      </c>
      <c r="G118" s="543">
        <f>R.9ComStrategyImpHrs3</f>
        <v>0</v>
      </c>
      <c r="H118" s="544">
        <f>Table3[[#This Row],[Hrs Rank]]</f>
        <v>0</v>
      </c>
      <c r="I118" s="534">
        <f t="shared" si="6"/>
        <v>0</v>
      </c>
      <c r="J118" s="534">
        <f t="shared" si="7"/>
        <v>0</v>
      </c>
      <c r="K118" s="546"/>
      <c r="L118" s="546"/>
      <c r="M118" s="547" t="s">
        <v>225</v>
      </c>
      <c r="N118" s="547" t="s">
        <v>225</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4"/>
        <v>AQ</v>
      </c>
      <c r="B119" s="50" t="str">
        <f t="shared" si="5"/>
        <v>LRStrm10</v>
      </c>
      <c r="C119" s="50" t="s">
        <v>258</v>
      </c>
      <c r="D119" s="532" t="s">
        <v>268</v>
      </c>
      <c r="E119" s="50" t="s">
        <v>53</v>
      </c>
      <c r="F119" s="535" t="str">
        <f>R.9ComStrategyImpName4</f>
        <v xml:space="preserve"> </v>
      </c>
      <c r="G119" s="543">
        <f>R.9ComStrategyImpHrs4</f>
        <v>0</v>
      </c>
      <c r="H119" s="544">
        <f>Table3[[#This Row],[Hrs Rank]]</f>
        <v>0</v>
      </c>
      <c r="I119" s="534">
        <f t="shared" si="6"/>
        <v>0</v>
      </c>
      <c r="J119" s="534">
        <f t="shared" si="7"/>
        <v>0</v>
      </c>
      <c r="K119" s="546"/>
      <c r="L119" s="546"/>
      <c r="M119" s="547" t="s">
        <v>225</v>
      </c>
      <c r="N119" s="547" t="s">
        <v>225</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4"/>
        <v>AQ</v>
      </c>
      <c r="B120" s="50" t="str">
        <f t="shared" si="5"/>
        <v>LRStrm10</v>
      </c>
      <c r="C120" s="50" t="s">
        <v>258</v>
      </c>
      <c r="D120" s="532" t="s">
        <v>269</v>
      </c>
      <c r="E120" s="50" t="s">
        <v>54</v>
      </c>
      <c r="F120" s="535">
        <f>R.9PRDevName1</f>
        <v>0</v>
      </c>
      <c r="G120" s="543">
        <f>R.9PRDevHrs1</f>
        <v>0</v>
      </c>
      <c r="H120" s="544">
        <f>Table3[[#This Row],[Hrs Rank]]</f>
        <v>0</v>
      </c>
      <c r="I120" s="534">
        <f t="shared" si="6"/>
        <v>0</v>
      </c>
      <c r="J120" s="534">
        <f t="shared" si="7"/>
        <v>0</v>
      </c>
      <c r="K120" s="546"/>
      <c r="L120" s="546"/>
      <c r="M120" s="547" t="s">
        <v>225</v>
      </c>
      <c r="N120" s="547" t="s">
        <v>225</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4"/>
        <v>AQ</v>
      </c>
      <c r="B121" s="50" t="str">
        <f t="shared" si="5"/>
        <v>LRStrm10</v>
      </c>
      <c r="C121" s="50" t="s">
        <v>258</v>
      </c>
      <c r="D121" s="532" t="s">
        <v>269</v>
      </c>
      <c r="E121" s="50" t="s">
        <v>54</v>
      </c>
      <c r="F121" s="535" t="str">
        <f>R.9PRDevName2</f>
        <v xml:space="preserve"> </v>
      </c>
      <c r="G121" s="543">
        <f>R.9PRDevHrs2</f>
        <v>0</v>
      </c>
      <c r="H121" s="544">
        <f>Table3[[#This Row],[Hrs Rank]]</f>
        <v>0</v>
      </c>
      <c r="I121" s="534">
        <f t="shared" si="6"/>
        <v>0</v>
      </c>
      <c r="J121" s="534">
        <f t="shared" si="7"/>
        <v>0</v>
      </c>
      <c r="K121" s="546"/>
      <c r="L121" s="546"/>
      <c r="M121" s="547" t="s">
        <v>225</v>
      </c>
      <c r="N121" s="547" t="s">
        <v>225</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4"/>
        <v>AQ</v>
      </c>
      <c r="B122" s="50" t="str">
        <f t="shared" si="5"/>
        <v>LRStrm10</v>
      </c>
      <c r="C122" s="50" t="s">
        <v>258</v>
      </c>
      <c r="D122" s="532" t="s">
        <v>269</v>
      </c>
      <c r="E122" s="50" t="s">
        <v>54</v>
      </c>
      <c r="F122" s="535" t="str">
        <f>R.9PRDevName3</f>
        <v xml:space="preserve"> </v>
      </c>
      <c r="G122" s="543">
        <f>R.9PRDevHrs3</f>
        <v>0</v>
      </c>
      <c r="H122" s="544">
        <f>Table3[[#This Row],[Hrs Rank]]</f>
        <v>0</v>
      </c>
      <c r="I122" s="534">
        <f t="shared" si="6"/>
        <v>0</v>
      </c>
      <c r="J122" s="534">
        <f t="shared" si="7"/>
        <v>0</v>
      </c>
      <c r="K122" s="546"/>
      <c r="L122" s="546"/>
      <c r="M122" s="547" t="s">
        <v>225</v>
      </c>
      <c r="N122" s="547" t="s">
        <v>225</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4"/>
        <v>AQ</v>
      </c>
      <c r="B123" s="50" t="str">
        <f t="shared" si="5"/>
        <v>LRStrm10</v>
      </c>
      <c r="C123" s="50" t="s">
        <v>258</v>
      </c>
      <c r="D123" s="532" t="s">
        <v>269</v>
      </c>
      <c r="E123" s="50" t="s">
        <v>54</v>
      </c>
      <c r="F123" s="535" t="str">
        <f>R.9PRDevName4</f>
        <v xml:space="preserve"> </v>
      </c>
      <c r="G123" s="543">
        <f>R.9PRDevHrs4</f>
        <v>0</v>
      </c>
      <c r="H123" s="544">
        <f>Table3[[#This Row],[Hrs Rank]]</f>
        <v>0</v>
      </c>
      <c r="I123" s="534">
        <f t="shared" si="6"/>
        <v>0</v>
      </c>
      <c r="J123" s="534">
        <f t="shared" si="7"/>
        <v>0</v>
      </c>
      <c r="K123" s="546"/>
      <c r="L123" s="546"/>
      <c r="M123" s="547" t="s">
        <v>225</v>
      </c>
      <c r="N123" s="547" t="s">
        <v>225</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4"/>
        <v>AQ</v>
      </c>
      <c r="B124" s="50" t="str">
        <f t="shared" si="5"/>
        <v>LRStrm10</v>
      </c>
      <c r="C124" s="50" t="s">
        <v>258</v>
      </c>
      <c r="D124" s="532" t="s">
        <v>269</v>
      </c>
      <c r="E124" s="50" t="s">
        <v>53</v>
      </c>
      <c r="F124" s="535" t="str">
        <f>R.9PRImpName2</f>
        <v xml:space="preserve"> </v>
      </c>
      <c r="G124" s="543">
        <f>R.9PRImpHrs2</f>
        <v>0</v>
      </c>
      <c r="H124" s="544">
        <f>Table3[[#This Row],[Hrs Rank]]</f>
        <v>0</v>
      </c>
      <c r="I124" s="534">
        <f t="shared" si="6"/>
        <v>0</v>
      </c>
      <c r="J124" s="534">
        <f t="shared" si="7"/>
        <v>0</v>
      </c>
      <c r="K124" s="546"/>
      <c r="L124" s="546"/>
      <c r="M124" s="547" t="s">
        <v>225</v>
      </c>
      <c r="N124" s="547" t="s">
        <v>225</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4"/>
        <v>AQ</v>
      </c>
      <c r="B125" s="50" t="str">
        <f t="shared" si="5"/>
        <v>LRStrm10</v>
      </c>
      <c r="C125" s="50" t="s">
        <v>258</v>
      </c>
      <c r="D125" s="532" t="s">
        <v>269</v>
      </c>
      <c r="E125" s="50" t="s">
        <v>53</v>
      </c>
      <c r="F125" s="535" t="str">
        <f>R.9PRImpName3</f>
        <v xml:space="preserve"> </v>
      </c>
      <c r="G125" s="543">
        <f>R.9PRImpHrs3</f>
        <v>0</v>
      </c>
      <c r="H125" s="544">
        <f>Table3[[#This Row],[Hrs Rank]]</f>
        <v>0</v>
      </c>
      <c r="I125" s="534">
        <f t="shared" si="6"/>
        <v>0</v>
      </c>
      <c r="J125" s="534">
        <f t="shared" si="7"/>
        <v>0</v>
      </c>
      <c r="K125" s="546"/>
      <c r="L125" s="546"/>
      <c r="M125" s="547" t="s">
        <v>225</v>
      </c>
      <c r="N125" s="547" t="s">
        <v>225</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4"/>
        <v>AQ</v>
      </c>
      <c r="B126" s="50" t="str">
        <f t="shared" si="5"/>
        <v>LRStrm10</v>
      </c>
      <c r="C126" s="50" t="s">
        <v>258</v>
      </c>
      <c r="D126" s="532" t="s">
        <v>269</v>
      </c>
      <c r="E126" s="50" t="s">
        <v>53</v>
      </c>
      <c r="F126" s="535" t="str">
        <f>R.9PRImpName4</f>
        <v xml:space="preserve"> </v>
      </c>
      <c r="G126" s="543">
        <f>R.9PRImpHrs4</f>
        <v>0</v>
      </c>
      <c r="H126" s="544">
        <f>Table3[[#This Row],[Hrs Rank]]</f>
        <v>0</v>
      </c>
      <c r="I126" s="534">
        <f t="shared" si="6"/>
        <v>0</v>
      </c>
      <c r="J126" s="534">
        <f t="shared" si="7"/>
        <v>0</v>
      </c>
      <c r="K126" s="546"/>
      <c r="L126" s="546"/>
      <c r="M126" s="547" t="s">
        <v>225</v>
      </c>
      <c r="N126" s="547" t="s">
        <v>225</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4"/>
        <v>AQ</v>
      </c>
      <c r="B127" s="50" t="str">
        <f t="shared" si="5"/>
        <v>LRStrm10</v>
      </c>
      <c r="C127" s="50" t="s">
        <v>258</v>
      </c>
      <c r="D127" s="532" t="s">
        <v>106</v>
      </c>
      <c r="E127" s="50" t="s">
        <v>54</v>
      </c>
      <c r="F127" s="535" t="str">
        <f>R.9WebDevName2</f>
        <v xml:space="preserve"> </v>
      </c>
      <c r="G127" s="543">
        <f>R.9WebDevHrs2</f>
        <v>0</v>
      </c>
      <c r="H127" s="544">
        <f>Table3[[#This Row],[Hrs Rank]]</f>
        <v>0</v>
      </c>
      <c r="I127" s="534">
        <f t="shared" si="6"/>
        <v>0</v>
      </c>
      <c r="J127" s="534">
        <f t="shared" si="7"/>
        <v>0</v>
      </c>
      <c r="K127" s="546"/>
      <c r="L127" s="546"/>
      <c r="M127" s="547" t="s">
        <v>225</v>
      </c>
      <c r="N127" s="547" t="s">
        <v>225</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4"/>
        <v>AQ</v>
      </c>
      <c r="B128" s="50" t="str">
        <f t="shared" si="5"/>
        <v>LRStrm10</v>
      </c>
      <c r="C128" s="50" t="s">
        <v>258</v>
      </c>
      <c r="D128" s="532" t="s">
        <v>106</v>
      </c>
      <c r="E128" s="50" t="s">
        <v>54</v>
      </c>
      <c r="F128" s="535" t="str">
        <f>R.9WebDevName3</f>
        <v xml:space="preserve"> </v>
      </c>
      <c r="G128" s="543">
        <f>R.9WebDevHrs3</f>
        <v>0</v>
      </c>
      <c r="H128" s="544">
        <f>Table3[[#This Row],[Hrs Rank]]</f>
        <v>0</v>
      </c>
      <c r="I128" s="534">
        <f t="shared" si="6"/>
        <v>0</v>
      </c>
      <c r="J128" s="534">
        <f t="shared" si="7"/>
        <v>0</v>
      </c>
      <c r="K128" s="546"/>
      <c r="L128" s="546"/>
      <c r="M128" s="547" t="s">
        <v>225</v>
      </c>
      <c r="N128" s="547" t="s">
        <v>225</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4"/>
        <v>AQ</v>
      </c>
      <c r="B129" s="50" t="str">
        <f t="shared" si="5"/>
        <v>LRStrm10</v>
      </c>
      <c r="C129" s="50" t="s">
        <v>258</v>
      </c>
      <c r="D129" s="532" t="s">
        <v>106</v>
      </c>
      <c r="E129" s="50" t="s">
        <v>54</v>
      </c>
      <c r="F129" s="535" t="str">
        <f>R.9WebDevName4</f>
        <v xml:space="preserve"> </v>
      </c>
      <c r="G129" s="543">
        <f>R.9WebDevHrs4</f>
        <v>0</v>
      </c>
      <c r="H129" s="544">
        <f>Table3[[#This Row],[Hrs Rank]]</f>
        <v>0</v>
      </c>
      <c r="I129" s="534">
        <f t="shared" si="6"/>
        <v>0</v>
      </c>
      <c r="J129" s="534">
        <f t="shared" si="7"/>
        <v>0</v>
      </c>
      <c r="K129" s="546"/>
      <c r="L129" s="546"/>
      <c r="M129" s="547" t="s">
        <v>225</v>
      </c>
      <c r="N129" s="547" t="s">
        <v>225</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4"/>
        <v>AQ</v>
      </c>
      <c r="B130" s="50" t="str">
        <f t="shared" si="5"/>
        <v>LRStrm10</v>
      </c>
      <c r="C130" s="50" t="s">
        <v>258</v>
      </c>
      <c r="D130" s="532" t="s">
        <v>106</v>
      </c>
      <c r="E130" s="50" t="s">
        <v>53</v>
      </c>
      <c r="F130" s="535" t="str">
        <f>R.9WebImpName2</f>
        <v xml:space="preserve"> </v>
      </c>
      <c r="G130" s="543">
        <f>R.9WebImpHrs2</f>
        <v>0</v>
      </c>
      <c r="H130" s="544">
        <f>Table3[[#This Row],[Hrs Rank]]</f>
        <v>0</v>
      </c>
      <c r="I130" s="534">
        <f t="shared" si="6"/>
        <v>0</v>
      </c>
      <c r="J130" s="534">
        <f t="shared" si="7"/>
        <v>0</v>
      </c>
      <c r="K130" s="546"/>
      <c r="L130" s="546"/>
      <c r="M130" s="547" t="s">
        <v>225</v>
      </c>
      <c r="N130" s="547" t="s">
        <v>225</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ref="A131:A194" si="8">R.1Division</f>
        <v>AQ</v>
      </c>
      <c r="B131" s="50" t="str">
        <f t="shared" ref="B131:B194" si="9">R.1CodeName</f>
        <v>LRStrm10</v>
      </c>
      <c r="C131" s="50" t="s">
        <v>258</v>
      </c>
      <c r="D131" s="532" t="s">
        <v>106</v>
      </c>
      <c r="E131" s="50" t="s">
        <v>53</v>
      </c>
      <c r="F131" s="535" t="str">
        <f>R.9WebImpName3</f>
        <v xml:space="preserve"> </v>
      </c>
      <c r="G131" s="543">
        <f>R.9WebImpHrs3</f>
        <v>0</v>
      </c>
      <c r="H131" s="544">
        <f>Table3[[#This Row],[Hrs Rank]]</f>
        <v>0</v>
      </c>
      <c r="I131" s="534">
        <f t="shared" si="6"/>
        <v>0</v>
      </c>
      <c r="J131" s="534">
        <f t="shared" si="7"/>
        <v>0</v>
      </c>
      <c r="K131" s="546"/>
      <c r="L131" s="546"/>
      <c r="M131" s="547" t="s">
        <v>225</v>
      </c>
      <c r="N131" s="547" t="s">
        <v>225</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8"/>
        <v>AQ</v>
      </c>
      <c r="B132" s="50" t="str">
        <f t="shared" si="9"/>
        <v>LRStrm10</v>
      </c>
      <c r="C132" s="50" t="s">
        <v>258</v>
      </c>
      <c r="D132" s="532" t="s">
        <v>106</v>
      </c>
      <c r="E132" s="50" t="s">
        <v>53</v>
      </c>
      <c r="F132" s="535" t="str">
        <f>R.9WebImpName4</f>
        <v xml:space="preserve"> </v>
      </c>
      <c r="G132" s="543">
        <f>R.9WebImpHrs4</f>
        <v>0</v>
      </c>
      <c r="H132" s="544">
        <f>Table3[[#This Row],[Hrs Rank]]</f>
        <v>0</v>
      </c>
      <c r="I132" s="534">
        <f t="shared" si="6"/>
        <v>0</v>
      </c>
      <c r="J132" s="534">
        <f t="shared" si="7"/>
        <v>0</v>
      </c>
      <c r="K132" s="546"/>
      <c r="L132" s="546"/>
      <c r="M132" s="547" t="s">
        <v>225</v>
      </c>
      <c r="N132" s="547" t="s">
        <v>225</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8"/>
        <v>AQ</v>
      </c>
      <c r="B133" s="50" t="str">
        <f t="shared" si="9"/>
        <v>LRStrm10</v>
      </c>
      <c r="C133" s="50" t="s">
        <v>259</v>
      </c>
      <c r="D133" s="532" t="s">
        <v>142</v>
      </c>
      <c r="E133" s="50" t="s">
        <v>54</v>
      </c>
      <c r="F133" s="535">
        <f>R.10HRDevName1</f>
        <v>0</v>
      </c>
      <c r="G133" s="543">
        <f>R.10HRDevHrs1</f>
        <v>0</v>
      </c>
      <c r="H133" s="544">
        <f>Table3[[#This Row],[Hrs Rank]]</f>
        <v>0</v>
      </c>
      <c r="I133" s="534">
        <f t="shared" si="6"/>
        <v>0</v>
      </c>
      <c r="J133" s="534">
        <f t="shared" si="7"/>
        <v>0</v>
      </c>
      <c r="K133" s="546"/>
      <c r="L133" s="546"/>
      <c r="M133" s="547" t="s">
        <v>225</v>
      </c>
      <c r="N133" s="547" t="s">
        <v>225</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8"/>
        <v>AQ</v>
      </c>
      <c r="B134" s="50" t="str">
        <f t="shared" si="9"/>
        <v>LRStrm10</v>
      </c>
      <c r="C134" s="50" t="s">
        <v>259</v>
      </c>
      <c r="D134" s="532" t="s">
        <v>142</v>
      </c>
      <c r="E134" s="50" t="s">
        <v>54</v>
      </c>
      <c r="F134" s="535">
        <f>R.10HRDevName2</f>
        <v>0</v>
      </c>
      <c r="G134" s="543">
        <f>R.10HRDevHrs2</f>
        <v>0</v>
      </c>
      <c r="H134" s="544">
        <f>Table3[[#This Row],[Hrs Rank]]</f>
        <v>0</v>
      </c>
      <c r="I134" s="534">
        <f t="shared" si="6"/>
        <v>0</v>
      </c>
      <c r="J134" s="534">
        <f t="shared" si="7"/>
        <v>0</v>
      </c>
      <c r="K134" s="546"/>
      <c r="L134" s="546"/>
      <c r="M134" s="547" t="s">
        <v>225</v>
      </c>
      <c r="N134" s="547" t="s">
        <v>225</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8"/>
        <v>AQ</v>
      </c>
      <c r="B135" s="50" t="str">
        <f t="shared" si="9"/>
        <v>LRStrm10</v>
      </c>
      <c r="C135" s="50" t="s">
        <v>259</v>
      </c>
      <c r="D135" s="532" t="s">
        <v>142</v>
      </c>
      <c r="E135" s="50" t="s">
        <v>54</v>
      </c>
      <c r="F135" s="535">
        <f>R.10HRDevName3</f>
        <v>0</v>
      </c>
      <c r="G135" s="543">
        <f>R.10HRDevHrs3</f>
        <v>0</v>
      </c>
      <c r="H135" s="544">
        <f>Table3[[#This Row],[Hrs Rank]]</f>
        <v>0</v>
      </c>
      <c r="I135" s="534">
        <f t="shared" si="6"/>
        <v>0</v>
      </c>
      <c r="J135" s="534">
        <f t="shared" si="7"/>
        <v>0</v>
      </c>
      <c r="K135" s="546"/>
      <c r="L135" s="546"/>
      <c r="M135" s="547" t="s">
        <v>225</v>
      </c>
      <c r="N135" s="547" t="s">
        <v>225</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8"/>
        <v>AQ</v>
      </c>
      <c r="B136" s="50" t="str">
        <f t="shared" si="9"/>
        <v>LRStrm10</v>
      </c>
      <c r="C136" s="50" t="s">
        <v>259</v>
      </c>
      <c r="D136" s="532" t="s">
        <v>142</v>
      </c>
      <c r="E136" s="50" t="s">
        <v>54</v>
      </c>
      <c r="F136" s="535" t="str">
        <f>R.10HRDevName4</f>
        <v xml:space="preserve"> </v>
      </c>
      <c r="G136" s="543">
        <f>R.10HRDevHrs4</f>
        <v>0</v>
      </c>
      <c r="H136" s="544">
        <f>Table3[[#This Row],[Hrs Rank]]</f>
        <v>0</v>
      </c>
      <c r="I136" s="534">
        <f t="shared" si="6"/>
        <v>0</v>
      </c>
      <c r="J136" s="534">
        <f t="shared" si="7"/>
        <v>0</v>
      </c>
      <c r="K136" s="546"/>
      <c r="L136" s="546"/>
      <c r="M136" s="547" t="s">
        <v>225</v>
      </c>
      <c r="N136" s="547" t="s">
        <v>225</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8"/>
        <v>AQ</v>
      </c>
      <c r="B137" s="50" t="str">
        <f t="shared" si="9"/>
        <v>LRStrm10</v>
      </c>
      <c r="C137" s="50" t="s">
        <v>259</v>
      </c>
      <c r="D137" s="532" t="s">
        <v>142</v>
      </c>
      <c r="E137" s="50" t="s">
        <v>53</v>
      </c>
      <c r="F137" s="535">
        <f>R.10HRImpName1</f>
        <v>0</v>
      </c>
      <c r="G137" s="543">
        <f>R.10HRImpHrs1</f>
        <v>0</v>
      </c>
      <c r="H137" s="544">
        <f>Table3[[#This Row],[Hrs Rank]]</f>
        <v>0</v>
      </c>
      <c r="I137" s="534">
        <f t="shared" si="6"/>
        <v>0</v>
      </c>
      <c r="J137" s="534">
        <f t="shared" si="7"/>
        <v>0</v>
      </c>
      <c r="K137" s="546"/>
      <c r="L137" s="546"/>
      <c r="M137" s="547" t="s">
        <v>225</v>
      </c>
      <c r="N137" s="547" t="s">
        <v>225</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8"/>
        <v>AQ</v>
      </c>
      <c r="B138" s="50" t="str">
        <f t="shared" si="9"/>
        <v>LRStrm10</v>
      </c>
      <c r="C138" s="50" t="s">
        <v>259</v>
      </c>
      <c r="D138" s="532" t="s">
        <v>142</v>
      </c>
      <c r="E138" s="50" t="s">
        <v>53</v>
      </c>
      <c r="F138" s="535" t="str">
        <f>R.10HRImpName2</f>
        <v xml:space="preserve"> </v>
      </c>
      <c r="G138" s="543">
        <f>R.10HRImpHrs2</f>
        <v>0</v>
      </c>
      <c r="H138" s="544">
        <f>Table3[[#This Row],[Hrs Rank]]</f>
        <v>0</v>
      </c>
      <c r="I138" s="534">
        <f t="shared" si="6"/>
        <v>0</v>
      </c>
      <c r="J138" s="534">
        <f t="shared" si="7"/>
        <v>0</v>
      </c>
      <c r="K138" s="546"/>
      <c r="L138" s="546"/>
      <c r="M138" s="547" t="s">
        <v>225</v>
      </c>
      <c r="N138" s="547" t="s">
        <v>225</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8"/>
        <v>AQ</v>
      </c>
      <c r="B139" s="50" t="str">
        <f t="shared" si="9"/>
        <v>LRStrm10</v>
      </c>
      <c r="C139" s="50" t="s">
        <v>259</v>
      </c>
      <c r="D139" s="532" t="s">
        <v>142</v>
      </c>
      <c r="E139" s="50" t="s">
        <v>53</v>
      </c>
      <c r="F139" s="535" t="str">
        <f>R.10HRImpName3</f>
        <v xml:space="preserve"> </v>
      </c>
      <c r="G139" s="543">
        <f>R.10HRImpHrs3</f>
        <v>0</v>
      </c>
      <c r="H139" s="544">
        <f>Table3[[#This Row],[Hrs Rank]]</f>
        <v>0</v>
      </c>
      <c r="I139" s="534">
        <f t="shared" si="6"/>
        <v>0</v>
      </c>
      <c r="J139" s="534">
        <f t="shared" si="7"/>
        <v>0</v>
      </c>
      <c r="K139" s="546"/>
      <c r="L139" s="546"/>
      <c r="M139" s="547" t="s">
        <v>225</v>
      </c>
      <c r="N139" s="547" t="s">
        <v>225</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8"/>
        <v>AQ</v>
      </c>
      <c r="B140" s="50" t="str">
        <f t="shared" si="9"/>
        <v>LRStrm10</v>
      </c>
      <c r="C140" s="50" t="s">
        <v>259</v>
      </c>
      <c r="D140" s="532" t="s">
        <v>142</v>
      </c>
      <c r="E140" s="50" t="s">
        <v>53</v>
      </c>
      <c r="F140" s="535" t="str">
        <f>R.10HRImpName4</f>
        <v xml:space="preserve"> </v>
      </c>
      <c r="G140" s="543">
        <f>R.10HRImpHrs4</f>
        <v>0</v>
      </c>
      <c r="H140" s="544">
        <f>Table3[[#This Row],[Hrs Rank]]</f>
        <v>0</v>
      </c>
      <c r="I140" s="534">
        <f t="shared" si="6"/>
        <v>0</v>
      </c>
      <c r="J140" s="534">
        <f t="shared" si="7"/>
        <v>0</v>
      </c>
      <c r="K140" s="546"/>
      <c r="L140" s="546"/>
      <c r="M140" s="547" t="s">
        <v>225</v>
      </c>
      <c r="N140" s="547" t="s">
        <v>225</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8"/>
        <v>AQ</v>
      </c>
      <c r="B141" s="50" t="str">
        <f t="shared" si="9"/>
        <v>LRStrm10</v>
      </c>
      <c r="C141" s="50" t="s">
        <v>259</v>
      </c>
      <c r="D141" s="532" t="s">
        <v>141</v>
      </c>
      <c r="E141" s="50" t="s">
        <v>54</v>
      </c>
      <c r="F141" s="535">
        <f>R.10PolicyDevName1</f>
        <v>0</v>
      </c>
      <c r="G141" s="543">
        <f>R.10PolicyDevHrs1</f>
        <v>0</v>
      </c>
      <c r="H141" s="544">
        <f>Table3[[#This Row],[Hrs Rank]]</f>
        <v>0</v>
      </c>
      <c r="I141" s="534">
        <f t="shared" si="6"/>
        <v>0</v>
      </c>
      <c r="J141" s="534">
        <f t="shared" si="7"/>
        <v>0</v>
      </c>
      <c r="K141" s="608"/>
      <c r="L141" s="608"/>
      <c r="M141" s="547" t="s">
        <v>225</v>
      </c>
      <c r="N141" s="547" t="s">
        <v>225</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8"/>
        <v>AQ</v>
      </c>
      <c r="B142" s="50" t="str">
        <f t="shared" si="9"/>
        <v>LRStrm10</v>
      </c>
      <c r="C142" s="50" t="s">
        <v>259</v>
      </c>
      <c r="D142" s="532" t="s">
        <v>141</v>
      </c>
      <c r="E142" s="50" t="s">
        <v>54</v>
      </c>
      <c r="F142" s="535" t="str">
        <f>R.10PolicyDevName2</f>
        <v xml:space="preserve"> </v>
      </c>
      <c r="G142" s="543">
        <f>R.10PolicyDevHrs2</f>
        <v>0</v>
      </c>
      <c r="H142" s="544">
        <f>Table3[[#This Row],[Hrs Rank]]</f>
        <v>0</v>
      </c>
      <c r="I142" s="534">
        <f t="shared" si="6"/>
        <v>0</v>
      </c>
      <c r="J142" s="534">
        <f t="shared" si="7"/>
        <v>0</v>
      </c>
      <c r="K142" s="608"/>
      <c r="L142" s="608"/>
      <c r="M142" s="547" t="s">
        <v>225</v>
      </c>
      <c r="N142" s="547" t="s">
        <v>225</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8"/>
        <v>AQ</v>
      </c>
      <c r="B143" s="50" t="str">
        <f t="shared" si="9"/>
        <v>LRStrm10</v>
      </c>
      <c r="C143" s="50" t="s">
        <v>259</v>
      </c>
      <c r="D143" s="532" t="s">
        <v>141</v>
      </c>
      <c r="E143" s="50" t="s">
        <v>54</v>
      </c>
      <c r="F143" s="535" t="str">
        <f>R.10PolicyDevName3</f>
        <v xml:space="preserve"> </v>
      </c>
      <c r="G143" s="543">
        <f>R.10PolicyDevHrs3</f>
        <v>0</v>
      </c>
      <c r="H143" s="544">
        <f>Table3[[#This Row],[Hrs Rank]]</f>
        <v>0</v>
      </c>
      <c r="I143" s="534">
        <f t="shared" si="6"/>
        <v>0</v>
      </c>
      <c r="J143" s="534">
        <f t="shared" si="7"/>
        <v>0</v>
      </c>
      <c r="K143" s="608"/>
      <c r="L143" s="608"/>
      <c r="M143" s="547" t="s">
        <v>225</v>
      </c>
      <c r="N143" s="547" t="s">
        <v>225</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8"/>
        <v>AQ</v>
      </c>
      <c r="B144" s="50" t="str">
        <f t="shared" si="9"/>
        <v>LRStrm10</v>
      </c>
      <c r="C144" s="50" t="s">
        <v>259</v>
      </c>
      <c r="D144" s="532" t="s">
        <v>141</v>
      </c>
      <c r="E144" s="50" t="s">
        <v>54</v>
      </c>
      <c r="F144" s="535" t="str">
        <f>R.10PolicyDevName4</f>
        <v xml:space="preserve"> </v>
      </c>
      <c r="G144" s="543">
        <f>R.10PolicyDevHrs4</f>
        <v>0</v>
      </c>
      <c r="H144" s="544">
        <f>Table3[[#This Row],[Hrs Rank]]</f>
        <v>0</v>
      </c>
      <c r="I144" s="534">
        <f t="shared" si="6"/>
        <v>0</v>
      </c>
      <c r="J144" s="534">
        <f t="shared" si="7"/>
        <v>0</v>
      </c>
      <c r="K144" s="608"/>
      <c r="L144" s="608"/>
      <c r="M144" s="547" t="s">
        <v>225</v>
      </c>
      <c r="N144" s="547" t="s">
        <v>225</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8"/>
        <v>AQ</v>
      </c>
      <c r="B145" s="50" t="str">
        <f t="shared" si="9"/>
        <v>LRStrm10</v>
      </c>
      <c r="C145" s="50" t="s">
        <v>259</v>
      </c>
      <c r="D145" s="532" t="s">
        <v>141</v>
      </c>
      <c r="E145" s="50" t="s">
        <v>53</v>
      </c>
      <c r="F145" s="535">
        <f>R.10PolicyImpName1</f>
        <v>0</v>
      </c>
      <c r="G145" s="543">
        <f>R.10PolicyImpHrs1</f>
        <v>0</v>
      </c>
      <c r="H145" s="544">
        <f>Table3[[#This Row],[Hrs Rank]]</f>
        <v>0</v>
      </c>
      <c r="I145" s="534">
        <f t="shared" si="6"/>
        <v>0</v>
      </c>
      <c r="J145" s="534">
        <f t="shared" si="7"/>
        <v>0</v>
      </c>
      <c r="K145" s="608"/>
      <c r="L145" s="608"/>
      <c r="M145" s="547" t="s">
        <v>225</v>
      </c>
      <c r="N145" s="547" t="s">
        <v>225</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8"/>
        <v>AQ</v>
      </c>
      <c r="B146" s="50" t="str">
        <f t="shared" si="9"/>
        <v>LRStrm10</v>
      </c>
      <c r="C146" s="50" t="s">
        <v>259</v>
      </c>
      <c r="D146" s="532" t="s">
        <v>141</v>
      </c>
      <c r="E146" s="50" t="s">
        <v>53</v>
      </c>
      <c r="F146" s="535" t="str">
        <f>R.10PolicyImpName2</f>
        <v xml:space="preserve"> </v>
      </c>
      <c r="G146" s="543">
        <f>R.10PolicyImpHrs2</f>
        <v>0</v>
      </c>
      <c r="H146" s="544">
        <f>Table3[[#This Row],[Hrs Rank]]</f>
        <v>0</v>
      </c>
      <c r="I146" s="534">
        <f t="shared" si="6"/>
        <v>0</v>
      </c>
      <c r="J146" s="534">
        <f t="shared" si="7"/>
        <v>0</v>
      </c>
      <c r="K146" s="608"/>
      <c r="L146" s="608"/>
      <c r="M146" s="547" t="s">
        <v>225</v>
      </c>
      <c r="N146" s="547" t="s">
        <v>225</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8"/>
        <v>AQ</v>
      </c>
      <c r="B147" s="50" t="str">
        <f t="shared" si="9"/>
        <v>LRStrm10</v>
      </c>
      <c r="C147" s="50" t="s">
        <v>259</v>
      </c>
      <c r="D147" s="532" t="s">
        <v>141</v>
      </c>
      <c r="E147" s="50" t="s">
        <v>53</v>
      </c>
      <c r="F147" s="535" t="str">
        <f>R.10PolicyImpName3</f>
        <v xml:space="preserve"> </v>
      </c>
      <c r="G147" s="543">
        <f>R.10PolicyImpHrs3</f>
        <v>0</v>
      </c>
      <c r="H147" s="544">
        <f>Table3[[#This Row],[Hrs Rank]]</f>
        <v>0</v>
      </c>
      <c r="I147" s="534">
        <f t="shared" si="6"/>
        <v>0</v>
      </c>
      <c r="J147" s="534">
        <f t="shared" si="7"/>
        <v>0</v>
      </c>
      <c r="K147" s="608"/>
      <c r="L147" s="608"/>
      <c r="M147" s="547" t="s">
        <v>225</v>
      </c>
      <c r="N147" s="547" t="s">
        <v>225</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8"/>
        <v>AQ</v>
      </c>
      <c r="B148" s="50" t="str">
        <f t="shared" si="9"/>
        <v>LRStrm10</v>
      </c>
      <c r="C148" s="50" t="s">
        <v>259</v>
      </c>
      <c r="D148" s="532" t="s">
        <v>141</v>
      </c>
      <c r="E148" s="50" t="s">
        <v>53</v>
      </c>
      <c r="F148" s="535" t="str">
        <f>R.10PolicyImpName4</f>
        <v xml:space="preserve"> </v>
      </c>
      <c r="G148" s="543">
        <f>R.10PolicyImpHrs4</f>
        <v>0</v>
      </c>
      <c r="H148" s="544">
        <f>Table3[[#This Row],[Hrs Rank]]</f>
        <v>0</v>
      </c>
      <c r="I148" s="534">
        <f t="shared" si="6"/>
        <v>0</v>
      </c>
      <c r="J148" s="534">
        <f t="shared" si="7"/>
        <v>0</v>
      </c>
      <c r="K148" s="608"/>
      <c r="L148" s="608"/>
      <c r="M148" s="547" t="s">
        <v>225</v>
      </c>
      <c r="N148" s="547" t="s">
        <v>225</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si="8"/>
        <v>AQ</v>
      </c>
      <c r="B149" s="50" t="str">
        <f t="shared" si="9"/>
        <v>LRStrm10</v>
      </c>
      <c r="C149" s="50" t="s">
        <v>259</v>
      </c>
      <c r="D149" s="532" t="s">
        <v>140</v>
      </c>
      <c r="E149" s="50" t="s">
        <v>54</v>
      </c>
      <c r="F149" s="535" t="str">
        <f>R.10SafetyDevName1</f>
        <v xml:space="preserve"> </v>
      </c>
      <c r="G149" s="543">
        <f>R.10SafetyDevHrs1</f>
        <v>0</v>
      </c>
      <c r="H149" s="544">
        <f>Table3[[#This Row],[Hrs Rank]]</f>
        <v>0</v>
      </c>
      <c r="I149" s="534">
        <f t="shared" si="6"/>
        <v>0</v>
      </c>
      <c r="J149" s="534">
        <f t="shared" si="7"/>
        <v>0</v>
      </c>
      <c r="K149" s="608"/>
      <c r="L149" s="608"/>
      <c r="M149" s="547" t="s">
        <v>225</v>
      </c>
      <c r="N149" s="547" t="s">
        <v>225</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8"/>
        <v>AQ</v>
      </c>
      <c r="B150" s="50" t="str">
        <f t="shared" si="9"/>
        <v>LRStrm10</v>
      </c>
      <c r="C150" s="50" t="s">
        <v>259</v>
      </c>
      <c r="D150" s="532" t="s">
        <v>140</v>
      </c>
      <c r="E150" s="50" t="s">
        <v>54</v>
      </c>
      <c r="F150" s="535" t="str">
        <f>R.10SafetyDevName2</f>
        <v xml:space="preserve"> </v>
      </c>
      <c r="G150" s="543">
        <f>R.10SafetyDevHrs2</f>
        <v>0</v>
      </c>
      <c r="H150" s="544">
        <f>Table3[[#This Row],[Hrs Rank]]</f>
        <v>0</v>
      </c>
      <c r="I150" s="534">
        <f t="shared" ref="I150:I213" si="10">IF(ISNA(VLOOKUP($H150,R.VL_DEQResourceHours,2,FALSE)),0,VLOOKUP($H150,R.VL_DEQResourceHours,2,FALSE))</f>
        <v>0</v>
      </c>
      <c r="J150" s="534">
        <f t="shared" ref="J150:J213" si="11">IF(ISNA(VLOOKUP($H150,R.VL_DEQResourceHours,3,FALSE)),0,VLOOKUP($H150,R.VL_DEQResourceHours,3,FALSE))</f>
        <v>0</v>
      </c>
      <c r="K150" s="608"/>
      <c r="L150" s="608"/>
      <c r="M150" s="547" t="s">
        <v>225</v>
      </c>
      <c r="N150" s="547" t="s">
        <v>225</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8"/>
        <v>AQ</v>
      </c>
      <c r="B151" s="50" t="str">
        <f t="shared" si="9"/>
        <v>LRStrm10</v>
      </c>
      <c r="C151" s="50" t="s">
        <v>259</v>
      </c>
      <c r="D151" s="532" t="s">
        <v>140</v>
      </c>
      <c r="E151" s="50" t="s">
        <v>54</v>
      </c>
      <c r="F151" s="535" t="str">
        <f>R.10SafetyDevName3</f>
        <v xml:space="preserve"> </v>
      </c>
      <c r="G151" s="543">
        <f>R.10SafetyDevHrs3</f>
        <v>0</v>
      </c>
      <c r="H151" s="544">
        <f>Table3[[#This Row],[Hrs Rank]]</f>
        <v>0</v>
      </c>
      <c r="I151" s="534">
        <f t="shared" si="10"/>
        <v>0</v>
      </c>
      <c r="J151" s="534">
        <f t="shared" si="11"/>
        <v>0</v>
      </c>
      <c r="K151" s="608"/>
      <c r="L151" s="608"/>
      <c r="M151" s="547" t="s">
        <v>225</v>
      </c>
      <c r="N151" s="547" t="s">
        <v>225</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8"/>
        <v>AQ</v>
      </c>
      <c r="B152" s="50" t="str">
        <f t="shared" si="9"/>
        <v>LRStrm10</v>
      </c>
      <c r="C152" s="50" t="s">
        <v>259</v>
      </c>
      <c r="D152" s="532" t="s">
        <v>140</v>
      </c>
      <c r="E152" s="50" t="s">
        <v>54</v>
      </c>
      <c r="F152" s="535" t="str">
        <f>R.10SafetyDevName4</f>
        <v xml:space="preserve"> </v>
      </c>
      <c r="G152" s="543">
        <f>R.10SafetyDevHrs4</f>
        <v>0</v>
      </c>
      <c r="H152" s="544">
        <f>Table3[[#This Row],[Hrs Rank]]</f>
        <v>0</v>
      </c>
      <c r="I152" s="534">
        <f t="shared" si="10"/>
        <v>0</v>
      </c>
      <c r="J152" s="534">
        <f t="shared" si="11"/>
        <v>0</v>
      </c>
      <c r="K152" s="608"/>
      <c r="L152" s="608"/>
      <c r="M152" s="547" t="s">
        <v>225</v>
      </c>
      <c r="N152" s="547" t="s">
        <v>225</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8"/>
        <v>AQ</v>
      </c>
      <c r="B153" s="50" t="str">
        <f t="shared" si="9"/>
        <v>LRStrm10</v>
      </c>
      <c r="C153" s="50" t="s">
        <v>259</v>
      </c>
      <c r="D153" s="532" t="s">
        <v>140</v>
      </c>
      <c r="E153" s="50" t="s">
        <v>53</v>
      </c>
      <c r="F153" s="535" t="str">
        <f>R.10SafetyImpName1</f>
        <v xml:space="preserve"> </v>
      </c>
      <c r="G153" s="543">
        <f>R.10SafetyImpHrs1</f>
        <v>0</v>
      </c>
      <c r="H153" s="544">
        <f>Table3[[#This Row],[Hrs Rank]]</f>
        <v>0</v>
      </c>
      <c r="I153" s="534">
        <f t="shared" si="10"/>
        <v>0</v>
      </c>
      <c r="J153" s="534">
        <f t="shared" si="11"/>
        <v>0</v>
      </c>
      <c r="K153" s="608"/>
      <c r="L153" s="608"/>
      <c r="M153" s="547" t="s">
        <v>225</v>
      </c>
      <c r="N153" s="547" t="s">
        <v>225</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8"/>
        <v>AQ</v>
      </c>
      <c r="B154" s="50" t="str">
        <f t="shared" si="9"/>
        <v>LRStrm10</v>
      </c>
      <c r="C154" s="50" t="s">
        <v>259</v>
      </c>
      <c r="D154" s="532" t="s">
        <v>140</v>
      </c>
      <c r="E154" s="50" t="s">
        <v>53</v>
      </c>
      <c r="F154" s="535" t="str">
        <f>R.10SafetyImpName2</f>
        <v xml:space="preserve"> </v>
      </c>
      <c r="G154" s="543">
        <f>R.10SafetyImpHrs2</f>
        <v>0</v>
      </c>
      <c r="H154" s="544">
        <f>Table3[[#This Row],[Hrs Rank]]</f>
        <v>0</v>
      </c>
      <c r="I154" s="534">
        <f t="shared" si="10"/>
        <v>0</v>
      </c>
      <c r="J154" s="534">
        <f t="shared" si="11"/>
        <v>0</v>
      </c>
      <c r="K154" s="608"/>
      <c r="L154" s="608"/>
      <c r="M154" s="547" t="s">
        <v>225</v>
      </c>
      <c r="N154" s="547" t="s">
        <v>225</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8"/>
        <v>AQ</v>
      </c>
      <c r="B155" s="50" t="str">
        <f t="shared" si="9"/>
        <v>LRStrm10</v>
      </c>
      <c r="C155" s="50" t="s">
        <v>259</v>
      </c>
      <c r="D155" s="532" t="s">
        <v>140</v>
      </c>
      <c r="E155" s="50" t="s">
        <v>53</v>
      </c>
      <c r="F155" s="535">
        <f>R.10SafetyImpName3</f>
        <v>0</v>
      </c>
      <c r="G155" s="543">
        <f>R.10SafetyImpHrs3</f>
        <v>0</v>
      </c>
      <c r="H155" s="544">
        <f>Table3[[#This Row],[Hrs Rank]]</f>
        <v>0</v>
      </c>
      <c r="I155" s="534">
        <f t="shared" si="10"/>
        <v>0</v>
      </c>
      <c r="J155" s="534">
        <f t="shared" si="11"/>
        <v>0</v>
      </c>
      <c r="K155" s="608"/>
      <c r="L155" s="608"/>
      <c r="M155" s="547" t="s">
        <v>225</v>
      </c>
      <c r="N155" s="547" t="s">
        <v>225</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8"/>
        <v>AQ</v>
      </c>
      <c r="B156" s="50" t="str">
        <f t="shared" si="9"/>
        <v>LRStrm10</v>
      </c>
      <c r="C156" s="50" t="s">
        <v>259</v>
      </c>
      <c r="D156" s="532" t="s">
        <v>140</v>
      </c>
      <c r="E156" s="50" t="s">
        <v>53</v>
      </c>
      <c r="F156" s="535" t="str">
        <f>R.10SafetyImpName4</f>
        <v xml:space="preserve"> </v>
      </c>
      <c r="G156" s="543">
        <f>R.10SafetyImpHrs4</f>
        <v>0</v>
      </c>
      <c r="H156" s="544">
        <f>Table3[[#This Row],[Hrs Rank]]</f>
        <v>0</v>
      </c>
      <c r="I156" s="534">
        <f t="shared" si="10"/>
        <v>0</v>
      </c>
      <c r="J156" s="534">
        <f t="shared" si="11"/>
        <v>0</v>
      </c>
      <c r="K156" s="608"/>
      <c r="L156" s="608"/>
      <c r="M156" s="547" t="s">
        <v>225</v>
      </c>
      <c r="N156" s="547" t="s">
        <v>225</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8"/>
        <v>AQ</v>
      </c>
      <c r="B157" s="50" t="str">
        <f t="shared" si="9"/>
        <v>LRStrm10</v>
      </c>
      <c r="C157" s="50" t="s">
        <v>259</v>
      </c>
      <c r="D157" s="532" t="s">
        <v>139</v>
      </c>
      <c r="E157" s="50" t="s">
        <v>54</v>
      </c>
      <c r="F157" s="535">
        <f>R.10TrainingDevName1</f>
        <v>0</v>
      </c>
      <c r="G157" s="543">
        <f>R.10TrainingDevHrs1</f>
        <v>0</v>
      </c>
      <c r="H157" s="544">
        <f>Table3[[#This Row],[Hrs Rank]]</f>
        <v>0</v>
      </c>
      <c r="I157" s="534">
        <f t="shared" si="10"/>
        <v>0</v>
      </c>
      <c r="J157" s="534">
        <f t="shared" si="11"/>
        <v>0</v>
      </c>
      <c r="K157" s="608"/>
      <c r="L157" s="608"/>
      <c r="M157" s="547" t="s">
        <v>225</v>
      </c>
      <c r="N157" s="547" t="s">
        <v>225</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8"/>
        <v>AQ</v>
      </c>
      <c r="B158" s="50" t="str">
        <f t="shared" si="9"/>
        <v>LRStrm10</v>
      </c>
      <c r="C158" s="50" t="s">
        <v>259</v>
      </c>
      <c r="D158" s="532" t="s">
        <v>139</v>
      </c>
      <c r="E158" s="50" t="s">
        <v>54</v>
      </c>
      <c r="F158" s="535">
        <f>R.10TrainingDevName2</f>
        <v>0</v>
      </c>
      <c r="G158" s="543">
        <f>R.10TrainingDevHrs2</f>
        <v>0</v>
      </c>
      <c r="H158" s="544">
        <f>Table3[[#This Row],[Hrs Rank]]</f>
        <v>0</v>
      </c>
      <c r="I158" s="534">
        <f t="shared" si="10"/>
        <v>0</v>
      </c>
      <c r="J158" s="534">
        <f t="shared" si="11"/>
        <v>0</v>
      </c>
      <c r="K158" s="608"/>
      <c r="L158" s="608"/>
      <c r="M158" s="547" t="s">
        <v>225</v>
      </c>
      <c r="N158" s="547" t="s">
        <v>225</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si="8"/>
        <v>AQ</v>
      </c>
      <c r="B159" s="50" t="str">
        <f t="shared" si="9"/>
        <v>LRStrm10</v>
      </c>
      <c r="C159" s="50" t="s">
        <v>259</v>
      </c>
      <c r="D159" s="532" t="s">
        <v>139</v>
      </c>
      <c r="E159" s="50" t="s">
        <v>54</v>
      </c>
      <c r="F159" s="535" t="str">
        <f>R.10TrainingDevName3</f>
        <v xml:space="preserve"> </v>
      </c>
      <c r="G159" s="543">
        <f>R.10TrainingDevHrs3</f>
        <v>0</v>
      </c>
      <c r="H159" s="544">
        <f>Table3[[#This Row],[Hrs Rank]]</f>
        <v>0</v>
      </c>
      <c r="I159" s="534">
        <f t="shared" si="10"/>
        <v>0</v>
      </c>
      <c r="J159" s="534">
        <f t="shared" si="11"/>
        <v>0</v>
      </c>
      <c r="K159" s="608"/>
      <c r="L159" s="608"/>
      <c r="M159" s="547" t="s">
        <v>225</v>
      </c>
      <c r="N159" s="547" t="s">
        <v>225</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8"/>
        <v>AQ</v>
      </c>
      <c r="B160" s="50" t="str">
        <f t="shared" si="9"/>
        <v>LRStrm10</v>
      </c>
      <c r="C160" s="50" t="s">
        <v>259</v>
      </c>
      <c r="D160" s="532" t="s">
        <v>139</v>
      </c>
      <c r="E160" s="50" t="s">
        <v>54</v>
      </c>
      <c r="F160" s="535" t="str">
        <f>R.10TrainingDevName4</f>
        <v xml:space="preserve"> </v>
      </c>
      <c r="G160" s="543">
        <f>R.10TrainingDevHrs4</f>
        <v>0</v>
      </c>
      <c r="H160" s="544">
        <f>Table3[[#This Row],[Hrs Rank]]</f>
        <v>0</v>
      </c>
      <c r="I160" s="534">
        <f t="shared" si="10"/>
        <v>0</v>
      </c>
      <c r="J160" s="534">
        <f t="shared" si="11"/>
        <v>0</v>
      </c>
      <c r="K160" s="551"/>
      <c r="L160" s="551"/>
      <c r="M160" s="547" t="s">
        <v>225</v>
      </c>
      <c r="N160" s="547" t="s">
        <v>225</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8"/>
        <v>AQ</v>
      </c>
      <c r="B161" s="50" t="str">
        <f t="shared" si="9"/>
        <v>LRStrm10</v>
      </c>
      <c r="C161" s="50" t="s">
        <v>259</v>
      </c>
      <c r="D161" s="532" t="s">
        <v>139</v>
      </c>
      <c r="E161" s="50" t="s">
        <v>53</v>
      </c>
      <c r="F161" s="535" t="str">
        <f>R.10TrainingImpName1</f>
        <v xml:space="preserve"> </v>
      </c>
      <c r="G161" s="543">
        <f>R.10TrainingImpHrs1</f>
        <v>0</v>
      </c>
      <c r="H161" s="544">
        <f>Table3[[#This Row],[Hrs Rank]]</f>
        <v>0</v>
      </c>
      <c r="I161" s="534">
        <f t="shared" si="10"/>
        <v>0</v>
      </c>
      <c r="J161" s="534">
        <f t="shared" si="11"/>
        <v>0</v>
      </c>
      <c r="K161" s="551"/>
      <c r="L161" s="551"/>
      <c r="M161" s="547" t="s">
        <v>225</v>
      </c>
      <c r="N161" s="547" t="s">
        <v>225</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8"/>
        <v>AQ</v>
      </c>
      <c r="B162" s="50" t="str">
        <f t="shared" si="9"/>
        <v>LRStrm10</v>
      </c>
      <c r="C162" s="50" t="s">
        <v>259</v>
      </c>
      <c r="D162" s="532" t="s">
        <v>139</v>
      </c>
      <c r="E162" s="50" t="s">
        <v>53</v>
      </c>
      <c r="F162" s="535" t="str">
        <f>R.10TrainingImpName2</f>
        <v xml:space="preserve"> </v>
      </c>
      <c r="G162" s="543">
        <f>R.10TrainingImpHrs2</f>
        <v>0</v>
      </c>
      <c r="H162" s="544">
        <f>Table3[[#This Row],[Hrs Rank]]</f>
        <v>0</v>
      </c>
      <c r="I162" s="534">
        <f t="shared" si="10"/>
        <v>0</v>
      </c>
      <c r="J162" s="534">
        <f t="shared" si="11"/>
        <v>0</v>
      </c>
      <c r="K162" s="551"/>
      <c r="L162" s="551"/>
      <c r="M162" s="547" t="s">
        <v>225</v>
      </c>
      <c r="N162" s="547" t="s">
        <v>225</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8"/>
        <v>AQ</v>
      </c>
      <c r="B163" s="50" t="str">
        <f t="shared" si="9"/>
        <v>LRStrm10</v>
      </c>
      <c r="C163" s="50" t="s">
        <v>259</v>
      </c>
      <c r="D163" s="532" t="s">
        <v>139</v>
      </c>
      <c r="E163" s="50" t="s">
        <v>53</v>
      </c>
      <c r="F163" s="535" t="str">
        <f>R.10TrainingImpName3</f>
        <v xml:space="preserve"> </v>
      </c>
      <c r="G163" s="543">
        <f>R.10TrainingImpHrs3</f>
        <v>0</v>
      </c>
      <c r="H163" s="544">
        <f>Table3[[#This Row],[Hrs Rank]]</f>
        <v>0</v>
      </c>
      <c r="I163" s="534">
        <f t="shared" si="10"/>
        <v>0</v>
      </c>
      <c r="J163" s="534">
        <f t="shared" si="11"/>
        <v>0</v>
      </c>
      <c r="K163" s="551"/>
      <c r="L163" s="551"/>
      <c r="M163" s="547" t="s">
        <v>225</v>
      </c>
      <c r="N163" s="547" t="s">
        <v>225</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8"/>
        <v>AQ</v>
      </c>
      <c r="B164" s="50" t="str">
        <f t="shared" si="9"/>
        <v>LRStrm10</v>
      </c>
      <c r="C164" s="50" t="s">
        <v>259</v>
      </c>
      <c r="D164" s="532" t="s">
        <v>139</v>
      </c>
      <c r="E164" s="50" t="s">
        <v>53</v>
      </c>
      <c r="F164" s="535" t="str">
        <f>R.10TrainingImpName4</f>
        <v xml:space="preserve"> </v>
      </c>
      <c r="G164" s="543">
        <f>R.10TrainingImpHrs4</f>
        <v>0</v>
      </c>
      <c r="H164" s="544">
        <f>Table3[[#This Row],[Hrs Rank]]</f>
        <v>0</v>
      </c>
      <c r="I164" s="534">
        <f t="shared" si="10"/>
        <v>0</v>
      </c>
      <c r="J164" s="534">
        <f t="shared" si="11"/>
        <v>0</v>
      </c>
      <c r="K164" s="551"/>
      <c r="L164" s="551"/>
      <c r="M164" s="547" t="s">
        <v>225</v>
      </c>
      <c r="N164" s="547" t="s">
        <v>225</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8"/>
        <v>AQ</v>
      </c>
      <c r="B165" s="50" t="str">
        <f t="shared" si="9"/>
        <v>LRStrm10</v>
      </c>
      <c r="C165" s="50" t="s">
        <v>260</v>
      </c>
      <c r="D165" s="532" t="s">
        <v>270</v>
      </c>
      <c r="E165" s="50" t="s">
        <v>54</v>
      </c>
      <c r="F165" s="535" t="str">
        <f>R.11DivTechDevName1</f>
        <v xml:space="preserve"> </v>
      </c>
      <c r="G165" s="543">
        <f>R.11DivTechDevHrs1</f>
        <v>0</v>
      </c>
      <c r="H165" s="544">
        <f>Table3[[#This Row],[Hrs Rank]]</f>
        <v>0</v>
      </c>
      <c r="I165" s="534">
        <f t="shared" si="10"/>
        <v>0</v>
      </c>
      <c r="J165" s="534">
        <f t="shared" si="11"/>
        <v>0</v>
      </c>
      <c r="K165" s="551"/>
      <c r="L165" s="551"/>
      <c r="M165" s="547" t="s">
        <v>225</v>
      </c>
      <c r="N165" s="547" t="s">
        <v>225</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8"/>
        <v>AQ</v>
      </c>
      <c r="B166" s="50" t="str">
        <f t="shared" si="9"/>
        <v>LRStrm10</v>
      </c>
      <c r="C166" s="50" t="s">
        <v>260</v>
      </c>
      <c r="D166" s="532" t="s">
        <v>270</v>
      </c>
      <c r="E166" s="50" t="s">
        <v>54</v>
      </c>
      <c r="F166" s="535" t="str">
        <f>R.11DivTechDevName2</f>
        <v xml:space="preserve"> </v>
      </c>
      <c r="G166" s="543">
        <f>R.11DivTechDevHrs2</f>
        <v>0</v>
      </c>
      <c r="H166" s="544">
        <f>Table3[[#This Row],[Hrs Rank]]</f>
        <v>0</v>
      </c>
      <c r="I166" s="534">
        <f t="shared" si="10"/>
        <v>0</v>
      </c>
      <c r="J166" s="534">
        <f t="shared" si="11"/>
        <v>0</v>
      </c>
      <c r="K166" s="551"/>
      <c r="L166" s="551"/>
      <c r="M166" s="547" t="s">
        <v>225</v>
      </c>
      <c r="N166" s="547" t="s">
        <v>225</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8"/>
        <v>AQ</v>
      </c>
      <c r="B167" s="50" t="str">
        <f t="shared" si="9"/>
        <v>LRStrm10</v>
      </c>
      <c r="C167" s="50" t="s">
        <v>260</v>
      </c>
      <c r="D167" s="532" t="s">
        <v>270</v>
      </c>
      <c r="E167" s="50" t="s">
        <v>54</v>
      </c>
      <c r="F167" s="535" t="str">
        <f>R.11DivTechDevName3</f>
        <v xml:space="preserve"> </v>
      </c>
      <c r="G167" s="543">
        <f>R.11DivTechDevHrs3</f>
        <v>0</v>
      </c>
      <c r="H167" s="544">
        <f>Table3[[#This Row],[Hrs Rank]]</f>
        <v>0</v>
      </c>
      <c r="I167" s="534">
        <f t="shared" si="10"/>
        <v>0</v>
      </c>
      <c r="J167" s="534">
        <f t="shared" si="11"/>
        <v>0</v>
      </c>
      <c r="K167" s="551"/>
      <c r="L167" s="551"/>
      <c r="M167" s="547" t="s">
        <v>225</v>
      </c>
      <c r="N167" s="547" t="s">
        <v>225</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8"/>
        <v>AQ</v>
      </c>
      <c r="B168" s="50" t="str">
        <f t="shared" si="9"/>
        <v>LRStrm10</v>
      </c>
      <c r="C168" s="50" t="s">
        <v>260</v>
      </c>
      <c r="D168" s="532" t="s">
        <v>270</v>
      </c>
      <c r="E168" s="50" t="s">
        <v>54</v>
      </c>
      <c r="F168" s="535">
        <f>R.11DivTechDevName4</f>
        <v>0</v>
      </c>
      <c r="G168" s="543">
        <f>R.11DivTechDevHrs4</f>
        <v>0</v>
      </c>
      <c r="H168" s="544">
        <f>Table3[[#This Row],[Hrs Rank]]</f>
        <v>0</v>
      </c>
      <c r="I168" s="534">
        <f t="shared" si="10"/>
        <v>0</v>
      </c>
      <c r="J168" s="534">
        <f t="shared" si="11"/>
        <v>0</v>
      </c>
      <c r="K168" s="551"/>
      <c r="L168" s="551"/>
      <c r="M168" s="547" t="s">
        <v>225</v>
      </c>
      <c r="N168" s="547" t="s">
        <v>225</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8"/>
        <v>AQ</v>
      </c>
      <c r="B169" s="50" t="str">
        <f t="shared" si="9"/>
        <v>LRStrm10</v>
      </c>
      <c r="C169" s="50" t="s">
        <v>260</v>
      </c>
      <c r="D169" s="532" t="s">
        <v>270</v>
      </c>
      <c r="E169" s="50" t="s">
        <v>53</v>
      </c>
      <c r="F169" s="535" t="str">
        <f>R.11DivTechImpName1</f>
        <v xml:space="preserve"> </v>
      </c>
      <c r="G169" s="543">
        <f>R.11DivTechImpHrs1</f>
        <v>0</v>
      </c>
      <c r="H169" s="544">
        <f>Table3[[#This Row],[Hrs Rank]]</f>
        <v>0</v>
      </c>
      <c r="I169" s="534">
        <f t="shared" si="10"/>
        <v>0</v>
      </c>
      <c r="J169" s="534">
        <f t="shared" si="11"/>
        <v>0</v>
      </c>
      <c r="K169" s="551"/>
      <c r="L169" s="551"/>
      <c r="M169" s="547" t="s">
        <v>225</v>
      </c>
      <c r="N169" s="547" t="s">
        <v>225</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8"/>
        <v>AQ</v>
      </c>
      <c r="B170" s="50" t="str">
        <f t="shared" si="9"/>
        <v>LRStrm10</v>
      </c>
      <c r="C170" s="50" t="s">
        <v>260</v>
      </c>
      <c r="D170" s="532" t="s">
        <v>270</v>
      </c>
      <c r="E170" s="50" t="s">
        <v>53</v>
      </c>
      <c r="F170" s="535">
        <f>R.11DivTechImpName2</f>
        <v>0</v>
      </c>
      <c r="G170" s="543">
        <f>R.11DivTechImpHrs2</f>
        <v>0</v>
      </c>
      <c r="H170" s="544">
        <f>Table3[[#This Row],[Hrs Rank]]</f>
        <v>0</v>
      </c>
      <c r="I170" s="534">
        <f t="shared" si="10"/>
        <v>0</v>
      </c>
      <c r="J170" s="534">
        <f t="shared" si="11"/>
        <v>0</v>
      </c>
      <c r="K170" s="551"/>
      <c r="L170" s="551"/>
      <c r="M170" s="547" t="s">
        <v>225</v>
      </c>
      <c r="N170" s="547" t="s">
        <v>225</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8"/>
        <v>AQ</v>
      </c>
      <c r="B171" s="50" t="str">
        <f t="shared" si="9"/>
        <v>LRStrm10</v>
      </c>
      <c r="C171" s="50" t="s">
        <v>260</v>
      </c>
      <c r="D171" s="532" t="s">
        <v>270</v>
      </c>
      <c r="E171" s="50" t="s">
        <v>53</v>
      </c>
      <c r="F171" s="535" t="str">
        <f>R.11DivTechImpName3</f>
        <v xml:space="preserve"> </v>
      </c>
      <c r="G171" s="543">
        <f>R.11DivTechImpHrs3</f>
        <v>0</v>
      </c>
      <c r="H171" s="544">
        <f>Table3[[#This Row],[Hrs Rank]]</f>
        <v>0</v>
      </c>
      <c r="I171" s="534">
        <f t="shared" si="10"/>
        <v>0</v>
      </c>
      <c r="J171" s="534">
        <f t="shared" si="11"/>
        <v>0</v>
      </c>
      <c r="K171" s="551"/>
      <c r="L171" s="551"/>
      <c r="M171" s="547" t="s">
        <v>225</v>
      </c>
      <c r="N171" s="547" t="s">
        <v>225</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8"/>
        <v>AQ</v>
      </c>
      <c r="B172" s="50" t="str">
        <f t="shared" si="9"/>
        <v>LRStrm10</v>
      </c>
      <c r="C172" s="50" t="s">
        <v>260</v>
      </c>
      <c r="D172" s="532" t="s">
        <v>270</v>
      </c>
      <c r="E172" s="50" t="s">
        <v>53</v>
      </c>
      <c r="F172" s="535" t="str">
        <f>R.11DivTechImpName4</f>
        <v xml:space="preserve"> </v>
      </c>
      <c r="G172" s="543">
        <f>R.11DivTechImpHrs4</f>
        <v>0</v>
      </c>
      <c r="H172" s="544">
        <f>Table3[[#This Row],[Hrs Rank]]</f>
        <v>0</v>
      </c>
      <c r="I172" s="534">
        <f t="shared" si="10"/>
        <v>0</v>
      </c>
      <c r="J172" s="534">
        <f t="shared" si="11"/>
        <v>0</v>
      </c>
      <c r="K172" s="551"/>
      <c r="L172" s="551"/>
      <c r="M172" s="547" t="s">
        <v>225</v>
      </c>
      <c r="N172" s="547" t="s">
        <v>225</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8"/>
        <v>AQ</v>
      </c>
      <c r="B173" s="50" t="str">
        <f t="shared" si="9"/>
        <v>LRStrm10</v>
      </c>
      <c r="C173" s="50" t="s">
        <v>260</v>
      </c>
      <c r="D173" s="532" t="s">
        <v>137</v>
      </c>
      <c r="E173" s="50" t="s">
        <v>54</v>
      </c>
      <c r="F173" s="535" t="str">
        <f>R.11ITDevName1</f>
        <v xml:space="preserve"> </v>
      </c>
      <c r="G173" s="543">
        <f>R.11ITDevHrs1</f>
        <v>0</v>
      </c>
      <c r="H173" s="544">
        <f>Table3[[#This Row],[Hrs Rank]]</f>
        <v>0</v>
      </c>
      <c r="I173" s="534">
        <f t="shared" si="10"/>
        <v>0</v>
      </c>
      <c r="J173" s="534">
        <f t="shared" si="11"/>
        <v>0</v>
      </c>
      <c r="K173" s="551"/>
      <c r="L173" s="551"/>
      <c r="M173" s="547" t="s">
        <v>225</v>
      </c>
      <c r="N173" s="547" t="s">
        <v>225</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8"/>
        <v>AQ</v>
      </c>
      <c r="B174" s="50" t="str">
        <f t="shared" si="9"/>
        <v>LRStrm10</v>
      </c>
      <c r="C174" s="50" t="s">
        <v>260</v>
      </c>
      <c r="D174" s="532" t="s">
        <v>137</v>
      </c>
      <c r="E174" s="50" t="s">
        <v>54</v>
      </c>
      <c r="F174" s="535" t="str">
        <f>R.11ITDevName2</f>
        <v xml:space="preserve"> </v>
      </c>
      <c r="G174" s="543">
        <f>R.11ITDevHrs2</f>
        <v>0</v>
      </c>
      <c r="H174" s="544">
        <f>Table3[[#This Row],[Hrs Rank]]</f>
        <v>0</v>
      </c>
      <c r="I174" s="534">
        <f t="shared" si="10"/>
        <v>0</v>
      </c>
      <c r="J174" s="534">
        <f t="shared" si="11"/>
        <v>0</v>
      </c>
      <c r="K174" s="551"/>
      <c r="L174" s="551"/>
      <c r="M174" s="547" t="s">
        <v>225</v>
      </c>
      <c r="N174" s="547" t="s">
        <v>225</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8"/>
        <v>AQ</v>
      </c>
      <c r="B175" s="50" t="str">
        <f t="shared" si="9"/>
        <v>LRStrm10</v>
      </c>
      <c r="C175" s="50" t="s">
        <v>260</v>
      </c>
      <c r="D175" s="532" t="s">
        <v>137</v>
      </c>
      <c r="E175" s="50" t="s">
        <v>54</v>
      </c>
      <c r="F175" s="535" t="str">
        <f>R.11ITDevName3</f>
        <v xml:space="preserve"> </v>
      </c>
      <c r="G175" s="543">
        <f>R.11ITDevHrs3</f>
        <v>0</v>
      </c>
      <c r="H175" s="544">
        <f>Table3[[#This Row],[Hrs Rank]]</f>
        <v>0</v>
      </c>
      <c r="I175" s="534">
        <f t="shared" si="10"/>
        <v>0</v>
      </c>
      <c r="J175" s="534">
        <f t="shared" si="11"/>
        <v>0</v>
      </c>
      <c r="K175" s="551"/>
      <c r="L175" s="551"/>
      <c r="M175" s="547" t="s">
        <v>225</v>
      </c>
      <c r="N175" s="547" t="s">
        <v>225</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8"/>
        <v>AQ</v>
      </c>
      <c r="B176" s="50" t="str">
        <f t="shared" si="9"/>
        <v>LRStrm10</v>
      </c>
      <c r="C176" s="50" t="s">
        <v>260</v>
      </c>
      <c r="D176" s="532" t="s">
        <v>137</v>
      </c>
      <c r="E176" s="50" t="s">
        <v>54</v>
      </c>
      <c r="F176" s="535">
        <f>R.11ITDevName4</f>
        <v>0</v>
      </c>
      <c r="G176" s="543">
        <f>R.11ITDevHrs4</f>
        <v>0</v>
      </c>
      <c r="H176" s="544">
        <f>Table3[[#This Row],[Hrs Rank]]</f>
        <v>0</v>
      </c>
      <c r="I176" s="534">
        <f t="shared" si="10"/>
        <v>0</v>
      </c>
      <c r="J176" s="534">
        <f t="shared" si="11"/>
        <v>0</v>
      </c>
      <c r="K176" s="551"/>
      <c r="L176" s="551"/>
      <c r="M176" s="547" t="s">
        <v>225</v>
      </c>
      <c r="N176" s="547" t="s">
        <v>225</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8"/>
        <v>AQ</v>
      </c>
      <c r="B177" s="50" t="str">
        <f t="shared" si="9"/>
        <v>LRStrm10</v>
      </c>
      <c r="C177" s="50" t="s">
        <v>260</v>
      </c>
      <c r="D177" s="532" t="s">
        <v>137</v>
      </c>
      <c r="E177" s="50" t="s">
        <v>53</v>
      </c>
      <c r="F177" s="535">
        <f>R.11ITImpName1</f>
        <v>0</v>
      </c>
      <c r="G177" s="543">
        <f>R.11ITImpHrs1</f>
        <v>0</v>
      </c>
      <c r="H177" s="544">
        <f>Table3[[#This Row],[Hrs Rank]]</f>
        <v>0</v>
      </c>
      <c r="I177" s="534">
        <f t="shared" si="10"/>
        <v>0</v>
      </c>
      <c r="J177" s="534">
        <f t="shared" si="11"/>
        <v>0</v>
      </c>
      <c r="K177" s="551"/>
      <c r="L177" s="551"/>
      <c r="M177" s="547" t="s">
        <v>225</v>
      </c>
      <c r="N177" s="547" t="s">
        <v>225</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8"/>
        <v>AQ</v>
      </c>
      <c r="B178" s="50" t="str">
        <f t="shared" si="9"/>
        <v>LRStrm10</v>
      </c>
      <c r="C178" s="50" t="s">
        <v>260</v>
      </c>
      <c r="D178" s="532" t="s">
        <v>137</v>
      </c>
      <c r="E178" s="50" t="s">
        <v>53</v>
      </c>
      <c r="F178" s="535" t="str">
        <f>R.11ITImpName2</f>
        <v xml:space="preserve"> </v>
      </c>
      <c r="G178" s="543">
        <f>R.11ITImpHrs2</f>
        <v>0</v>
      </c>
      <c r="H178" s="544">
        <f>Table3[[#This Row],[Hrs Rank]]</f>
        <v>0</v>
      </c>
      <c r="I178" s="534">
        <f t="shared" si="10"/>
        <v>0</v>
      </c>
      <c r="J178" s="534">
        <f t="shared" si="11"/>
        <v>0</v>
      </c>
      <c r="K178" s="551"/>
      <c r="L178" s="551"/>
      <c r="M178" s="547" t="s">
        <v>225</v>
      </c>
      <c r="N178" s="547" t="s">
        <v>225</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8"/>
        <v>AQ</v>
      </c>
      <c r="B179" s="50" t="str">
        <f t="shared" si="9"/>
        <v>LRStrm10</v>
      </c>
      <c r="C179" s="50" t="s">
        <v>260</v>
      </c>
      <c r="D179" s="532" t="s">
        <v>137</v>
      </c>
      <c r="E179" s="50" t="s">
        <v>53</v>
      </c>
      <c r="F179" s="535" t="str">
        <f>R.11ITImpName3</f>
        <v xml:space="preserve"> </v>
      </c>
      <c r="G179" s="543">
        <f>R.11ITImpHrs3</f>
        <v>0</v>
      </c>
      <c r="H179" s="544">
        <f>Table3[[#This Row],[Hrs Rank]]</f>
        <v>0</v>
      </c>
      <c r="I179" s="534">
        <f t="shared" si="10"/>
        <v>0</v>
      </c>
      <c r="J179" s="534">
        <f t="shared" si="11"/>
        <v>0</v>
      </c>
      <c r="K179" s="551"/>
      <c r="L179" s="551"/>
      <c r="M179" s="547" t="s">
        <v>225</v>
      </c>
      <c r="N179" s="547" t="s">
        <v>225</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8"/>
        <v>AQ</v>
      </c>
      <c r="B180" s="50" t="str">
        <f t="shared" si="9"/>
        <v>LRStrm10</v>
      </c>
      <c r="C180" s="50" t="s">
        <v>260</v>
      </c>
      <c r="D180" s="532" t="s">
        <v>137</v>
      </c>
      <c r="E180" s="50" t="s">
        <v>53</v>
      </c>
      <c r="F180" s="535" t="str">
        <f>R.11ITImpName4</f>
        <v xml:space="preserve"> </v>
      </c>
      <c r="G180" s="543">
        <f>R.11ITImpHrs4</f>
        <v>0</v>
      </c>
      <c r="H180" s="544">
        <f>Table3[[#This Row],[Hrs Rank]]</f>
        <v>0</v>
      </c>
      <c r="I180" s="534">
        <f t="shared" si="10"/>
        <v>0</v>
      </c>
      <c r="J180" s="534">
        <f t="shared" si="11"/>
        <v>0</v>
      </c>
      <c r="K180" s="551"/>
      <c r="L180" s="551"/>
      <c r="M180" s="547" t="s">
        <v>225</v>
      </c>
      <c r="N180" s="547" t="s">
        <v>225</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8"/>
        <v>AQ</v>
      </c>
      <c r="B181" s="50" t="str">
        <f t="shared" si="9"/>
        <v>LRStrm10</v>
      </c>
      <c r="C181" s="50" t="s">
        <v>260</v>
      </c>
      <c r="D181" s="532" t="s">
        <v>271</v>
      </c>
      <c r="E181" s="50" t="s">
        <v>54</v>
      </c>
      <c r="F181" s="535">
        <f>R.11BSDDevName1</f>
        <v>0</v>
      </c>
      <c r="G181" s="543">
        <f>R.11BSDDevHrs1</f>
        <v>0</v>
      </c>
      <c r="H181" s="544">
        <f>Table3[[#This Row],[Hrs Rank]]</f>
        <v>0</v>
      </c>
      <c r="I181" s="534">
        <f t="shared" si="10"/>
        <v>0</v>
      </c>
      <c r="J181" s="534">
        <f t="shared" si="11"/>
        <v>0</v>
      </c>
      <c r="K181" s="551"/>
      <c r="L181" s="551"/>
      <c r="M181" s="547" t="s">
        <v>225</v>
      </c>
      <c r="N181" s="547" t="s">
        <v>225</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8"/>
        <v>AQ</v>
      </c>
      <c r="B182" s="50" t="str">
        <f t="shared" si="9"/>
        <v>LRStrm10</v>
      </c>
      <c r="C182" s="50" t="s">
        <v>260</v>
      </c>
      <c r="D182" s="532" t="s">
        <v>271</v>
      </c>
      <c r="E182" s="50" t="s">
        <v>54</v>
      </c>
      <c r="F182" s="535" t="str">
        <f>R.11BSDDevName2</f>
        <v xml:space="preserve"> </v>
      </c>
      <c r="G182" s="543">
        <f>R.11BSDDevHrs2</f>
        <v>0</v>
      </c>
      <c r="H182" s="544">
        <f>Table3[[#This Row],[Hrs Rank]]</f>
        <v>0</v>
      </c>
      <c r="I182" s="534">
        <f t="shared" si="10"/>
        <v>0</v>
      </c>
      <c r="J182" s="534">
        <f t="shared" si="11"/>
        <v>0</v>
      </c>
      <c r="K182" s="551"/>
      <c r="L182" s="551"/>
      <c r="M182" s="547" t="s">
        <v>225</v>
      </c>
      <c r="N182" s="547" t="s">
        <v>225</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8"/>
        <v>AQ</v>
      </c>
      <c r="B183" s="50" t="str">
        <f t="shared" si="9"/>
        <v>LRStrm10</v>
      </c>
      <c r="C183" s="50" t="s">
        <v>260</v>
      </c>
      <c r="D183" s="532" t="s">
        <v>271</v>
      </c>
      <c r="E183" s="50" t="s">
        <v>54</v>
      </c>
      <c r="F183" s="535" t="str">
        <f>R.11BSDDevName3</f>
        <v xml:space="preserve"> </v>
      </c>
      <c r="G183" s="543">
        <f>R.11BSDDevHrs3</f>
        <v>0</v>
      </c>
      <c r="H183" s="544">
        <f>Table3[[#This Row],[Hrs Rank]]</f>
        <v>0</v>
      </c>
      <c r="I183" s="534">
        <f t="shared" si="10"/>
        <v>0</v>
      </c>
      <c r="J183" s="534">
        <f t="shared" si="11"/>
        <v>0</v>
      </c>
      <c r="K183" s="551"/>
      <c r="L183" s="551"/>
      <c r="M183" s="547" t="s">
        <v>225</v>
      </c>
      <c r="N183" s="547" t="s">
        <v>225</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8"/>
        <v>AQ</v>
      </c>
      <c r="B184" s="50" t="str">
        <f t="shared" si="9"/>
        <v>LRStrm10</v>
      </c>
      <c r="C184" s="50" t="s">
        <v>260</v>
      </c>
      <c r="D184" s="532" t="s">
        <v>271</v>
      </c>
      <c r="E184" s="50" t="s">
        <v>54</v>
      </c>
      <c r="F184" s="535" t="str">
        <f>R.11BSDDevName4</f>
        <v xml:space="preserve"> </v>
      </c>
      <c r="G184" s="543">
        <f>R.11BSDDevHrs4</f>
        <v>0</v>
      </c>
      <c r="H184" s="544">
        <f>Table3[[#This Row],[Hrs Rank]]</f>
        <v>0</v>
      </c>
      <c r="I184" s="534">
        <f t="shared" si="10"/>
        <v>0</v>
      </c>
      <c r="J184" s="534">
        <f t="shared" si="11"/>
        <v>0</v>
      </c>
      <c r="K184" s="551"/>
      <c r="L184" s="551"/>
      <c r="M184" s="547" t="s">
        <v>225</v>
      </c>
      <c r="N184" s="547" t="s">
        <v>225</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8"/>
        <v>AQ</v>
      </c>
      <c r="B185" s="50" t="str">
        <f t="shared" si="9"/>
        <v>LRStrm10</v>
      </c>
      <c r="C185" s="50" t="s">
        <v>260</v>
      </c>
      <c r="D185" s="532" t="s">
        <v>271</v>
      </c>
      <c r="E185" s="50" t="s">
        <v>53</v>
      </c>
      <c r="F185" s="535">
        <f>R.11BSDImpName1</f>
        <v>0</v>
      </c>
      <c r="G185" s="543">
        <f>R.11BSDImpHrs1</f>
        <v>0</v>
      </c>
      <c r="H185" s="544">
        <f>Table3[[#This Row],[Hrs Rank]]</f>
        <v>0</v>
      </c>
      <c r="I185" s="534">
        <f t="shared" si="10"/>
        <v>0</v>
      </c>
      <c r="J185" s="534">
        <f t="shared" si="11"/>
        <v>0</v>
      </c>
      <c r="K185" s="551"/>
      <c r="L185" s="551"/>
      <c r="M185" s="547" t="s">
        <v>225</v>
      </c>
      <c r="N185" s="547" t="s">
        <v>225</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8"/>
        <v>AQ</v>
      </c>
      <c r="B186" s="50" t="str">
        <f t="shared" si="9"/>
        <v>LRStrm10</v>
      </c>
      <c r="C186" s="50" t="s">
        <v>260</v>
      </c>
      <c r="D186" s="532" t="s">
        <v>271</v>
      </c>
      <c r="E186" s="50" t="s">
        <v>53</v>
      </c>
      <c r="F186" s="535" t="str">
        <f>R.11BSDImpName2</f>
        <v xml:space="preserve"> </v>
      </c>
      <c r="G186" s="543">
        <f>R.11BSDImpHrs2</f>
        <v>0</v>
      </c>
      <c r="H186" s="544">
        <f>Table3[[#This Row],[Hrs Rank]]</f>
        <v>0</v>
      </c>
      <c r="I186" s="534">
        <f t="shared" si="10"/>
        <v>0</v>
      </c>
      <c r="J186" s="534">
        <f t="shared" si="11"/>
        <v>0</v>
      </c>
      <c r="K186" s="551"/>
      <c r="L186" s="551"/>
      <c r="M186" s="547" t="s">
        <v>225</v>
      </c>
      <c r="N186" s="547" t="s">
        <v>225</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8"/>
        <v>AQ</v>
      </c>
      <c r="B187" s="50" t="str">
        <f t="shared" si="9"/>
        <v>LRStrm10</v>
      </c>
      <c r="C187" s="50" t="s">
        <v>260</v>
      </c>
      <c r="D187" s="532" t="s">
        <v>271</v>
      </c>
      <c r="E187" s="50" t="s">
        <v>53</v>
      </c>
      <c r="F187" s="535" t="str">
        <f>R.11BSDImpName3</f>
        <v xml:space="preserve"> </v>
      </c>
      <c r="G187" s="543">
        <f>R.11BSDImpHrs3</f>
        <v>0</v>
      </c>
      <c r="H187" s="544">
        <f>Table3[[#This Row],[Hrs Rank]]</f>
        <v>0</v>
      </c>
      <c r="I187" s="534">
        <f t="shared" si="10"/>
        <v>0</v>
      </c>
      <c r="J187" s="534">
        <f t="shared" si="11"/>
        <v>0</v>
      </c>
      <c r="K187" s="551"/>
      <c r="L187" s="551"/>
      <c r="M187" s="547" t="s">
        <v>225</v>
      </c>
      <c r="N187" s="547" t="s">
        <v>225</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8"/>
        <v>AQ</v>
      </c>
      <c r="B188" s="50" t="str">
        <f t="shared" si="9"/>
        <v>LRStrm10</v>
      </c>
      <c r="C188" s="50" t="s">
        <v>260</v>
      </c>
      <c r="D188" s="532" t="s">
        <v>271</v>
      </c>
      <c r="E188" s="50" t="s">
        <v>53</v>
      </c>
      <c r="F188" s="535" t="str">
        <f>R.11BSDImpName4</f>
        <v xml:space="preserve"> </v>
      </c>
      <c r="G188" s="543">
        <f>R.11BSDImpHrs4</f>
        <v>0</v>
      </c>
      <c r="H188" s="544">
        <f>Table3[[#This Row],[Hrs Rank]]</f>
        <v>0</v>
      </c>
      <c r="I188" s="534">
        <f t="shared" si="10"/>
        <v>0</v>
      </c>
      <c r="J188" s="534">
        <f t="shared" si="11"/>
        <v>0</v>
      </c>
      <c r="K188" s="551"/>
      <c r="L188" s="551"/>
      <c r="M188" s="547" t="s">
        <v>225</v>
      </c>
      <c r="N188" s="547" t="s">
        <v>225</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8"/>
        <v>AQ</v>
      </c>
      <c r="B189" s="50" t="str">
        <f t="shared" si="9"/>
        <v>LRStrm10</v>
      </c>
      <c r="C189" s="50" t="s">
        <v>261</v>
      </c>
      <c r="D189" s="532" t="s">
        <v>152</v>
      </c>
      <c r="E189" s="50" t="s">
        <v>54</v>
      </c>
      <c r="F189" s="535">
        <f>R.12OCEDevName1</f>
        <v>0</v>
      </c>
      <c r="G189" s="543">
        <f>R.12OCEDevHrs1</f>
        <v>0</v>
      </c>
      <c r="H189" s="544">
        <f>Table3[[#This Row],[Hrs Rank]]</f>
        <v>0</v>
      </c>
      <c r="I189" s="534">
        <f t="shared" si="10"/>
        <v>0</v>
      </c>
      <c r="J189" s="534">
        <f t="shared" si="11"/>
        <v>0</v>
      </c>
      <c r="K189" s="551"/>
      <c r="L189" s="551"/>
      <c r="M189" s="547" t="s">
        <v>225</v>
      </c>
      <c r="N189" s="547" t="s">
        <v>225</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8"/>
        <v>AQ</v>
      </c>
      <c r="B190" s="50" t="str">
        <f t="shared" si="9"/>
        <v>LRStrm10</v>
      </c>
      <c r="C190" s="50" t="s">
        <v>261</v>
      </c>
      <c r="D190" s="532" t="s">
        <v>152</v>
      </c>
      <c r="E190" s="50" t="s">
        <v>54</v>
      </c>
      <c r="F190" s="535" t="str">
        <f>R.12OCEDevName2</f>
        <v xml:space="preserve"> </v>
      </c>
      <c r="G190" s="543">
        <f>R.12OCEDevHrs2</f>
        <v>0</v>
      </c>
      <c r="H190" s="544">
        <f>Table3[[#This Row],[Hrs Rank]]</f>
        <v>0</v>
      </c>
      <c r="I190" s="534">
        <f t="shared" si="10"/>
        <v>0</v>
      </c>
      <c r="J190" s="534">
        <f t="shared" si="11"/>
        <v>0</v>
      </c>
      <c r="K190" s="551"/>
      <c r="L190" s="551"/>
      <c r="M190" s="547" t="s">
        <v>225</v>
      </c>
      <c r="N190" s="547" t="s">
        <v>225</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si="8"/>
        <v>AQ</v>
      </c>
      <c r="B191" s="50" t="str">
        <f t="shared" si="9"/>
        <v>LRStrm10</v>
      </c>
      <c r="C191" s="50" t="s">
        <v>261</v>
      </c>
      <c r="D191" s="532" t="s">
        <v>152</v>
      </c>
      <c r="E191" s="50" t="s">
        <v>54</v>
      </c>
      <c r="F191" s="535" t="str">
        <f>R.12OCEDevName3</f>
        <v xml:space="preserve"> </v>
      </c>
      <c r="G191" s="543">
        <f>R.12OCEDevHrs3</f>
        <v>0</v>
      </c>
      <c r="H191" s="544">
        <f>Table3[[#This Row],[Hrs Rank]]</f>
        <v>0</v>
      </c>
      <c r="I191" s="534">
        <f t="shared" si="10"/>
        <v>0</v>
      </c>
      <c r="J191" s="534">
        <f t="shared" si="11"/>
        <v>0</v>
      </c>
      <c r="K191" s="551"/>
      <c r="L191" s="551"/>
      <c r="M191" s="547" t="s">
        <v>225</v>
      </c>
      <c r="N191" s="547" t="s">
        <v>225</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8"/>
        <v>AQ</v>
      </c>
      <c r="B192" s="50" t="str">
        <f t="shared" si="9"/>
        <v>LRStrm10</v>
      </c>
      <c r="C192" s="50" t="s">
        <v>261</v>
      </c>
      <c r="D192" s="532" t="s">
        <v>152</v>
      </c>
      <c r="E192" s="50" t="s">
        <v>54</v>
      </c>
      <c r="F192" s="535" t="str">
        <f>R.12OCEDevName4</f>
        <v xml:space="preserve"> </v>
      </c>
      <c r="G192" s="543">
        <f>R.12OCEDevHrs4</f>
        <v>0</v>
      </c>
      <c r="H192" s="544">
        <f>Table3[[#This Row],[Hrs Rank]]</f>
        <v>0</v>
      </c>
      <c r="I192" s="534">
        <f t="shared" si="10"/>
        <v>0</v>
      </c>
      <c r="J192" s="534">
        <f t="shared" si="11"/>
        <v>0</v>
      </c>
      <c r="K192" s="551"/>
      <c r="L192" s="551"/>
      <c r="M192" s="547" t="s">
        <v>225</v>
      </c>
      <c r="N192" s="547" t="s">
        <v>225</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8"/>
        <v>AQ</v>
      </c>
      <c r="B193" s="50" t="str">
        <f t="shared" si="9"/>
        <v>LRStrm10</v>
      </c>
      <c r="C193" s="50" t="s">
        <v>261</v>
      </c>
      <c r="D193" s="532" t="s">
        <v>152</v>
      </c>
      <c r="E193" s="50" t="s">
        <v>53</v>
      </c>
      <c r="F193" s="535">
        <f>R.12OCEImpName1</f>
        <v>0</v>
      </c>
      <c r="G193" s="543">
        <f>R.12OCEImpHrs1</f>
        <v>0</v>
      </c>
      <c r="H193" s="544">
        <f>Table3[[#This Row],[Hrs Rank]]</f>
        <v>0</v>
      </c>
      <c r="I193" s="534">
        <f t="shared" si="10"/>
        <v>0</v>
      </c>
      <c r="J193" s="534">
        <f t="shared" si="11"/>
        <v>0</v>
      </c>
      <c r="K193" s="551"/>
      <c r="L193" s="551"/>
      <c r="M193" s="547" t="s">
        <v>225</v>
      </c>
      <c r="N193" s="547" t="s">
        <v>225</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8"/>
        <v>AQ</v>
      </c>
      <c r="B194" s="50" t="str">
        <f t="shared" si="9"/>
        <v>LRStrm10</v>
      </c>
      <c r="C194" s="50" t="s">
        <v>261</v>
      </c>
      <c r="D194" s="532" t="s">
        <v>152</v>
      </c>
      <c r="E194" s="50" t="s">
        <v>53</v>
      </c>
      <c r="F194" s="535">
        <f>R.12OCEImpName2</f>
        <v>0</v>
      </c>
      <c r="G194" s="543">
        <f>R.12OCEImpHrs2</f>
        <v>0</v>
      </c>
      <c r="H194" s="544">
        <f>Table3[[#This Row],[Hrs Rank]]</f>
        <v>0</v>
      </c>
      <c r="I194" s="534">
        <f t="shared" si="10"/>
        <v>0</v>
      </c>
      <c r="J194" s="534">
        <f t="shared" si="11"/>
        <v>0</v>
      </c>
      <c r="K194" s="551"/>
      <c r="L194" s="551"/>
      <c r="M194" s="547" t="s">
        <v>225</v>
      </c>
      <c r="N194" s="547" t="s">
        <v>225</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ref="A195:A258" si="12">R.1Division</f>
        <v>AQ</v>
      </c>
      <c r="B195" s="50" t="str">
        <f t="shared" ref="B195:B258" si="13">R.1CodeName</f>
        <v>LRStrm10</v>
      </c>
      <c r="C195" s="50" t="s">
        <v>261</v>
      </c>
      <c r="D195" s="532" t="s">
        <v>152</v>
      </c>
      <c r="E195" s="50" t="s">
        <v>53</v>
      </c>
      <c r="F195" s="535" t="str">
        <f>R.12OCEImpName3</f>
        <v xml:space="preserve"> </v>
      </c>
      <c r="G195" s="543">
        <f>R.12OCEImpHrs3</f>
        <v>0</v>
      </c>
      <c r="H195" s="544">
        <f>Table3[[#This Row],[Hrs Rank]]</f>
        <v>0</v>
      </c>
      <c r="I195" s="534">
        <f t="shared" si="10"/>
        <v>0</v>
      </c>
      <c r="J195" s="534">
        <f t="shared" si="11"/>
        <v>0</v>
      </c>
      <c r="K195" s="551"/>
      <c r="L195" s="551"/>
      <c r="M195" s="547" t="s">
        <v>225</v>
      </c>
      <c r="N195" s="547" t="s">
        <v>225</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12"/>
        <v>AQ</v>
      </c>
      <c r="B196" s="50" t="str">
        <f t="shared" si="13"/>
        <v>LRStrm10</v>
      </c>
      <c r="C196" s="50" t="s">
        <v>261</v>
      </c>
      <c r="D196" s="532" t="s">
        <v>152</v>
      </c>
      <c r="E196" s="50" t="s">
        <v>53</v>
      </c>
      <c r="F196" s="535" t="str">
        <f>R.12OCEImpName4</f>
        <v xml:space="preserve"> </v>
      </c>
      <c r="G196" s="543">
        <f>R.12OCEImpHrs4</f>
        <v>0</v>
      </c>
      <c r="H196" s="544">
        <f>Table3[[#This Row],[Hrs Rank]]</f>
        <v>0</v>
      </c>
      <c r="I196" s="534">
        <f t="shared" si="10"/>
        <v>0</v>
      </c>
      <c r="J196" s="534">
        <f t="shared" si="11"/>
        <v>0</v>
      </c>
      <c r="K196" s="551"/>
      <c r="L196" s="551"/>
      <c r="M196" s="547" t="s">
        <v>225</v>
      </c>
      <c r="N196" s="547" t="s">
        <v>225</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12"/>
        <v>AQ</v>
      </c>
      <c r="B197" s="50" t="str">
        <f t="shared" si="13"/>
        <v>LRStrm10</v>
      </c>
      <c r="C197" s="50" t="s">
        <v>262</v>
      </c>
      <c r="D197" s="532" t="s">
        <v>128</v>
      </c>
      <c r="E197" s="50" t="s">
        <v>54</v>
      </c>
      <c r="F197" s="535">
        <f>R.13MonitorDevName1</f>
        <v>0</v>
      </c>
      <c r="G197" s="543">
        <f>R.13MonitorDevHrs1</f>
        <v>0</v>
      </c>
      <c r="H197" s="544">
        <f>Table3[[#This Row],[Hrs Rank]]</f>
        <v>0</v>
      </c>
      <c r="I197" s="534">
        <f t="shared" si="10"/>
        <v>0</v>
      </c>
      <c r="J197" s="534">
        <f t="shared" si="11"/>
        <v>0</v>
      </c>
      <c r="K197" s="551"/>
      <c r="L197" s="551"/>
      <c r="M197" s="547" t="s">
        <v>225</v>
      </c>
      <c r="N197" s="547" t="s">
        <v>225</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12"/>
        <v>AQ</v>
      </c>
      <c r="B198" s="50" t="str">
        <f t="shared" si="13"/>
        <v>LRStrm10</v>
      </c>
      <c r="C198" s="50" t="s">
        <v>262</v>
      </c>
      <c r="D198" s="532" t="s">
        <v>128</v>
      </c>
      <c r="E198" s="50" t="s">
        <v>54</v>
      </c>
      <c r="F198" s="535">
        <f>R.13MonitorDevName2</f>
        <v>0</v>
      </c>
      <c r="G198" s="543">
        <f>R.13MonitorDevHrs2</f>
        <v>0</v>
      </c>
      <c r="H198" s="544">
        <f>Table3[[#This Row],[Hrs Rank]]</f>
        <v>0</v>
      </c>
      <c r="I198" s="534">
        <f t="shared" si="10"/>
        <v>0</v>
      </c>
      <c r="J198" s="534">
        <f t="shared" si="11"/>
        <v>0</v>
      </c>
      <c r="K198" s="551"/>
      <c r="L198" s="551"/>
      <c r="M198" s="547" t="s">
        <v>225</v>
      </c>
      <c r="N198" s="547" t="s">
        <v>225</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12"/>
        <v>AQ</v>
      </c>
      <c r="B199" s="50" t="str">
        <f t="shared" si="13"/>
        <v>LRStrm10</v>
      </c>
      <c r="C199" s="50" t="s">
        <v>262</v>
      </c>
      <c r="D199" s="532" t="s">
        <v>128</v>
      </c>
      <c r="E199" s="50" t="s">
        <v>54</v>
      </c>
      <c r="F199" s="535">
        <f>R.13MonitorDevName3</f>
        <v>0</v>
      </c>
      <c r="G199" s="543">
        <f>R.13MonitorDevHrs3</f>
        <v>0</v>
      </c>
      <c r="H199" s="544">
        <f>Table3[[#This Row],[Hrs Rank]]</f>
        <v>0</v>
      </c>
      <c r="I199" s="534">
        <f t="shared" si="10"/>
        <v>0</v>
      </c>
      <c r="J199" s="534">
        <f t="shared" si="11"/>
        <v>0</v>
      </c>
      <c r="K199" s="551"/>
      <c r="L199" s="551"/>
      <c r="M199" s="547" t="s">
        <v>225</v>
      </c>
      <c r="N199" s="547" t="s">
        <v>225</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12"/>
        <v>AQ</v>
      </c>
      <c r="B200" s="50" t="str">
        <f t="shared" si="13"/>
        <v>LRStrm10</v>
      </c>
      <c r="C200" s="50" t="s">
        <v>262</v>
      </c>
      <c r="D200" s="532" t="s">
        <v>128</v>
      </c>
      <c r="E200" s="50" t="s">
        <v>54</v>
      </c>
      <c r="F200" s="535" t="str">
        <f>R.13MonitorDevName4</f>
        <v xml:space="preserve"> </v>
      </c>
      <c r="G200" s="543">
        <f>R.13MonitorDevHrs4</f>
        <v>0</v>
      </c>
      <c r="H200" s="544">
        <f>Table3[[#This Row],[Hrs Rank]]</f>
        <v>0</v>
      </c>
      <c r="I200" s="534">
        <f t="shared" si="10"/>
        <v>0</v>
      </c>
      <c r="J200" s="534">
        <f t="shared" si="11"/>
        <v>0</v>
      </c>
      <c r="K200" s="551"/>
      <c r="L200" s="551"/>
      <c r="M200" s="547" t="s">
        <v>225</v>
      </c>
      <c r="N200" s="547" t="s">
        <v>225</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12"/>
        <v>AQ</v>
      </c>
      <c r="B201" s="50" t="str">
        <f t="shared" si="13"/>
        <v>LRStrm10</v>
      </c>
      <c r="C201" s="50" t="s">
        <v>262</v>
      </c>
      <c r="D201" s="532" t="s">
        <v>128</v>
      </c>
      <c r="E201" s="50" t="s">
        <v>53</v>
      </c>
      <c r="F201" s="535">
        <f>R.13MonitorImpName1</f>
        <v>0</v>
      </c>
      <c r="G201" s="543">
        <f>R.13MonitorImpHrs1</f>
        <v>0</v>
      </c>
      <c r="H201" s="544">
        <f>Table3[[#This Row],[Hrs Rank]]</f>
        <v>0</v>
      </c>
      <c r="I201" s="534">
        <f t="shared" si="10"/>
        <v>0</v>
      </c>
      <c r="J201" s="534">
        <f t="shared" si="11"/>
        <v>0</v>
      </c>
      <c r="K201" s="551"/>
      <c r="L201" s="551"/>
      <c r="M201" s="547" t="s">
        <v>225</v>
      </c>
      <c r="N201" s="547" t="s">
        <v>225</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12"/>
        <v>AQ</v>
      </c>
      <c r="B202" s="50" t="str">
        <f t="shared" si="13"/>
        <v>LRStrm10</v>
      </c>
      <c r="C202" s="50" t="s">
        <v>262</v>
      </c>
      <c r="D202" s="532" t="s">
        <v>128</v>
      </c>
      <c r="E202" s="50" t="s">
        <v>53</v>
      </c>
      <c r="F202" s="535" t="str">
        <f>R.13MonitorImpName2</f>
        <v xml:space="preserve"> </v>
      </c>
      <c r="G202" s="543">
        <f>R.13MonitorImpHrs2</f>
        <v>0</v>
      </c>
      <c r="H202" s="544">
        <f>Table3[[#This Row],[Hrs Rank]]</f>
        <v>0</v>
      </c>
      <c r="I202" s="534">
        <f t="shared" si="10"/>
        <v>0</v>
      </c>
      <c r="J202" s="534">
        <f t="shared" si="11"/>
        <v>0</v>
      </c>
      <c r="K202" s="551"/>
      <c r="L202" s="551"/>
      <c r="M202" s="547" t="s">
        <v>225</v>
      </c>
      <c r="N202" s="547" t="s">
        <v>225</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12"/>
        <v>AQ</v>
      </c>
      <c r="B203" s="50" t="str">
        <f t="shared" si="13"/>
        <v>LRStrm10</v>
      </c>
      <c r="C203" s="50" t="s">
        <v>262</v>
      </c>
      <c r="D203" s="532" t="s">
        <v>128</v>
      </c>
      <c r="E203" s="50" t="s">
        <v>53</v>
      </c>
      <c r="F203" s="535" t="str">
        <f>R.13MonitorImpName3</f>
        <v xml:space="preserve"> </v>
      </c>
      <c r="G203" s="543">
        <f>R.13MonitorImpHrs3</f>
        <v>0</v>
      </c>
      <c r="H203" s="544">
        <f>Table3[[#This Row],[Hrs Rank]]</f>
        <v>0</v>
      </c>
      <c r="I203" s="534">
        <f t="shared" si="10"/>
        <v>0</v>
      </c>
      <c r="J203" s="534">
        <f t="shared" si="11"/>
        <v>0</v>
      </c>
      <c r="K203" s="551"/>
      <c r="L203" s="551"/>
      <c r="M203" s="547" t="s">
        <v>225</v>
      </c>
      <c r="N203" s="547" t="s">
        <v>225</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12"/>
        <v>AQ</v>
      </c>
      <c r="B204" s="50" t="str">
        <f t="shared" si="13"/>
        <v>LRStrm10</v>
      </c>
      <c r="C204" s="50" t="s">
        <v>262</v>
      </c>
      <c r="D204" s="532" t="s">
        <v>128</v>
      </c>
      <c r="E204" s="50" t="s">
        <v>53</v>
      </c>
      <c r="F204" s="535" t="str">
        <f>R.13MonitorImpName4</f>
        <v xml:space="preserve"> </v>
      </c>
      <c r="G204" s="543">
        <f>R.13MonitorImpHrs4</f>
        <v>0</v>
      </c>
      <c r="H204" s="544">
        <f>Table3[[#This Row],[Hrs Rank]]</f>
        <v>0</v>
      </c>
      <c r="I204" s="534">
        <f t="shared" si="10"/>
        <v>0</v>
      </c>
      <c r="J204" s="534">
        <f t="shared" si="11"/>
        <v>0</v>
      </c>
      <c r="K204" s="551"/>
      <c r="L204" s="551"/>
      <c r="M204" s="547" t="s">
        <v>225</v>
      </c>
      <c r="N204" s="547" t="s">
        <v>225</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12"/>
        <v>AQ</v>
      </c>
      <c r="B205" s="50" t="str">
        <f t="shared" si="13"/>
        <v>LRStrm10</v>
      </c>
      <c r="C205" s="50" t="s">
        <v>262</v>
      </c>
      <c r="D205" s="532" t="s">
        <v>129</v>
      </c>
      <c r="E205" s="50" t="s">
        <v>54</v>
      </c>
      <c r="F205" s="535">
        <f>R.13TestDevName1</f>
        <v>0</v>
      </c>
      <c r="G205" s="543">
        <f>R.13TestDevHrs1</f>
        <v>0</v>
      </c>
      <c r="H205" s="544">
        <f>Table3[[#This Row],[Hrs Rank]]</f>
        <v>0</v>
      </c>
      <c r="I205" s="534">
        <f t="shared" si="10"/>
        <v>0</v>
      </c>
      <c r="J205" s="534">
        <f t="shared" si="11"/>
        <v>0</v>
      </c>
      <c r="K205" s="551"/>
      <c r="L205" s="551"/>
      <c r="M205" s="547" t="s">
        <v>225</v>
      </c>
      <c r="N205" s="547" t="s">
        <v>225</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12"/>
        <v>AQ</v>
      </c>
      <c r="B206" s="50" t="str">
        <f t="shared" si="13"/>
        <v>LRStrm10</v>
      </c>
      <c r="C206" s="50" t="s">
        <v>262</v>
      </c>
      <c r="D206" s="532" t="s">
        <v>129</v>
      </c>
      <c r="E206" s="50" t="s">
        <v>54</v>
      </c>
      <c r="F206" s="535" t="str">
        <f>R.13TestDevName2</f>
        <v xml:space="preserve"> </v>
      </c>
      <c r="G206" s="543">
        <f>R.13TestDevHrs2</f>
        <v>0</v>
      </c>
      <c r="H206" s="544">
        <f>Table3[[#This Row],[Hrs Rank]]</f>
        <v>0</v>
      </c>
      <c r="I206" s="534">
        <f t="shared" si="10"/>
        <v>0</v>
      </c>
      <c r="J206" s="534">
        <f t="shared" si="11"/>
        <v>0</v>
      </c>
      <c r="K206" s="551"/>
      <c r="L206" s="551"/>
      <c r="M206" s="547" t="s">
        <v>225</v>
      </c>
      <c r="N206" s="547" t="s">
        <v>225</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12"/>
        <v>AQ</v>
      </c>
      <c r="B207" s="50" t="str">
        <f t="shared" si="13"/>
        <v>LRStrm10</v>
      </c>
      <c r="C207" s="50" t="s">
        <v>262</v>
      </c>
      <c r="D207" s="532" t="s">
        <v>129</v>
      </c>
      <c r="E207" s="50" t="s">
        <v>54</v>
      </c>
      <c r="F207" s="606" t="str">
        <f>R.13TestDevName3</f>
        <v xml:space="preserve"> </v>
      </c>
      <c r="G207" s="543">
        <f>R.13TestDevHrs3</f>
        <v>0</v>
      </c>
      <c r="H207" s="544">
        <f>Table3[[#This Row],[Hrs Rank]]</f>
        <v>0</v>
      </c>
      <c r="I207" s="534">
        <f t="shared" si="10"/>
        <v>0</v>
      </c>
      <c r="J207" s="534">
        <f t="shared" si="11"/>
        <v>0</v>
      </c>
      <c r="K207" s="551"/>
      <c r="L207" s="551"/>
      <c r="M207" s="547" t="s">
        <v>225</v>
      </c>
      <c r="N207" s="547" t="s">
        <v>225</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12"/>
        <v>AQ</v>
      </c>
      <c r="B208" s="50" t="str">
        <f t="shared" si="13"/>
        <v>LRStrm10</v>
      </c>
      <c r="C208" s="50" t="s">
        <v>262</v>
      </c>
      <c r="D208" s="532" t="s">
        <v>129</v>
      </c>
      <c r="E208" s="50" t="s">
        <v>54</v>
      </c>
      <c r="F208" s="606" t="str">
        <f>R.13TestDevName4</f>
        <v xml:space="preserve"> </v>
      </c>
      <c r="G208" s="543">
        <f>R.13TestDevHrs4</f>
        <v>0</v>
      </c>
      <c r="H208" s="544">
        <f>Table3[[#This Row],[Hrs Rank]]</f>
        <v>0</v>
      </c>
      <c r="I208" s="534">
        <f t="shared" si="10"/>
        <v>0</v>
      </c>
      <c r="J208" s="534">
        <f t="shared" si="11"/>
        <v>0</v>
      </c>
      <c r="K208" s="551"/>
      <c r="L208" s="551"/>
      <c r="M208" s="547" t="s">
        <v>225</v>
      </c>
      <c r="N208" s="547" t="s">
        <v>225</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12"/>
        <v>AQ</v>
      </c>
      <c r="B209" s="50" t="str">
        <f t="shared" si="13"/>
        <v>LRStrm10</v>
      </c>
      <c r="C209" s="50" t="s">
        <v>262</v>
      </c>
      <c r="D209" s="532" t="s">
        <v>129</v>
      </c>
      <c r="E209" s="50" t="s">
        <v>53</v>
      </c>
      <c r="F209" s="606">
        <f>R.13TestImpName1</f>
        <v>0</v>
      </c>
      <c r="G209" s="543">
        <f>R.13TestImpHrs1</f>
        <v>0</v>
      </c>
      <c r="H209" s="544">
        <f>Table3[[#This Row],[Hrs Rank]]</f>
        <v>0</v>
      </c>
      <c r="I209" s="534">
        <f t="shared" si="10"/>
        <v>0</v>
      </c>
      <c r="J209" s="534">
        <f t="shared" si="11"/>
        <v>0</v>
      </c>
      <c r="K209" s="551"/>
      <c r="L209" s="551"/>
      <c r="M209" s="547" t="s">
        <v>225</v>
      </c>
      <c r="N209" s="547" t="s">
        <v>225</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12"/>
        <v>AQ</v>
      </c>
      <c r="B210" s="50" t="str">
        <f t="shared" si="13"/>
        <v>LRStrm10</v>
      </c>
      <c r="C210" s="50" t="s">
        <v>262</v>
      </c>
      <c r="D210" s="532" t="s">
        <v>129</v>
      </c>
      <c r="E210" s="50" t="s">
        <v>53</v>
      </c>
      <c r="F210" s="606" t="str">
        <f>R.13TestImpName2</f>
        <v xml:space="preserve"> </v>
      </c>
      <c r="G210" s="543">
        <f>R.13TestImpHrs2</f>
        <v>0</v>
      </c>
      <c r="H210" s="544">
        <f>Table3[[#This Row],[Hrs Rank]]</f>
        <v>0</v>
      </c>
      <c r="I210" s="534">
        <f t="shared" si="10"/>
        <v>0</v>
      </c>
      <c r="J210" s="534">
        <f t="shared" si="11"/>
        <v>0</v>
      </c>
      <c r="K210" s="551"/>
      <c r="L210" s="551"/>
      <c r="M210" s="547" t="s">
        <v>225</v>
      </c>
      <c r="N210" s="547" t="s">
        <v>225</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12"/>
        <v>AQ</v>
      </c>
      <c r="B211" s="50" t="str">
        <f t="shared" si="13"/>
        <v>LRStrm10</v>
      </c>
      <c r="C211" s="50" t="s">
        <v>262</v>
      </c>
      <c r="D211" s="532" t="s">
        <v>129</v>
      </c>
      <c r="E211" s="50" t="s">
        <v>53</v>
      </c>
      <c r="F211" s="606" t="str">
        <f>R.13TestImpName3</f>
        <v xml:space="preserve"> </v>
      </c>
      <c r="G211" s="543">
        <f>R.13TestImpHrs3</f>
        <v>0</v>
      </c>
      <c r="H211" s="544">
        <f>Table3[[#This Row],[Hrs Rank]]</f>
        <v>0</v>
      </c>
      <c r="I211" s="534">
        <f t="shared" si="10"/>
        <v>0</v>
      </c>
      <c r="J211" s="534">
        <f t="shared" si="11"/>
        <v>0</v>
      </c>
      <c r="K211" s="551"/>
      <c r="L211" s="551"/>
      <c r="M211" s="547" t="s">
        <v>225</v>
      </c>
      <c r="N211" s="547" t="s">
        <v>225</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12"/>
        <v>AQ</v>
      </c>
      <c r="B212" s="50" t="str">
        <f t="shared" si="13"/>
        <v>LRStrm10</v>
      </c>
      <c r="C212" s="50" t="s">
        <v>262</v>
      </c>
      <c r="D212" s="532" t="s">
        <v>129</v>
      </c>
      <c r="E212" s="50" t="s">
        <v>53</v>
      </c>
      <c r="F212" s="606" t="str">
        <f>R.13TestImpName4</f>
        <v xml:space="preserve"> </v>
      </c>
      <c r="G212" s="543">
        <f>R.13TestImpHrs4</f>
        <v>0</v>
      </c>
      <c r="H212" s="544">
        <f>Table3[[#This Row],[Hrs Rank]]</f>
        <v>0</v>
      </c>
      <c r="I212" s="534">
        <f t="shared" si="10"/>
        <v>0</v>
      </c>
      <c r="J212" s="534">
        <f t="shared" si="11"/>
        <v>0</v>
      </c>
      <c r="K212" s="551"/>
      <c r="L212" s="551"/>
      <c r="M212" s="547" t="s">
        <v>225</v>
      </c>
      <c r="N212" s="547" t="s">
        <v>225</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12"/>
        <v>AQ</v>
      </c>
      <c r="B213" s="50" t="str">
        <f t="shared" si="13"/>
        <v>LRStrm10</v>
      </c>
      <c r="C213" s="50" t="s">
        <v>262</v>
      </c>
      <c r="D213" s="532" t="s">
        <v>135</v>
      </c>
      <c r="E213" s="50" t="s">
        <v>54</v>
      </c>
      <c r="F213" s="535">
        <f>R.13QADevName1</f>
        <v>0</v>
      </c>
      <c r="G213" s="543">
        <f>R.13QADevHrs1</f>
        <v>0</v>
      </c>
      <c r="H213" s="544">
        <f>Table3[[#This Row],[Hrs Rank]]</f>
        <v>0</v>
      </c>
      <c r="I213" s="534">
        <f t="shared" si="10"/>
        <v>0</v>
      </c>
      <c r="J213" s="534">
        <f t="shared" si="11"/>
        <v>0</v>
      </c>
      <c r="K213" s="551"/>
      <c r="L213" s="551"/>
      <c r="M213" s="547" t="s">
        <v>225</v>
      </c>
      <c r="N213" s="547" t="s">
        <v>225</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12"/>
        <v>AQ</v>
      </c>
      <c r="B214" s="50" t="str">
        <f t="shared" si="13"/>
        <v>LRStrm10</v>
      </c>
      <c r="C214" s="50" t="s">
        <v>262</v>
      </c>
      <c r="D214" s="532" t="s">
        <v>135</v>
      </c>
      <c r="E214" s="50" t="s">
        <v>54</v>
      </c>
      <c r="F214" s="535">
        <f>R.13QADevName2</f>
        <v>0</v>
      </c>
      <c r="G214" s="543">
        <f>R.13QADevHrs2</f>
        <v>0</v>
      </c>
      <c r="H214" s="544">
        <f>Table3[[#This Row],[Hrs Rank]]</f>
        <v>0</v>
      </c>
      <c r="I214" s="534">
        <f t="shared" ref="I214:I264" si="14">IF(ISNA(VLOOKUP($H214,R.VL_DEQResourceHours,2,FALSE)),0,VLOOKUP($H214,R.VL_DEQResourceHours,2,FALSE))</f>
        <v>0</v>
      </c>
      <c r="J214" s="534">
        <f t="shared" ref="J214:J264" si="15">IF(ISNA(VLOOKUP($H214,R.VL_DEQResourceHours,3,FALSE)),0,VLOOKUP($H214,R.VL_DEQResourceHours,3,FALSE))</f>
        <v>0</v>
      </c>
      <c r="K214" s="551"/>
      <c r="L214" s="551"/>
      <c r="M214" s="547" t="s">
        <v>225</v>
      </c>
      <c r="N214" s="547" t="s">
        <v>225</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12"/>
        <v>AQ</v>
      </c>
      <c r="B215" s="50" t="str">
        <f t="shared" si="13"/>
        <v>LRStrm10</v>
      </c>
      <c r="C215" s="50" t="s">
        <v>262</v>
      </c>
      <c r="D215" s="532" t="s">
        <v>135</v>
      </c>
      <c r="E215" s="50" t="s">
        <v>54</v>
      </c>
      <c r="F215" s="535">
        <f>R.13QADevName3</f>
        <v>0</v>
      </c>
      <c r="G215" s="543">
        <f>R.13QADevHrs3</f>
        <v>0</v>
      </c>
      <c r="H215" s="544">
        <f>Table3[[#This Row],[Hrs Rank]]</f>
        <v>0</v>
      </c>
      <c r="I215" s="534">
        <f t="shared" si="14"/>
        <v>0</v>
      </c>
      <c r="J215" s="534">
        <f t="shared" si="15"/>
        <v>0</v>
      </c>
      <c r="K215" s="551"/>
      <c r="L215" s="551"/>
      <c r="M215" s="547" t="s">
        <v>225</v>
      </c>
      <c r="N215" s="547" t="s">
        <v>225</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12"/>
        <v>AQ</v>
      </c>
      <c r="B216" s="50" t="str">
        <f t="shared" si="13"/>
        <v>LRStrm10</v>
      </c>
      <c r="C216" s="50" t="s">
        <v>262</v>
      </c>
      <c r="D216" s="532" t="s">
        <v>135</v>
      </c>
      <c r="E216" s="50" t="s">
        <v>54</v>
      </c>
      <c r="F216" s="535">
        <f>R.13QADevName4</f>
        <v>0</v>
      </c>
      <c r="G216" s="543">
        <f>R.13QADevHrs4</f>
        <v>0</v>
      </c>
      <c r="H216" s="544">
        <f>Table3[[#This Row],[Hrs Rank]]</f>
        <v>0</v>
      </c>
      <c r="I216" s="534">
        <f t="shared" si="14"/>
        <v>0</v>
      </c>
      <c r="J216" s="534">
        <f t="shared" si="15"/>
        <v>0</v>
      </c>
      <c r="K216" s="551"/>
      <c r="L216" s="551"/>
      <c r="M216" s="547" t="s">
        <v>225</v>
      </c>
      <c r="N216" s="547" t="s">
        <v>225</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12"/>
        <v>AQ</v>
      </c>
      <c r="B217" s="50" t="str">
        <f t="shared" si="13"/>
        <v>LRStrm10</v>
      </c>
      <c r="C217" s="50" t="s">
        <v>262</v>
      </c>
      <c r="D217" s="532" t="s">
        <v>135</v>
      </c>
      <c r="E217" s="50" t="s">
        <v>53</v>
      </c>
      <c r="F217" s="535">
        <f>R.13QAImpName1</f>
        <v>0</v>
      </c>
      <c r="G217" s="543">
        <f>R.13QAImpHrs1</f>
        <v>0</v>
      </c>
      <c r="H217" s="544">
        <f>Table3[[#This Row],[Hrs Rank]]</f>
        <v>0</v>
      </c>
      <c r="I217" s="534">
        <f t="shared" si="14"/>
        <v>0</v>
      </c>
      <c r="J217" s="534">
        <f t="shared" si="15"/>
        <v>0</v>
      </c>
      <c r="K217" s="551"/>
      <c r="L217" s="551"/>
      <c r="M217" s="547" t="s">
        <v>225</v>
      </c>
      <c r="N217" s="547" t="s">
        <v>225</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12"/>
        <v>AQ</v>
      </c>
      <c r="B218" s="50" t="str">
        <f t="shared" si="13"/>
        <v>LRStrm10</v>
      </c>
      <c r="C218" s="50" t="s">
        <v>262</v>
      </c>
      <c r="D218" s="532" t="s">
        <v>135</v>
      </c>
      <c r="E218" s="50" t="s">
        <v>53</v>
      </c>
      <c r="F218" s="535">
        <f>R.13QAImpName2</f>
        <v>0</v>
      </c>
      <c r="G218" s="543">
        <f>R.13QAImpHrs2</f>
        <v>0</v>
      </c>
      <c r="H218" s="544">
        <f>Table3[[#This Row],[Hrs Rank]]</f>
        <v>0</v>
      </c>
      <c r="I218" s="534">
        <f t="shared" si="14"/>
        <v>0</v>
      </c>
      <c r="J218" s="534">
        <f t="shared" si="15"/>
        <v>0</v>
      </c>
      <c r="K218" s="551"/>
      <c r="L218" s="551"/>
      <c r="M218" s="547" t="s">
        <v>225</v>
      </c>
      <c r="N218" s="547" t="s">
        <v>225</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12"/>
        <v>AQ</v>
      </c>
      <c r="B219" s="50" t="str">
        <f t="shared" si="13"/>
        <v>LRStrm10</v>
      </c>
      <c r="C219" s="50" t="s">
        <v>262</v>
      </c>
      <c r="D219" s="532" t="s">
        <v>135</v>
      </c>
      <c r="E219" s="50" t="s">
        <v>53</v>
      </c>
      <c r="F219" s="535">
        <f>R.13QAImpName3</f>
        <v>0</v>
      </c>
      <c r="G219" s="543">
        <f>R.13QAImpHrs3</f>
        <v>0</v>
      </c>
      <c r="H219" s="544">
        <f>Table3[[#This Row],[Hrs Rank]]</f>
        <v>0</v>
      </c>
      <c r="I219" s="534">
        <f t="shared" si="14"/>
        <v>0</v>
      </c>
      <c r="J219" s="534">
        <f t="shared" si="15"/>
        <v>0</v>
      </c>
      <c r="K219" s="551"/>
      <c r="L219" s="551"/>
      <c r="M219" s="547" t="s">
        <v>225</v>
      </c>
      <c r="N219" s="547" t="s">
        <v>225</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12"/>
        <v>AQ</v>
      </c>
      <c r="B220" s="50" t="str">
        <f t="shared" si="13"/>
        <v>LRStrm10</v>
      </c>
      <c r="C220" s="50" t="s">
        <v>262</v>
      </c>
      <c r="D220" s="532" t="s">
        <v>135</v>
      </c>
      <c r="E220" s="50" t="s">
        <v>53</v>
      </c>
      <c r="F220" s="535">
        <f>R.13QAImpName4</f>
        <v>0</v>
      </c>
      <c r="G220" s="543">
        <f>R.13QAImpHrs4</f>
        <v>0</v>
      </c>
      <c r="H220" s="544">
        <f>Table3[[#This Row],[Hrs Rank]]</f>
        <v>0</v>
      </c>
      <c r="I220" s="534">
        <f t="shared" si="14"/>
        <v>0</v>
      </c>
      <c r="J220" s="534">
        <f t="shared" si="15"/>
        <v>0</v>
      </c>
      <c r="K220" s="551"/>
      <c r="L220" s="551"/>
      <c r="M220" s="547" t="s">
        <v>225</v>
      </c>
      <c r="N220" s="547" t="s">
        <v>225</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12"/>
        <v>AQ</v>
      </c>
      <c r="B221" s="50" t="str">
        <f t="shared" si="13"/>
        <v>LRStrm10</v>
      </c>
      <c r="C221" s="50" t="s">
        <v>263</v>
      </c>
      <c r="D221" s="532" t="s">
        <v>130</v>
      </c>
      <c r="E221" s="50" t="s">
        <v>54</v>
      </c>
      <c r="F221" s="535" t="str">
        <f>R.14LRAPADevName4</f>
        <v xml:space="preserve"> </v>
      </c>
      <c r="G221" s="543">
        <f>R.14LRAPADevHrs3</f>
        <v>0</v>
      </c>
      <c r="H221" s="544">
        <f>Table3[[#This Row],[Hrs Rank]]</f>
        <v>0</v>
      </c>
      <c r="I221" s="534">
        <f t="shared" si="14"/>
        <v>0</v>
      </c>
      <c r="J221" s="534">
        <f t="shared" si="15"/>
        <v>0</v>
      </c>
      <c r="K221" s="551"/>
      <c r="L221" s="551"/>
      <c r="M221" s="547" t="s">
        <v>225</v>
      </c>
      <c r="N221" s="547" t="s">
        <v>225</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12"/>
        <v>AQ</v>
      </c>
      <c r="B222" s="50" t="str">
        <f t="shared" si="13"/>
        <v>LRStrm10</v>
      </c>
      <c r="C222" s="50" t="s">
        <v>263</v>
      </c>
      <c r="D222" s="532" t="s">
        <v>130</v>
      </c>
      <c r="E222" s="50" t="s">
        <v>53</v>
      </c>
      <c r="F222" s="606" t="str">
        <f>R.14LRAPAImpName1</f>
        <v xml:space="preserve"> </v>
      </c>
      <c r="G222" s="543">
        <f>R.14LRAPADevHrs4</f>
        <v>0</v>
      </c>
      <c r="H222" s="544">
        <f>Table3[[#This Row],[Hrs Rank]]</f>
        <v>0</v>
      </c>
      <c r="I222" s="534">
        <f t="shared" si="14"/>
        <v>0</v>
      </c>
      <c r="J222" s="534">
        <f t="shared" si="15"/>
        <v>0</v>
      </c>
      <c r="K222" s="551"/>
      <c r="L222" s="551"/>
      <c r="M222" s="547" t="s">
        <v>225</v>
      </c>
      <c r="N222" s="547" t="s">
        <v>225</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si="12"/>
        <v>AQ</v>
      </c>
      <c r="B223" s="50" t="str">
        <f t="shared" si="13"/>
        <v>LRStrm10</v>
      </c>
      <c r="C223" s="50" t="s">
        <v>263</v>
      </c>
      <c r="D223" s="532" t="s">
        <v>130</v>
      </c>
      <c r="E223" s="50" t="s">
        <v>53</v>
      </c>
      <c r="F223" s="606" t="str">
        <f>R.14LRAPAImpName2</f>
        <v xml:space="preserve"> </v>
      </c>
      <c r="G223" s="543">
        <f>R.14LRAPAImpHrs2</f>
        <v>0</v>
      </c>
      <c r="H223" s="544">
        <f>Table3[[#This Row],[Hrs Rank]]</f>
        <v>0</v>
      </c>
      <c r="I223" s="534">
        <f t="shared" si="14"/>
        <v>0</v>
      </c>
      <c r="J223" s="534">
        <f t="shared" si="15"/>
        <v>0</v>
      </c>
      <c r="K223" s="551"/>
      <c r="L223" s="551"/>
      <c r="M223" s="547" t="s">
        <v>225</v>
      </c>
      <c r="N223" s="547" t="s">
        <v>225</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12"/>
        <v>AQ</v>
      </c>
      <c r="B224" s="50" t="str">
        <f t="shared" si="13"/>
        <v>LRStrm10</v>
      </c>
      <c r="C224" s="50" t="s">
        <v>263</v>
      </c>
      <c r="D224" s="532" t="s">
        <v>130</v>
      </c>
      <c r="E224" s="50" t="s">
        <v>53</v>
      </c>
      <c r="F224" s="606" t="str">
        <f>R.14LRAPAImpName3</f>
        <v xml:space="preserve"> </v>
      </c>
      <c r="G224" s="543">
        <v>0</v>
      </c>
      <c r="H224" s="544">
        <f>Table3[[#This Row],[Hrs Rank]]</f>
        <v>0</v>
      </c>
      <c r="I224" s="534">
        <f t="shared" si="14"/>
        <v>0</v>
      </c>
      <c r="J224" s="534">
        <f t="shared" si="15"/>
        <v>0</v>
      </c>
      <c r="K224" s="551"/>
      <c r="L224" s="551"/>
      <c r="M224" s="547" t="s">
        <v>225</v>
      </c>
      <c r="N224" s="547" t="s">
        <v>225</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12"/>
        <v>AQ</v>
      </c>
      <c r="B225" s="50" t="str">
        <f t="shared" si="13"/>
        <v>LRStrm10</v>
      </c>
      <c r="C225" s="50" t="s">
        <v>263</v>
      </c>
      <c r="D225" s="532" t="s">
        <v>130</v>
      </c>
      <c r="E225" s="50" t="s">
        <v>53</v>
      </c>
      <c r="F225" s="606" t="str">
        <f>R.14LRAPAImpName4</f>
        <v xml:space="preserve"> </v>
      </c>
      <c r="G225" s="543">
        <f>R.14LRAPAImpHrs4</f>
        <v>0</v>
      </c>
      <c r="H225" s="544">
        <f>Table3[[#This Row],[Hrs Rank]]</f>
        <v>0</v>
      </c>
      <c r="I225" s="534">
        <f t="shared" si="14"/>
        <v>0</v>
      </c>
      <c r="J225" s="534">
        <f t="shared" si="15"/>
        <v>0</v>
      </c>
      <c r="K225" s="551"/>
      <c r="L225" s="551"/>
      <c r="M225" s="547" t="s">
        <v>225</v>
      </c>
      <c r="N225" s="547" t="s">
        <v>225</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12"/>
        <v>AQ</v>
      </c>
      <c r="B226" s="50" t="str">
        <f t="shared" si="13"/>
        <v>LRStrm10</v>
      </c>
      <c r="C226" s="50" t="s">
        <v>263</v>
      </c>
      <c r="D226" s="532" t="s">
        <v>131</v>
      </c>
      <c r="E226" s="50" t="s">
        <v>54</v>
      </c>
      <c r="F226" s="607" t="str">
        <f>R.14EPADevName2</f>
        <v xml:space="preserve"> </v>
      </c>
      <c r="G226" s="543">
        <f>R.14EPADevHrs2</f>
        <v>0</v>
      </c>
      <c r="H226" s="544">
        <f>Table3[[#This Row],[Hrs Rank]]</f>
        <v>0</v>
      </c>
      <c r="I226" s="534">
        <f t="shared" si="14"/>
        <v>0</v>
      </c>
      <c r="J226" s="534">
        <f t="shared" si="15"/>
        <v>0</v>
      </c>
      <c r="K226" s="551"/>
      <c r="L226" s="551"/>
      <c r="M226" s="547" t="s">
        <v>225</v>
      </c>
      <c r="N226" s="547" t="s">
        <v>225</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12"/>
        <v>AQ</v>
      </c>
      <c r="B227" s="50" t="str">
        <f t="shared" si="13"/>
        <v>LRStrm10</v>
      </c>
      <c r="C227" s="50" t="s">
        <v>263</v>
      </c>
      <c r="D227" s="532" t="s">
        <v>131</v>
      </c>
      <c r="E227" s="50" t="s">
        <v>54</v>
      </c>
      <c r="F227" s="607" t="str">
        <f>R.14EPADevName3</f>
        <v xml:space="preserve"> </v>
      </c>
      <c r="G227" s="543">
        <f>R.14EPADevHrs3</f>
        <v>0</v>
      </c>
      <c r="H227" s="544">
        <f>Table3[[#This Row],[Hrs Rank]]</f>
        <v>0</v>
      </c>
      <c r="I227" s="534">
        <f t="shared" si="14"/>
        <v>0</v>
      </c>
      <c r="J227" s="534">
        <f t="shared" si="15"/>
        <v>0</v>
      </c>
      <c r="K227" s="551"/>
      <c r="L227" s="551"/>
      <c r="M227" s="547" t="s">
        <v>225</v>
      </c>
      <c r="N227" s="547" t="s">
        <v>225</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12"/>
        <v>AQ</v>
      </c>
      <c r="B228" s="50" t="str">
        <f t="shared" si="13"/>
        <v>LRStrm10</v>
      </c>
      <c r="C228" s="50" t="s">
        <v>263</v>
      </c>
      <c r="D228" s="532" t="s">
        <v>131</v>
      </c>
      <c r="E228" s="50" t="s">
        <v>54</v>
      </c>
      <c r="F228" s="607" t="str">
        <f>R.14EPADevName4</f>
        <v xml:space="preserve"> </v>
      </c>
      <c r="G228" s="543">
        <f>R.14EPADevHrs4</f>
        <v>0</v>
      </c>
      <c r="H228" s="544">
        <f>Table3[[#This Row],[Hrs Rank]]</f>
        <v>0</v>
      </c>
      <c r="I228" s="534">
        <f t="shared" si="14"/>
        <v>0</v>
      </c>
      <c r="J228" s="534">
        <f t="shared" si="15"/>
        <v>0</v>
      </c>
      <c r="K228" s="551"/>
      <c r="L228" s="551"/>
      <c r="M228" s="547" t="s">
        <v>225</v>
      </c>
      <c r="N228" s="547" t="s">
        <v>225</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12"/>
        <v>AQ</v>
      </c>
      <c r="B229" s="50" t="str">
        <f t="shared" si="13"/>
        <v>LRStrm10</v>
      </c>
      <c r="C229" s="50" t="s">
        <v>263</v>
      </c>
      <c r="D229" s="532" t="s">
        <v>131</v>
      </c>
      <c r="E229" s="50" t="s">
        <v>53</v>
      </c>
      <c r="F229" s="607" t="str">
        <f>R.14EPAImpName1</f>
        <v xml:space="preserve"> </v>
      </c>
      <c r="G229" s="543">
        <f>R.14EPAImpHrs1</f>
        <v>0</v>
      </c>
      <c r="H229" s="544">
        <f>Table3[[#This Row],[Hrs Rank]]</f>
        <v>0</v>
      </c>
      <c r="I229" s="534">
        <f t="shared" si="14"/>
        <v>0</v>
      </c>
      <c r="J229" s="534">
        <f t="shared" si="15"/>
        <v>0</v>
      </c>
      <c r="K229" s="551"/>
      <c r="L229" s="551"/>
      <c r="M229" s="547" t="s">
        <v>225</v>
      </c>
      <c r="N229" s="547" t="s">
        <v>225</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12"/>
        <v>AQ</v>
      </c>
      <c r="B230" s="50" t="str">
        <f t="shared" si="13"/>
        <v>LRStrm10</v>
      </c>
      <c r="C230" s="50" t="s">
        <v>263</v>
      </c>
      <c r="D230" s="532" t="s">
        <v>131</v>
      </c>
      <c r="E230" s="50" t="s">
        <v>53</v>
      </c>
      <c r="F230" s="607" t="str">
        <f>R.14EPAImpName2</f>
        <v xml:space="preserve"> </v>
      </c>
      <c r="G230" s="543">
        <f>R.14EPAImpHrs2</f>
        <v>0</v>
      </c>
      <c r="H230" s="544">
        <f>Table3[[#This Row],[Hrs Rank]]</f>
        <v>0</v>
      </c>
      <c r="I230" s="534">
        <f t="shared" si="14"/>
        <v>0</v>
      </c>
      <c r="J230" s="534">
        <f t="shared" si="15"/>
        <v>0</v>
      </c>
      <c r="K230" s="551"/>
      <c r="L230" s="551"/>
      <c r="M230" s="547" t="s">
        <v>225</v>
      </c>
      <c r="N230" s="547" t="s">
        <v>225</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12"/>
        <v>AQ</v>
      </c>
      <c r="B231" s="50" t="str">
        <f t="shared" si="13"/>
        <v>LRStrm10</v>
      </c>
      <c r="C231" s="50" t="s">
        <v>263</v>
      </c>
      <c r="D231" s="532" t="s">
        <v>131</v>
      </c>
      <c r="E231" s="50" t="s">
        <v>53</v>
      </c>
      <c r="F231" s="607" t="str">
        <f>R.14EPAImpName3</f>
        <v xml:space="preserve"> </v>
      </c>
      <c r="G231" s="543">
        <f>R.14EPAImpHrs3</f>
        <v>0</v>
      </c>
      <c r="H231" s="544">
        <f>Table3[[#This Row],[Hrs Rank]]</f>
        <v>0</v>
      </c>
      <c r="I231" s="534">
        <f t="shared" si="14"/>
        <v>0</v>
      </c>
      <c r="J231" s="534">
        <f t="shared" si="15"/>
        <v>0</v>
      </c>
      <c r="K231" s="551"/>
      <c r="L231" s="551"/>
      <c r="M231" s="547" t="s">
        <v>225</v>
      </c>
      <c r="N231" s="547" t="s">
        <v>225</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12"/>
        <v>AQ</v>
      </c>
      <c r="B232" s="50" t="str">
        <f t="shared" si="13"/>
        <v>LRStrm10</v>
      </c>
      <c r="C232" s="50" t="s">
        <v>263</v>
      </c>
      <c r="D232" s="532" t="s">
        <v>131</v>
      </c>
      <c r="E232" s="50" t="s">
        <v>53</v>
      </c>
      <c r="F232" s="535" t="str">
        <f>R.14EPAImpName4</f>
        <v xml:space="preserve"> </v>
      </c>
      <c r="G232" s="543">
        <f>R.14EPAImpHrs4</f>
        <v>0</v>
      </c>
      <c r="H232" s="544">
        <f>Table3[[#This Row],[Hrs Rank]]</f>
        <v>0</v>
      </c>
      <c r="I232" s="534">
        <f t="shared" si="14"/>
        <v>0</v>
      </c>
      <c r="J232" s="534">
        <f t="shared" si="15"/>
        <v>0</v>
      </c>
      <c r="K232" s="551"/>
      <c r="L232" s="551"/>
      <c r="M232" s="547" t="s">
        <v>225</v>
      </c>
      <c r="N232" s="547" t="s">
        <v>225</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12"/>
        <v>AQ</v>
      </c>
      <c r="B233" s="50" t="str">
        <f t="shared" si="13"/>
        <v>LRStrm10</v>
      </c>
      <c r="C233" s="50" t="s">
        <v>263</v>
      </c>
      <c r="D233" s="532" t="s">
        <v>132</v>
      </c>
      <c r="E233" s="50" t="s">
        <v>54</v>
      </c>
      <c r="F233" s="535" t="str">
        <f>R.14MuniDevName1</f>
        <v xml:space="preserve"> </v>
      </c>
      <c r="G233" s="543">
        <f>R.14MuniDevHrs1</f>
        <v>0</v>
      </c>
      <c r="H233" s="544">
        <f>Table3[[#This Row],[Hrs Rank]]</f>
        <v>0</v>
      </c>
      <c r="I233" s="534">
        <f t="shared" si="14"/>
        <v>0</v>
      </c>
      <c r="J233" s="534">
        <f t="shared" si="15"/>
        <v>0</v>
      </c>
      <c r="K233" s="551"/>
      <c r="L233" s="551"/>
      <c r="M233" s="547" t="s">
        <v>225</v>
      </c>
      <c r="N233" s="547" t="s">
        <v>225</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12"/>
        <v>AQ</v>
      </c>
      <c r="B234" s="50" t="str">
        <f t="shared" si="13"/>
        <v>LRStrm10</v>
      </c>
      <c r="C234" s="50" t="s">
        <v>263</v>
      </c>
      <c r="D234" s="532" t="s">
        <v>132</v>
      </c>
      <c r="E234" s="50" t="s">
        <v>54</v>
      </c>
      <c r="F234" s="535" t="str">
        <f>R.14MuniDevName2</f>
        <v xml:space="preserve"> </v>
      </c>
      <c r="G234" s="543">
        <f>R.14MuniDevHrs2</f>
        <v>0</v>
      </c>
      <c r="H234" s="544">
        <f>Table3[[#This Row],[Hrs Rank]]</f>
        <v>0</v>
      </c>
      <c r="I234" s="534">
        <f t="shared" si="14"/>
        <v>0</v>
      </c>
      <c r="J234" s="534">
        <f t="shared" si="15"/>
        <v>0</v>
      </c>
      <c r="K234" s="551"/>
      <c r="L234" s="551"/>
      <c r="M234" s="547" t="s">
        <v>225</v>
      </c>
      <c r="N234" s="547" t="s">
        <v>225</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12"/>
        <v>AQ</v>
      </c>
      <c r="B235" s="50" t="str">
        <f t="shared" si="13"/>
        <v>LRStrm10</v>
      </c>
      <c r="C235" s="50" t="s">
        <v>263</v>
      </c>
      <c r="D235" s="532" t="s">
        <v>132</v>
      </c>
      <c r="E235" s="50" t="s">
        <v>54</v>
      </c>
      <c r="F235" s="535" t="str">
        <f>R.14MuniDevName3</f>
        <v xml:space="preserve"> </v>
      </c>
      <c r="G235" s="543">
        <f>R.14MuniDevHrs3</f>
        <v>0</v>
      </c>
      <c r="H235" s="544">
        <f>Table3[[#This Row],[Hrs Rank]]</f>
        <v>0</v>
      </c>
      <c r="I235" s="534">
        <f t="shared" si="14"/>
        <v>0</v>
      </c>
      <c r="J235" s="534">
        <f t="shared" si="15"/>
        <v>0</v>
      </c>
      <c r="K235" s="551"/>
      <c r="L235" s="551"/>
      <c r="M235" s="547" t="s">
        <v>225</v>
      </c>
      <c r="N235" s="547" t="s">
        <v>225</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12"/>
        <v>AQ</v>
      </c>
      <c r="B236" s="50" t="str">
        <f t="shared" si="13"/>
        <v>LRStrm10</v>
      </c>
      <c r="C236" s="50" t="s">
        <v>263</v>
      </c>
      <c r="D236" s="532" t="s">
        <v>132</v>
      </c>
      <c r="E236" s="50" t="s">
        <v>54</v>
      </c>
      <c r="F236" s="535" t="str">
        <f>R.14MuniDevName4</f>
        <v xml:space="preserve"> </v>
      </c>
      <c r="G236" s="543">
        <f>R.14MuniDevHrs4</f>
        <v>0</v>
      </c>
      <c r="H236" s="544">
        <f>Table3[[#This Row],[Hrs Rank]]</f>
        <v>0</v>
      </c>
      <c r="I236" s="534">
        <f t="shared" si="14"/>
        <v>0</v>
      </c>
      <c r="J236" s="534">
        <f t="shared" si="15"/>
        <v>0</v>
      </c>
      <c r="K236" s="551"/>
      <c r="L236" s="551"/>
      <c r="M236" s="547" t="s">
        <v>225</v>
      </c>
      <c r="N236" s="547" t="s">
        <v>225</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12"/>
        <v>AQ</v>
      </c>
      <c r="B237" s="50" t="str">
        <f t="shared" si="13"/>
        <v>LRStrm10</v>
      </c>
      <c r="C237" s="50" t="s">
        <v>263</v>
      </c>
      <c r="D237" s="532" t="s">
        <v>132</v>
      </c>
      <c r="E237" s="50" t="s">
        <v>53</v>
      </c>
      <c r="F237" s="535" t="str">
        <f>R.14MuniImpName1</f>
        <v xml:space="preserve"> </v>
      </c>
      <c r="G237" s="543">
        <f>R.14MuniImpHrs1</f>
        <v>0</v>
      </c>
      <c r="H237" s="544">
        <f>Table3[[#This Row],[Hrs Rank]]</f>
        <v>0</v>
      </c>
      <c r="I237" s="534">
        <f t="shared" si="14"/>
        <v>0</v>
      </c>
      <c r="J237" s="534">
        <f t="shared" si="15"/>
        <v>0</v>
      </c>
      <c r="K237" s="551"/>
      <c r="L237" s="551"/>
      <c r="M237" s="547" t="s">
        <v>225</v>
      </c>
      <c r="N237" s="547" t="s">
        <v>225</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12"/>
        <v>AQ</v>
      </c>
      <c r="B238" s="50" t="str">
        <f t="shared" si="13"/>
        <v>LRStrm10</v>
      </c>
      <c r="C238" s="50" t="s">
        <v>263</v>
      </c>
      <c r="D238" s="532" t="s">
        <v>132</v>
      </c>
      <c r="E238" s="50" t="s">
        <v>53</v>
      </c>
      <c r="F238" s="535" t="str">
        <f>R.14MuniImpName2</f>
        <v xml:space="preserve"> </v>
      </c>
      <c r="G238" s="543">
        <f>R.14MuniImpHrs2</f>
        <v>0</v>
      </c>
      <c r="H238" s="544">
        <f>Table3[[#This Row],[Hrs Rank]]</f>
        <v>0</v>
      </c>
      <c r="I238" s="534">
        <f t="shared" si="14"/>
        <v>0</v>
      </c>
      <c r="J238" s="534">
        <f t="shared" si="15"/>
        <v>0</v>
      </c>
      <c r="K238" s="551"/>
      <c r="L238" s="551"/>
      <c r="M238" s="547" t="s">
        <v>225</v>
      </c>
      <c r="N238" s="547" t="s">
        <v>225</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12"/>
        <v>AQ</v>
      </c>
      <c r="B239" s="50" t="str">
        <f t="shared" si="13"/>
        <v>LRStrm10</v>
      </c>
      <c r="C239" s="50" t="s">
        <v>263</v>
      </c>
      <c r="D239" s="532" t="s">
        <v>132</v>
      </c>
      <c r="E239" s="50" t="s">
        <v>53</v>
      </c>
      <c r="F239" s="535" t="str">
        <f>R.14MuniImpName3</f>
        <v xml:space="preserve"> </v>
      </c>
      <c r="G239" s="543">
        <f>R.14MuniImpHrs3</f>
        <v>0</v>
      </c>
      <c r="H239" s="544">
        <f>Table3[[#This Row],[Hrs Rank]]</f>
        <v>0</v>
      </c>
      <c r="I239" s="534">
        <f t="shared" si="14"/>
        <v>0</v>
      </c>
      <c r="J239" s="534">
        <f t="shared" si="15"/>
        <v>0</v>
      </c>
      <c r="K239" s="551"/>
      <c r="L239" s="551"/>
      <c r="M239" s="547" t="s">
        <v>225</v>
      </c>
      <c r="N239" s="547" t="s">
        <v>225</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12"/>
        <v>AQ</v>
      </c>
      <c r="B240" s="50" t="str">
        <f t="shared" si="13"/>
        <v>LRStrm10</v>
      </c>
      <c r="C240" s="50" t="s">
        <v>263</v>
      </c>
      <c r="D240" s="532" t="s">
        <v>132</v>
      </c>
      <c r="E240" s="50" t="s">
        <v>53</v>
      </c>
      <c r="F240" s="535" t="str">
        <f>R.14MuniImpName4</f>
        <v xml:space="preserve"> </v>
      </c>
      <c r="G240" s="543">
        <f>R.14MuniImpHrs4</f>
        <v>0</v>
      </c>
      <c r="H240" s="544">
        <f>Table3[[#This Row],[Hrs Rank]]</f>
        <v>0</v>
      </c>
      <c r="I240" s="534">
        <f t="shared" si="14"/>
        <v>0</v>
      </c>
      <c r="J240" s="534">
        <f t="shared" si="15"/>
        <v>0</v>
      </c>
      <c r="K240" s="551"/>
      <c r="L240" s="551"/>
      <c r="M240" s="547" t="s">
        <v>225</v>
      </c>
      <c r="N240" s="547" t="s">
        <v>225</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12"/>
        <v>AQ</v>
      </c>
      <c r="B241" s="50" t="str">
        <f t="shared" si="13"/>
        <v>LRStrm10</v>
      </c>
      <c r="C241" s="50" t="s">
        <v>263</v>
      </c>
      <c r="D241" s="532" t="s">
        <v>133</v>
      </c>
      <c r="E241" s="50" t="s">
        <v>54</v>
      </c>
      <c r="F241" s="535">
        <f>R.14CountyDevName1</f>
        <v>0</v>
      </c>
      <c r="G241" s="543">
        <f>R.14CountyDevHrs1</f>
        <v>0</v>
      </c>
      <c r="H241" s="544">
        <f>Table3[[#This Row],[Hrs Rank]]</f>
        <v>0</v>
      </c>
      <c r="I241" s="534">
        <f t="shared" si="14"/>
        <v>0</v>
      </c>
      <c r="J241" s="534">
        <f t="shared" si="15"/>
        <v>0</v>
      </c>
      <c r="K241" s="551"/>
      <c r="L241" s="551"/>
      <c r="M241" s="547" t="s">
        <v>225</v>
      </c>
      <c r="N241" s="547" t="s">
        <v>225</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12"/>
        <v>AQ</v>
      </c>
      <c r="B242" s="50" t="str">
        <f t="shared" si="13"/>
        <v>LRStrm10</v>
      </c>
      <c r="C242" s="50" t="s">
        <v>263</v>
      </c>
      <c r="D242" s="532" t="s">
        <v>133</v>
      </c>
      <c r="E242" s="50" t="s">
        <v>54</v>
      </c>
      <c r="F242" s="535" t="str">
        <f>R.14CountyDevName2</f>
        <v xml:space="preserve"> </v>
      </c>
      <c r="G242" s="543">
        <f>R.14CountyDevHrs2</f>
        <v>0</v>
      </c>
      <c r="H242" s="544">
        <f>Table3[[#This Row],[Hrs Rank]]</f>
        <v>0</v>
      </c>
      <c r="I242" s="534">
        <f t="shared" si="14"/>
        <v>0</v>
      </c>
      <c r="J242" s="534">
        <f t="shared" si="15"/>
        <v>0</v>
      </c>
      <c r="K242" s="551"/>
      <c r="L242" s="551"/>
      <c r="M242" s="547" t="s">
        <v>225</v>
      </c>
      <c r="N242" s="547" t="s">
        <v>225</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12"/>
        <v>AQ</v>
      </c>
      <c r="B243" s="50" t="str">
        <f t="shared" si="13"/>
        <v>LRStrm10</v>
      </c>
      <c r="C243" s="50" t="s">
        <v>263</v>
      </c>
      <c r="D243" s="532" t="s">
        <v>133</v>
      </c>
      <c r="E243" s="50" t="s">
        <v>54</v>
      </c>
      <c r="F243" s="535" t="str">
        <f>R.14CountyDevName3</f>
        <v xml:space="preserve"> </v>
      </c>
      <c r="G243" s="543">
        <f>R.14CountyDevHrs3</f>
        <v>0</v>
      </c>
      <c r="H243" s="544">
        <f>Table3[[#This Row],[Hrs Rank]]</f>
        <v>0</v>
      </c>
      <c r="I243" s="534">
        <f t="shared" si="14"/>
        <v>0</v>
      </c>
      <c r="J243" s="534">
        <f t="shared" si="15"/>
        <v>0</v>
      </c>
      <c r="K243" s="551"/>
      <c r="L243" s="551"/>
      <c r="M243" s="547" t="s">
        <v>225</v>
      </c>
      <c r="N243" s="547" t="s">
        <v>225</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12"/>
        <v>AQ</v>
      </c>
      <c r="B244" s="50" t="str">
        <f t="shared" si="13"/>
        <v>LRStrm10</v>
      </c>
      <c r="C244" s="50" t="s">
        <v>263</v>
      </c>
      <c r="D244" s="532" t="s">
        <v>133</v>
      </c>
      <c r="E244" s="50" t="s">
        <v>54</v>
      </c>
      <c r="F244" s="535" t="str">
        <f>R.14CountyDevName4</f>
        <v xml:space="preserve"> </v>
      </c>
      <c r="G244" s="543">
        <f>R.14CountyDevHrs4</f>
        <v>0</v>
      </c>
      <c r="H244" s="544">
        <f>Table3[[#This Row],[Hrs Rank]]</f>
        <v>0</v>
      </c>
      <c r="I244" s="534">
        <f t="shared" si="14"/>
        <v>0</v>
      </c>
      <c r="J244" s="534">
        <f t="shared" si="15"/>
        <v>0</v>
      </c>
      <c r="K244" s="551"/>
      <c r="L244" s="551"/>
      <c r="M244" s="547" t="s">
        <v>225</v>
      </c>
      <c r="N244" s="547" t="s">
        <v>225</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12"/>
        <v>AQ</v>
      </c>
      <c r="B245" s="50" t="str">
        <f t="shared" si="13"/>
        <v>LRStrm10</v>
      </c>
      <c r="C245" s="50" t="s">
        <v>263</v>
      </c>
      <c r="D245" s="532" t="s">
        <v>133</v>
      </c>
      <c r="E245" s="50" t="s">
        <v>53</v>
      </c>
      <c r="F245" s="535">
        <f>R.14CountyImpName1</f>
        <v>0</v>
      </c>
      <c r="G245" s="543">
        <f>R.14CountyImpHrs1</f>
        <v>0</v>
      </c>
      <c r="H245" s="544">
        <f>Table3[[#This Row],[Hrs Rank]]</f>
        <v>0</v>
      </c>
      <c r="I245" s="534">
        <f t="shared" si="14"/>
        <v>0</v>
      </c>
      <c r="J245" s="534">
        <f t="shared" si="15"/>
        <v>0</v>
      </c>
      <c r="K245" s="551"/>
      <c r="L245" s="551"/>
      <c r="M245" s="547" t="s">
        <v>225</v>
      </c>
      <c r="N245" s="547" t="s">
        <v>225</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12"/>
        <v>AQ</v>
      </c>
      <c r="B246" s="50" t="str">
        <f t="shared" si="13"/>
        <v>LRStrm10</v>
      </c>
      <c r="C246" s="50" t="s">
        <v>263</v>
      </c>
      <c r="D246" s="532" t="s">
        <v>133</v>
      </c>
      <c r="E246" s="50" t="s">
        <v>53</v>
      </c>
      <c r="F246" s="606" t="str">
        <f>R.14CountyImpName2</f>
        <v xml:space="preserve"> </v>
      </c>
      <c r="G246" s="543">
        <f>R.14CountyImpHrs2</f>
        <v>0</v>
      </c>
      <c r="H246" s="544">
        <f>Table3[[#This Row],[Hrs Rank]]</f>
        <v>0</v>
      </c>
      <c r="I246" s="534">
        <f t="shared" si="14"/>
        <v>0</v>
      </c>
      <c r="J246" s="534">
        <f t="shared" si="15"/>
        <v>0</v>
      </c>
      <c r="K246" s="609"/>
      <c r="L246" s="609"/>
      <c r="M246" s="547" t="s">
        <v>225</v>
      </c>
      <c r="N246" s="547" t="s">
        <v>225</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12"/>
        <v>AQ</v>
      </c>
      <c r="B247" s="50" t="str">
        <f t="shared" si="13"/>
        <v>LRStrm10</v>
      </c>
      <c r="C247" s="50" t="s">
        <v>263</v>
      </c>
      <c r="D247" s="532" t="s">
        <v>133</v>
      </c>
      <c r="E247" s="50" t="s">
        <v>53</v>
      </c>
      <c r="F247" s="606" t="str">
        <f>R.14CountyImpName3</f>
        <v xml:space="preserve"> </v>
      </c>
      <c r="G247" s="543">
        <f>R.14CountyImpHrs3</f>
        <v>0</v>
      </c>
      <c r="H247" s="544">
        <f>Table3[[#This Row],[Hrs Rank]]</f>
        <v>0</v>
      </c>
      <c r="I247" s="534">
        <f t="shared" si="14"/>
        <v>0</v>
      </c>
      <c r="J247" s="534">
        <f t="shared" si="15"/>
        <v>0</v>
      </c>
      <c r="K247" s="609"/>
      <c r="L247" s="609"/>
      <c r="M247" s="547" t="s">
        <v>225</v>
      </c>
      <c r="N247" s="547" t="s">
        <v>225</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12"/>
        <v>AQ</v>
      </c>
      <c r="B248" s="50" t="str">
        <f t="shared" si="13"/>
        <v>LRStrm10</v>
      </c>
      <c r="C248" s="50" t="s">
        <v>263</v>
      </c>
      <c r="D248" s="532" t="s">
        <v>133</v>
      </c>
      <c r="E248" s="50" t="s">
        <v>53</v>
      </c>
      <c r="F248" s="606" t="str">
        <f>R.14CountyImpName4</f>
        <v xml:space="preserve"> </v>
      </c>
      <c r="G248" s="543">
        <f>R.14CountyImpHrs4</f>
        <v>0</v>
      </c>
      <c r="H248" s="544">
        <f>Table3[[#This Row],[Hrs Rank]]</f>
        <v>0</v>
      </c>
      <c r="I248" s="534">
        <f t="shared" si="14"/>
        <v>0</v>
      </c>
      <c r="J248" s="534">
        <f t="shared" si="15"/>
        <v>0</v>
      </c>
      <c r="K248" s="609"/>
      <c r="L248" s="609"/>
      <c r="M248" s="547" t="s">
        <v>225</v>
      </c>
      <c r="N248" s="547" t="s">
        <v>225</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12"/>
        <v>AQ</v>
      </c>
      <c r="B249" s="50" t="str">
        <f t="shared" si="13"/>
        <v>LRStrm10</v>
      </c>
      <c r="C249" s="50" t="s">
        <v>263</v>
      </c>
      <c r="D249" s="532" t="s">
        <v>134</v>
      </c>
      <c r="E249" s="50" t="s">
        <v>54</v>
      </c>
      <c r="F249" s="606">
        <f>R.14DistrictsDevName1</f>
        <v>0</v>
      </c>
      <c r="G249" s="543">
        <f>R.14DistrictsDevHrs1</f>
        <v>0</v>
      </c>
      <c r="H249" s="544">
        <f>Table3[[#This Row],[Hrs Rank]]</f>
        <v>0</v>
      </c>
      <c r="I249" s="534">
        <f t="shared" si="14"/>
        <v>0</v>
      </c>
      <c r="J249" s="534">
        <f t="shared" si="15"/>
        <v>0</v>
      </c>
      <c r="K249" s="609"/>
      <c r="L249" s="609"/>
      <c r="M249" s="547" t="s">
        <v>225</v>
      </c>
      <c r="N249" s="547" t="s">
        <v>225</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12"/>
        <v>AQ</v>
      </c>
      <c r="B250" s="50" t="str">
        <f t="shared" si="13"/>
        <v>LRStrm10</v>
      </c>
      <c r="C250" s="50" t="s">
        <v>263</v>
      </c>
      <c r="D250" s="532" t="s">
        <v>134</v>
      </c>
      <c r="E250" s="50" t="s">
        <v>54</v>
      </c>
      <c r="F250" s="606" t="str">
        <f>R.14DistrictsDevName2</f>
        <v xml:space="preserve"> </v>
      </c>
      <c r="G250" s="543">
        <f>R.14DistrictsDevHrs2</f>
        <v>0</v>
      </c>
      <c r="H250" s="544">
        <f>Table3[[#This Row],[Hrs Rank]]</f>
        <v>0</v>
      </c>
      <c r="I250" s="534">
        <f t="shared" si="14"/>
        <v>0</v>
      </c>
      <c r="J250" s="534">
        <f t="shared" si="15"/>
        <v>0</v>
      </c>
      <c r="K250" s="609"/>
      <c r="L250" s="609"/>
      <c r="M250" s="547" t="s">
        <v>225</v>
      </c>
      <c r="N250" s="547" t="s">
        <v>225</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12"/>
        <v>AQ</v>
      </c>
      <c r="B251" s="50" t="str">
        <f t="shared" si="13"/>
        <v>LRStrm10</v>
      </c>
      <c r="C251" s="50" t="s">
        <v>263</v>
      </c>
      <c r="D251" s="532" t="s">
        <v>134</v>
      </c>
      <c r="E251" s="50" t="s">
        <v>54</v>
      </c>
      <c r="F251" s="606" t="str">
        <f>R.14DistrictsDevName3</f>
        <v xml:space="preserve"> </v>
      </c>
      <c r="G251" s="543">
        <f>R.14DistrictsDevHrs3</f>
        <v>0</v>
      </c>
      <c r="H251" s="544">
        <f>Table3[[#This Row],[Hrs Rank]]</f>
        <v>0</v>
      </c>
      <c r="I251" s="534">
        <f t="shared" si="14"/>
        <v>0</v>
      </c>
      <c r="J251" s="534">
        <f t="shared" si="15"/>
        <v>0</v>
      </c>
      <c r="K251" s="609"/>
      <c r="L251" s="609"/>
      <c r="M251" s="547" t="s">
        <v>225</v>
      </c>
      <c r="N251" s="547" t="s">
        <v>225</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12"/>
        <v>AQ</v>
      </c>
      <c r="B252" s="50" t="str">
        <f t="shared" si="13"/>
        <v>LRStrm10</v>
      </c>
      <c r="C252" s="50" t="s">
        <v>263</v>
      </c>
      <c r="D252" s="532" t="s">
        <v>134</v>
      </c>
      <c r="E252" s="50" t="s">
        <v>54</v>
      </c>
      <c r="F252" s="606" t="str">
        <f>R.14DistrictsDevName4</f>
        <v xml:space="preserve"> </v>
      </c>
      <c r="G252" s="543">
        <f>R.14DistrictsDevHrs4</f>
        <v>0</v>
      </c>
      <c r="H252" s="544">
        <f>Table3[[#This Row],[Hrs Rank]]</f>
        <v>0</v>
      </c>
      <c r="I252" s="534">
        <f t="shared" si="14"/>
        <v>0</v>
      </c>
      <c r="J252" s="534">
        <f t="shared" si="15"/>
        <v>0</v>
      </c>
      <c r="K252" s="609"/>
      <c r="L252" s="609"/>
      <c r="M252" s="547" t="s">
        <v>225</v>
      </c>
      <c r="N252" s="547" t="s">
        <v>225</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12"/>
        <v>AQ</v>
      </c>
      <c r="B253" s="50" t="str">
        <f t="shared" si="13"/>
        <v>LRStrm10</v>
      </c>
      <c r="C253" s="50" t="s">
        <v>263</v>
      </c>
      <c r="D253" s="532" t="s">
        <v>134</v>
      </c>
      <c r="E253" s="50" t="s">
        <v>53</v>
      </c>
      <c r="F253" s="535">
        <f>R.14DistrictsImpName1</f>
        <v>0</v>
      </c>
      <c r="G253" s="543">
        <f>R.14DistrictsImpHrs1</f>
        <v>0</v>
      </c>
      <c r="H253" s="544">
        <f>Table3[[#This Row],[Hrs Rank]]</f>
        <v>0</v>
      </c>
      <c r="I253" s="534">
        <f t="shared" si="14"/>
        <v>0</v>
      </c>
      <c r="J253" s="534">
        <f t="shared" si="15"/>
        <v>0</v>
      </c>
      <c r="K253" s="609"/>
      <c r="L253" s="609"/>
      <c r="M253" s="547" t="s">
        <v>225</v>
      </c>
      <c r="N253" s="547" t="s">
        <v>225</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12"/>
        <v>AQ</v>
      </c>
      <c r="B254" s="50" t="str">
        <f t="shared" si="13"/>
        <v>LRStrm10</v>
      </c>
      <c r="C254" s="50" t="s">
        <v>263</v>
      </c>
      <c r="D254" s="532" t="s">
        <v>134</v>
      </c>
      <c r="E254" s="50" t="s">
        <v>53</v>
      </c>
      <c r="F254" s="535" t="str">
        <f>R.14DistrictsImpName2</f>
        <v xml:space="preserve"> </v>
      </c>
      <c r="G254" s="543">
        <f>R.14DistrictsImpHrs2</f>
        <v>0</v>
      </c>
      <c r="H254" s="544">
        <f>Table3[[#This Row],[Hrs Rank]]</f>
        <v>0</v>
      </c>
      <c r="I254" s="534">
        <f t="shared" si="14"/>
        <v>0</v>
      </c>
      <c r="J254" s="534">
        <f t="shared" si="15"/>
        <v>0</v>
      </c>
      <c r="K254" s="609"/>
      <c r="L254" s="609"/>
      <c r="M254" s="547" t="s">
        <v>225</v>
      </c>
      <c r="N254" s="547" t="s">
        <v>225</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si="12"/>
        <v>AQ</v>
      </c>
      <c r="B255" s="50" t="str">
        <f t="shared" si="13"/>
        <v>LRStrm10</v>
      </c>
      <c r="C255" s="50" t="s">
        <v>263</v>
      </c>
      <c r="D255" s="532" t="s">
        <v>134</v>
      </c>
      <c r="E255" s="50" t="s">
        <v>53</v>
      </c>
      <c r="F255" s="535" t="str">
        <f>R.14DistrictsImpName3</f>
        <v xml:space="preserve"> </v>
      </c>
      <c r="G255" s="543">
        <f>R.14DistrictsImpHrs3</f>
        <v>0</v>
      </c>
      <c r="H255" s="544">
        <f>Table3[[#This Row],[Hrs Rank]]</f>
        <v>0</v>
      </c>
      <c r="I255" s="534">
        <f t="shared" si="14"/>
        <v>0</v>
      </c>
      <c r="J255" s="534">
        <f t="shared" si="15"/>
        <v>0</v>
      </c>
      <c r="K255" s="609"/>
      <c r="L255" s="609"/>
      <c r="M255" s="547" t="s">
        <v>225</v>
      </c>
      <c r="N255" s="547" t="s">
        <v>225</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12"/>
        <v>AQ</v>
      </c>
      <c r="B256" s="50" t="str">
        <f t="shared" si="13"/>
        <v>LRStrm10</v>
      </c>
      <c r="C256" s="50" t="s">
        <v>263</v>
      </c>
      <c r="D256" s="532" t="s">
        <v>134</v>
      </c>
      <c r="E256" s="50" t="s">
        <v>53</v>
      </c>
      <c r="F256" s="535" t="str">
        <f>R.14DistrictsImpName4</f>
        <v xml:space="preserve"> </v>
      </c>
      <c r="G256" s="543">
        <f>R.14DistrictsImpHrs4</f>
        <v>0</v>
      </c>
      <c r="H256" s="544">
        <f>Table3[[#This Row],[Hrs Rank]]</f>
        <v>0</v>
      </c>
      <c r="I256" s="534">
        <f t="shared" si="14"/>
        <v>0</v>
      </c>
      <c r="J256" s="534">
        <f t="shared" si="15"/>
        <v>0</v>
      </c>
      <c r="K256" s="609"/>
      <c r="L256" s="609"/>
      <c r="M256" s="547" t="s">
        <v>225</v>
      </c>
      <c r="N256" s="547" t="s">
        <v>225</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12"/>
        <v>AQ</v>
      </c>
      <c r="B257" s="50" t="str">
        <f t="shared" si="13"/>
        <v>LRStrm10</v>
      </c>
      <c r="C257" s="50" t="s">
        <v>263</v>
      </c>
      <c r="D257" s="532" t="s">
        <v>272</v>
      </c>
      <c r="E257" s="50" t="s">
        <v>54</v>
      </c>
      <c r="F257" s="535">
        <f>R.14TribeDevName1</f>
        <v>0</v>
      </c>
      <c r="G257" s="543">
        <f>R.14TribeDevHrs1</f>
        <v>0</v>
      </c>
      <c r="H257" s="544">
        <f>Table3[[#This Row],[Hrs Rank]]</f>
        <v>0</v>
      </c>
      <c r="I257" s="534">
        <f t="shared" si="14"/>
        <v>0</v>
      </c>
      <c r="J257" s="534">
        <f t="shared" si="15"/>
        <v>0</v>
      </c>
      <c r="K257" s="609"/>
      <c r="L257" s="609"/>
      <c r="M257" s="547" t="s">
        <v>225</v>
      </c>
      <c r="N257" s="547" t="s">
        <v>225</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12"/>
        <v>AQ</v>
      </c>
      <c r="B258" s="50" t="str">
        <f t="shared" si="13"/>
        <v>LRStrm10</v>
      </c>
      <c r="C258" s="50" t="s">
        <v>263</v>
      </c>
      <c r="D258" s="532" t="s">
        <v>272</v>
      </c>
      <c r="E258" s="50" t="s">
        <v>54</v>
      </c>
      <c r="F258" s="535" t="str">
        <f>R.14TribeDevName2</f>
        <v xml:space="preserve"> </v>
      </c>
      <c r="G258" s="543">
        <f>R.14TribeDevHrs2</f>
        <v>0</v>
      </c>
      <c r="H258" s="544">
        <f>Table3[[#This Row],[Hrs Rank]]</f>
        <v>0</v>
      </c>
      <c r="I258" s="534">
        <f t="shared" si="14"/>
        <v>0</v>
      </c>
      <c r="J258" s="534">
        <f t="shared" si="15"/>
        <v>0</v>
      </c>
      <c r="K258" s="609"/>
      <c r="L258" s="609"/>
      <c r="M258" s="547" t="s">
        <v>225</v>
      </c>
      <c r="N258" s="547" t="s">
        <v>225</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ref="A259:A264" si="16">R.1Division</f>
        <v>AQ</v>
      </c>
      <c r="B259" s="50" t="str">
        <f t="shared" ref="B259:B264" si="17">R.1CodeName</f>
        <v>LRStrm10</v>
      </c>
      <c r="C259" s="50" t="s">
        <v>263</v>
      </c>
      <c r="D259" s="532" t="s">
        <v>272</v>
      </c>
      <c r="E259" s="50" t="s">
        <v>54</v>
      </c>
      <c r="F259" s="535" t="str">
        <f>R.14TribeDevName3</f>
        <v xml:space="preserve"> </v>
      </c>
      <c r="G259" s="543">
        <f>R.14TribeDevHrs3</f>
        <v>0</v>
      </c>
      <c r="H259" s="544">
        <f>Table3[[#This Row],[Hrs Rank]]</f>
        <v>0</v>
      </c>
      <c r="I259" s="534">
        <f t="shared" si="14"/>
        <v>0</v>
      </c>
      <c r="J259" s="534">
        <f t="shared" si="15"/>
        <v>0</v>
      </c>
      <c r="K259" s="551"/>
      <c r="L259" s="551"/>
      <c r="M259" s="547" t="s">
        <v>225</v>
      </c>
      <c r="N259" s="547" t="s">
        <v>225</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16"/>
        <v>AQ</v>
      </c>
      <c r="B260" s="50" t="str">
        <f t="shared" si="17"/>
        <v>LRStrm10</v>
      </c>
      <c r="C260" s="50" t="s">
        <v>263</v>
      </c>
      <c r="D260" s="532" t="s">
        <v>272</v>
      </c>
      <c r="E260" s="50" t="s">
        <v>54</v>
      </c>
      <c r="F260" s="535" t="str">
        <f>R.14TribeDevName4</f>
        <v xml:space="preserve"> </v>
      </c>
      <c r="G260" s="543">
        <f>R.14TribeDevHrs4</f>
        <v>0</v>
      </c>
      <c r="H260" s="544">
        <f>Table3[[#This Row],[Hrs Rank]]</f>
        <v>0</v>
      </c>
      <c r="I260" s="534">
        <f t="shared" si="14"/>
        <v>0</v>
      </c>
      <c r="J260" s="534">
        <f t="shared" si="15"/>
        <v>0</v>
      </c>
      <c r="K260" s="551"/>
      <c r="L260" s="551"/>
      <c r="M260" s="547" t="s">
        <v>225</v>
      </c>
      <c r="N260" s="547" t="s">
        <v>225</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16"/>
        <v>AQ</v>
      </c>
      <c r="B261" s="50" t="str">
        <f t="shared" si="17"/>
        <v>LRStrm10</v>
      </c>
      <c r="C261" s="50" t="s">
        <v>263</v>
      </c>
      <c r="D261" s="532" t="s">
        <v>272</v>
      </c>
      <c r="E261" s="50" t="s">
        <v>53</v>
      </c>
      <c r="F261" s="606">
        <f>R.14TribeImpName1</f>
        <v>0</v>
      </c>
      <c r="G261" s="543">
        <f>R.14TribeImpHrs1</f>
        <v>0</v>
      </c>
      <c r="H261" s="544">
        <f>Table3[[#This Row],[Hrs Rank]]</f>
        <v>0</v>
      </c>
      <c r="I261" s="534">
        <f t="shared" si="14"/>
        <v>0</v>
      </c>
      <c r="J261" s="534">
        <f t="shared" si="15"/>
        <v>0</v>
      </c>
      <c r="K261" s="609"/>
      <c r="L261" s="609"/>
      <c r="M261" s="547" t="s">
        <v>225</v>
      </c>
      <c r="N261" s="547" t="s">
        <v>225</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16"/>
        <v>AQ</v>
      </c>
      <c r="B262" s="50" t="str">
        <f t="shared" si="17"/>
        <v>LRStrm10</v>
      </c>
      <c r="C262" s="50" t="s">
        <v>263</v>
      </c>
      <c r="D262" s="532" t="s">
        <v>272</v>
      </c>
      <c r="E262" s="50" t="s">
        <v>53</v>
      </c>
      <c r="F262" s="535" t="str">
        <f>R.14TribeImpName2</f>
        <v xml:space="preserve"> </v>
      </c>
      <c r="G262" s="543">
        <f>R.14TribeImpHrs2</f>
        <v>0</v>
      </c>
      <c r="H262" s="544">
        <f>Table3[[#This Row],[Hrs Rank]]</f>
        <v>0</v>
      </c>
      <c r="I262" s="534">
        <f t="shared" si="14"/>
        <v>0</v>
      </c>
      <c r="J262" s="534">
        <f t="shared" si="15"/>
        <v>0</v>
      </c>
      <c r="K262" s="551"/>
      <c r="L262" s="551"/>
      <c r="M262" s="547" t="s">
        <v>225</v>
      </c>
      <c r="N262" s="547" t="s">
        <v>225</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16"/>
        <v>AQ</v>
      </c>
      <c r="B263" s="50" t="str">
        <f t="shared" si="17"/>
        <v>LRStrm10</v>
      </c>
      <c r="C263" s="50" t="s">
        <v>263</v>
      </c>
      <c r="D263" s="532" t="s">
        <v>272</v>
      </c>
      <c r="E263" s="50" t="s">
        <v>53</v>
      </c>
      <c r="F263" s="606" t="str">
        <f>R.14TribeImpName3</f>
        <v xml:space="preserve"> </v>
      </c>
      <c r="G263" s="543">
        <f>R.14TribeImpHrs3</f>
        <v>0</v>
      </c>
      <c r="H263" s="544">
        <f>Table3[[#This Row],[Hrs Rank]]</f>
        <v>0</v>
      </c>
      <c r="I263" s="534">
        <f t="shared" si="14"/>
        <v>0</v>
      </c>
      <c r="J263" s="534">
        <f t="shared" si="15"/>
        <v>0</v>
      </c>
      <c r="K263" s="551"/>
      <c r="L263" s="551"/>
      <c r="M263" s="547" t="s">
        <v>225</v>
      </c>
      <c r="N263" s="547" t="s">
        <v>225</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16"/>
        <v>AQ</v>
      </c>
      <c r="B264" s="50" t="str">
        <f t="shared" si="17"/>
        <v>LRStrm10</v>
      </c>
      <c r="C264" s="50" t="s">
        <v>263</v>
      </c>
      <c r="D264" s="532" t="s">
        <v>272</v>
      </c>
      <c r="E264" s="50" t="s">
        <v>53</v>
      </c>
      <c r="F264" s="606" t="str">
        <f>R.14TribeImpName4</f>
        <v xml:space="preserve"> </v>
      </c>
      <c r="G264" s="543">
        <f>R.14TribeImpHrs4</f>
        <v>0</v>
      </c>
      <c r="H264" s="544">
        <f>Table3[[#This Row],[Hrs Rank]]</f>
        <v>0</v>
      </c>
      <c r="I264" s="534">
        <f t="shared" si="14"/>
        <v>0</v>
      </c>
      <c r="J264" s="534">
        <f t="shared" si="15"/>
        <v>0</v>
      </c>
      <c r="K264" s="609"/>
      <c r="L264" s="609"/>
      <c r="M264" s="547" t="s">
        <v>225</v>
      </c>
      <c r="N264" s="547" t="s">
        <v>225</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ref="A265:A286" si="18">R.1Division</f>
        <v>AQ</v>
      </c>
      <c r="B265" s="50" t="str">
        <f t="shared" ref="B265:B286" si="19">R.1CodeName</f>
        <v>LRStrm10</v>
      </c>
      <c r="C265" s="50" t="s">
        <v>264</v>
      </c>
      <c r="D265" s="532" t="str">
        <f>'15CustomParticipants'!D$9</f>
        <v>Enter custom role 1</v>
      </c>
      <c r="E265" s="50" t="s">
        <v>54</v>
      </c>
      <c r="F265" s="535" t="str">
        <f t="shared" ref="F265:F280" si="20">R.3PAname</f>
        <v>PA name</v>
      </c>
      <c r="G265" s="543"/>
      <c r="H265" s="544">
        <f>Table3[[#This Row],[Hrs Rank]]</f>
        <v>0</v>
      </c>
      <c r="I265" s="534">
        <f t="shared" ref="I265:I296" si="21">IF(ISNA(VLOOKUP($H265,R.VL_DEQResourceHours,2,FALSE)),0,VLOOKUP($H265,R.VL_DEQResourceHours,2,FALSE))</f>
        <v>0</v>
      </c>
      <c r="J265" s="534">
        <f t="shared" ref="J265:J296" si="22">IF(ISNA(VLOOKUP($H265,R.VL_DEQResourceHours,3,FALSE)),0,VLOOKUP($H265,R.VL_DEQResourceHours,3,FALSE))</f>
        <v>0</v>
      </c>
      <c r="K265" s="551"/>
      <c r="L265" s="551"/>
      <c r="M265" s="547" t="s">
        <v>225</v>
      </c>
      <c r="N265" s="547" t="s">
        <v>225</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18"/>
        <v>AQ</v>
      </c>
      <c r="B266" s="50" t="str">
        <f t="shared" si="19"/>
        <v>LRStrm10</v>
      </c>
      <c r="C266" s="50" t="s">
        <v>264</v>
      </c>
      <c r="D266" s="532" t="str">
        <f>'15CustomParticipants'!D$9</f>
        <v>Enter custom role 1</v>
      </c>
      <c r="E266" s="50" t="s">
        <v>54</v>
      </c>
      <c r="F266" s="535" t="str">
        <f t="shared" si="20"/>
        <v>PA name</v>
      </c>
      <c r="G266" s="543"/>
      <c r="H266" s="544">
        <f>Table3[[#This Row],[Hrs Rank]]</f>
        <v>0</v>
      </c>
      <c r="I266" s="534">
        <f t="shared" si="21"/>
        <v>0</v>
      </c>
      <c r="J266" s="534">
        <f t="shared" si="22"/>
        <v>0</v>
      </c>
      <c r="K266" s="551"/>
      <c r="L266" s="551"/>
      <c r="M266" s="547" t="s">
        <v>225</v>
      </c>
      <c r="N266" s="547" t="s">
        <v>225</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18"/>
        <v>AQ</v>
      </c>
      <c r="B267" s="50" t="str">
        <f t="shared" si="19"/>
        <v>LRStrm10</v>
      </c>
      <c r="C267" s="50" t="s">
        <v>264</v>
      </c>
      <c r="D267" s="532" t="str">
        <f>'15CustomParticipants'!D$9</f>
        <v>Enter custom role 1</v>
      </c>
      <c r="E267" s="50" t="s">
        <v>54</v>
      </c>
      <c r="F267" s="535" t="str">
        <f t="shared" si="20"/>
        <v>PA name</v>
      </c>
      <c r="G267" s="543"/>
      <c r="H267" s="544">
        <f>Table3[[#This Row],[Hrs Rank]]</f>
        <v>0</v>
      </c>
      <c r="I267" s="534">
        <f t="shared" si="21"/>
        <v>0</v>
      </c>
      <c r="J267" s="534">
        <f t="shared" si="22"/>
        <v>0</v>
      </c>
      <c r="K267" s="551"/>
      <c r="L267" s="551"/>
      <c r="M267" s="547" t="s">
        <v>225</v>
      </c>
      <c r="N267" s="547" t="s">
        <v>225</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18"/>
        <v>AQ</v>
      </c>
      <c r="B268" s="50" t="str">
        <f t="shared" si="19"/>
        <v>LRStrm10</v>
      </c>
      <c r="C268" s="50" t="s">
        <v>264</v>
      </c>
      <c r="D268" s="532" t="str">
        <f>'15CustomParticipants'!D$9</f>
        <v>Enter custom role 1</v>
      </c>
      <c r="E268" s="50" t="s">
        <v>54</v>
      </c>
      <c r="F268" s="535" t="str">
        <f t="shared" si="20"/>
        <v>PA name</v>
      </c>
      <c r="G268" s="543"/>
      <c r="H268" s="544">
        <f>Table3[[#This Row],[Hrs Rank]]</f>
        <v>0</v>
      </c>
      <c r="I268" s="534">
        <f t="shared" si="21"/>
        <v>0</v>
      </c>
      <c r="J268" s="534">
        <f t="shared" si="22"/>
        <v>0</v>
      </c>
      <c r="K268" s="551"/>
      <c r="L268" s="551"/>
      <c r="M268" s="547" t="s">
        <v>225</v>
      </c>
      <c r="N268" s="547" t="s">
        <v>225</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18"/>
        <v>AQ</v>
      </c>
      <c r="B269" s="50" t="str">
        <f t="shared" si="19"/>
        <v>LRStrm10</v>
      </c>
      <c r="C269" s="50" t="s">
        <v>264</v>
      </c>
      <c r="D269" s="532" t="str">
        <f>'15CustomParticipants'!D$9</f>
        <v>Enter custom role 1</v>
      </c>
      <c r="E269" s="50" t="s">
        <v>53</v>
      </c>
      <c r="F269" s="535" t="str">
        <f t="shared" si="20"/>
        <v>PA name</v>
      </c>
      <c r="G269" s="543"/>
      <c r="H269" s="544">
        <f>Table3[[#This Row],[Hrs Rank]]</f>
        <v>0</v>
      </c>
      <c r="I269" s="534">
        <f t="shared" si="21"/>
        <v>0</v>
      </c>
      <c r="J269" s="534">
        <f t="shared" si="22"/>
        <v>0</v>
      </c>
      <c r="K269" s="551"/>
      <c r="L269" s="551"/>
      <c r="M269" s="547" t="s">
        <v>225</v>
      </c>
      <c r="N269" s="547" t="s">
        <v>225</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18"/>
        <v>AQ</v>
      </c>
      <c r="B270" s="50" t="str">
        <f t="shared" si="19"/>
        <v>LRStrm10</v>
      </c>
      <c r="C270" s="50" t="s">
        <v>264</v>
      </c>
      <c r="D270" s="532" t="str">
        <f>'15CustomParticipants'!D$9</f>
        <v>Enter custom role 1</v>
      </c>
      <c r="E270" s="50" t="s">
        <v>53</v>
      </c>
      <c r="F270" s="535" t="str">
        <f t="shared" si="20"/>
        <v>PA name</v>
      </c>
      <c r="G270" s="543"/>
      <c r="H270" s="544">
        <f>Table3[[#This Row],[Hrs Rank]]</f>
        <v>0</v>
      </c>
      <c r="I270" s="534">
        <f t="shared" si="21"/>
        <v>0</v>
      </c>
      <c r="J270" s="534">
        <f t="shared" si="22"/>
        <v>0</v>
      </c>
      <c r="K270" s="551"/>
      <c r="L270" s="551"/>
      <c r="M270" s="547" t="s">
        <v>225</v>
      </c>
      <c r="N270" s="547" t="s">
        <v>225</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18"/>
        <v>AQ</v>
      </c>
      <c r="B271" s="50" t="str">
        <f t="shared" si="19"/>
        <v>LRStrm10</v>
      </c>
      <c r="C271" s="50" t="s">
        <v>264</v>
      </c>
      <c r="D271" s="532" t="str">
        <f>'15CustomParticipants'!D$9</f>
        <v>Enter custom role 1</v>
      </c>
      <c r="E271" s="50" t="s">
        <v>53</v>
      </c>
      <c r="F271" s="535" t="str">
        <f t="shared" si="20"/>
        <v>PA name</v>
      </c>
      <c r="G271" s="543"/>
      <c r="H271" s="544">
        <f>Table3[[#This Row],[Hrs Rank]]</f>
        <v>0</v>
      </c>
      <c r="I271" s="534">
        <f t="shared" si="21"/>
        <v>0</v>
      </c>
      <c r="J271" s="534">
        <f t="shared" si="22"/>
        <v>0</v>
      </c>
      <c r="K271" s="551"/>
      <c r="L271" s="551"/>
      <c r="M271" s="547" t="s">
        <v>225</v>
      </c>
      <c r="N271" s="547" t="s">
        <v>225</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18"/>
        <v>AQ</v>
      </c>
      <c r="B272" s="50" t="str">
        <f t="shared" si="19"/>
        <v>LRStrm10</v>
      </c>
      <c r="C272" s="50" t="s">
        <v>264</v>
      </c>
      <c r="D272" s="532" t="str">
        <f>'15CustomParticipants'!D$9</f>
        <v>Enter custom role 1</v>
      </c>
      <c r="E272" s="50" t="s">
        <v>53</v>
      </c>
      <c r="F272" s="535" t="str">
        <f t="shared" si="20"/>
        <v>PA name</v>
      </c>
      <c r="G272" s="543"/>
      <c r="H272" s="544">
        <f>Table3[[#This Row],[Hrs Rank]]</f>
        <v>0</v>
      </c>
      <c r="I272" s="534">
        <f t="shared" si="21"/>
        <v>0</v>
      </c>
      <c r="J272" s="534">
        <f t="shared" si="22"/>
        <v>0</v>
      </c>
      <c r="K272" s="551"/>
      <c r="L272" s="551"/>
      <c r="M272" s="547" t="s">
        <v>225</v>
      </c>
      <c r="N272" s="547" t="s">
        <v>225</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18"/>
        <v>AQ</v>
      </c>
      <c r="B273" s="50" t="str">
        <f t="shared" si="19"/>
        <v>LRStrm10</v>
      </c>
      <c r="C273" s="50" t="s">
        <v>264</v>
      </c>
      <c r="D273" s="532" t="str">
        <f>'15CustomParticipants'!D$25</f>
        <v>Enter custom role 2</v>
      </c>
      <c r="E273" s="50" t="s">
        <v>54</v>
      </c>
      <c r="F273" s="535" t="str">
        <f t="shared" si="20"/>
        <v>PA name</v>
      </c>
      <c r="G273" s="543"/>
      <c r="H273" s="544">
        <f>Table3[[#This Row],[Hrs Rank]]</f>
        <v>0</v>
      </c>
      <c r="I273" s="534">
        <f t="shared" si="21"/>
        <v>0</v>
      </c>
      <c r="J273" s="534">
        <f t="shared" si="22"/>
        <v>0</v>
      </c>
      <c r="K273" s="551"/>
      <c r="L273" s="551"/>
      <c r="M273" s="547" t="s">
        <v>225</v>
      </c>
      <c r="N273" s="547" t="s">
        <v>225</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18"/>
        <v>AQ</v>
      </c>
      <c r="B274" s="50" t="str">
        <f t="shared" si="19"/>
        <v>LRStrm10</v>
      </c>
      <c r="C274" s="50" t="s">
        <v>264</v>
      </c>
      <c r="D274" s="532" t="str">
        <f>'15CustomParticipants'!D$25</f>
        <v>Enter custom role 2</v>
      </c>
      <c r="E274" s="50" t="s">
        <v>54</v>
      </c>
      <c r="F274" s="535" t="str">
        <f t="shared" si="20"/>
        <v>PA name</v>
      </c>
      <c r="G274" s="543"/>
      <c r="H274" s="544">
        <f>Table3[[#This Row],[Hrs Rank]]</f>
        <v>0</v>
      </c>
      <c r="I274" s="534">
        <f t="shared" si="21"/>
        <v>0</v>
      </c>
      <c r="J274" s="534">
        <f t="shared" si="22"/>
        <v>0</v>
      </c>
      <c r="K274" s="551"/>
      <c r="L274" s="551"/>
      <c r="M274" s="547" t="s">
        <v>225</v>
      </c>
      <c r="N274" s="547" t="s">
        <v>225</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18"/>
        <v>AQ</v>
      </c>
      <c r="B275" s="50" t="str">
        <f t="shared" si="19"/>
        <v>LRStrm10</v>
      </c>
      <c r="C275" s="50" t="s">
        <v>264</v>
      </c>
      <c r="D275" s="532" t="str">
        <f>'15CustomParticipants'!D$25</f>
        <v>Enter custom role 2</v>
      </c>
      <c r="E275" s="50" t="s">
        <v>54</v>
      </c>
      <c r="F275" s="535" t="str">
        <f t="shared" si="20"/>
        <v>PA name</v>
      </c>
      <c r="G275" s="543"/>
      <c r="H275" s="544">
        <f>Table3[[#This Row],[Hrs Rank]]</f>
        <v>0</v>
      </c>
      <c r="I275" s="534">
        <f t="shared" si="21"/>
        <v>0</v>
      </c>
      <c r="J275" s="534">
        <f t="shared" si="22"/>
        <v>0</v>
      </c>
      <c r="K275" s="551"/>
      <c r="L275" s="551"/>
      <c r="M275" s="547" t="s">
        <v>225</v>
      </c>
      <c r="N275" s="547" t="s">
        <v>225</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18"/>
        <v>AQ</v>
      </c>
      <c r="B276" s="50" t="str">
        <f t="shared" si="19"/>
        <v>LRStrm10</v>
      </c>
      <c r="C276" s="50" t="s">
        <v>264</v>
      </c>
      <c r="D276" s="532" t="str">
        <f>'15CustomParticipants'!D$25</f>
        <v>Enter custom role 2</v>
      </c>
      <c r="E276" s="50" t="s">
        <v>54</v>
      </c>
      <c r="F276" s="535" t="str">
        <f t="shared" si="20"/>
        <v>PA name</v>
      </c>
      <c r="G276" s="543"/>
      <c r="H276" s="544">
        <f>Table3[[#This Row],[Hrs Rank]]</f>
        <v>0</v>
      </c>
      <c r="I276" s="534">
        <f t="shared" si="21"/>
        <v>0</v>
      </c>
      <c r="J276" s="534">
        <f t="shared" si="22"/>
        <v>0</v>
      </c>
      <c r="K276" s="551"/>
      <c r="L276" s="551"/>
      <c r="M276" s="547" t="s">
        <v>225</v>
      </c>
      <c r="N276" s="547" t="s">
        <v>225</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18"/>
        <v>AQ</v>
      </c>
      <c r="B277" s="50" t="str">
        <f t="shared" si="19"/>
        <v>LRStrm10</v>
      </c>
      <c r="C277" s="50" t="s">
        <v>264</v>
      </c>
      <c r="D277" s="532" t="str">
        <f>'15CustomParticipants'!D$25</f>
        <v>Enter custom role 2</v>
      </c>
      <c r="E277" s="50" t="s">
        <v>53</v>
      </c>
      <c r="F277" s="535" t="str">
        <f t="shared" si="20"/>
        <v>PA name</v>
      </c>
      <c r="G277" s="543"/>
      <c r="H277" s="544">
        <f>Table3[[#This Row],[Hrs Rank]]</f>
        <v>0</v>
      </c>
      <c r="I277" s="534">
        <f t="shared" si="21"/>
        <v>0</v>
      </c>
      <c r="J277" s="534">
        <f t="shared" si="22"/>
        <v>0</v>
      </c>
      <c r="K277" s="551"/>
      <c r="L277" s="551"/>
      <c r="M277" s="547" t="s">
        <v>225</v>
      </c>
      <c r="N277" s="547" t="s">
        <v>225</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18"/>
        <v>AQ</v>
      </c>
      <c r="B278" s="50" t="str">
        <f t="shared" si="19"/>
        <v>LRStrm10</v>
      </c>
      <c r="C278" s="50" t="s">
        <v>264</v>
      </c>
      <c r="D278" s="532" t="str">
        <f>'15CustomParticipants'!D$25</f>
        <v>Enter custom role 2</v>
      </c>
      <c r="E278" s="50" t="s">
        <v>53</v>
      </c>
      <c r="F278" s="535" t="str">
        <f t="shared" si="20"/>
        <v>PA name</v>
      </c>
      <c r="G278" s="543"/>
      <c r="H278" s="544">
        <f>Table3[[#This Row],[Hrs Rank]]</f>
        <v>0</v>
      </c>
      <c r="I278" s="534">
        <f t="shared" si="21"/>
        <v>0</v>
      </c>
      <c r="J278" s="534">
        <f t="shared" si="22"/>
        <v>0</v>
      </c>
      <c r="K278" s="551"/>
      <c r="L278" s="551"/>
      <c r="M278" s="547" t="s">
        <v>225</v>
      </c>
      <c r="N278" s="547" t="s">
        <v>225</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18"/>
        <v>AQ</v>
      </c>
      <c r="B279" s="50" t="str">
        <f t="shared" si="19"/>
        <v>LRStrm10</v>
      </c>
      <c r="C279" s="50" t="s">
        <v>264</v>
      </c>
      <c r="D279" s="532" t="str">
        <f>'15CustomParticipants'!D$25</f>
        <v>Enter custom role 2</v>
      </c>
      <c r="E279" s="50" t="s">
        <v>53</v>
      </c>
      <c r="F279" s="535" t="str">
        <f t="shared" si="20"/>
        <v>PA name</v>
      </c>
      <c r="G279" s="543"/>
      <c r="H279" s="544">
        <f>Table3[[#This Row],[Hrs Rank]]</f>
        <v>0</v>
      </c>
      <c r="I279" s="534">
        <f t="shared" si="21"/>
        <v>0</v>
      </c>
      <c r="J279" s="534">
        <f t="shared" si="22"/>
        <v>0</v>
      </c>
      <c r="K279" s="551"/>
      <c r="L279" s="551"/>
      <c r="M279" s="547" t="s">
        <v>225</v>
      </c>
      <c r="N279" s="547" t="s">
        <v>225</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18"/>
        <v>AQ</v>
      </c>
      <c r="B280" s="50" t="str">
        <f t="shared" si="19"/>
        <v>LRStrm10</v>
      </c>
      <c r="C280" s="50" t="s">
        <v>264</v>
      </c>
      <c r="D280" s="532" t="str">
        <f>'15CustomParticipants'!D$25</f>
        <v>Enter custom role 2</v>
      </c>
      <c r="E280" s="50" t="s">
        <v>53</v>
      </c>
      <c r="F280" s="535" t="str">
        <f t="shared" si="20"/>
        <v>PA name</v>
      </c>
      <c r="G280" s="543"/>
      <c r="H280" s="544">
        <f>Table3[[#This Row],[Hrs Rank]]</f>
        <v>0</v>
      </c>
      <c r="I280" s="534">
        <f t="shared" si="21"/>
        <v>0</v>
      </c>
      <c r="J280" s="534">
        <f t="shared" si="22"/>
        <v>0</v>
      </c>
      <c r="K280" s="551"/>
      <c r="L280" s="551"/>
      <c r="M280" s="547" t="s">
        <v>225</v>
      </c>
      <c r="N280" s="547" t="s">
        <v>225</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18"/>
        <v>AQ</v>
      </c>
      <c r="B281" s="50" t="str">
        <f t="shared" si="19"/>
        <v>LRStrm10</v>
      </c>
      <c r="C281" s="50" t="s">
        <v>264</v>
      </c>
      <c r="D281" s="532" t="str">
        <f>'15CustomParticipants'!D$41</f>
        <v>Enter custom role 3</v>
      </c>
      <c r="E281" s="50" t="s">
        <v>54</v>
      </c>
      <c r="F281" s="535" t="str">
        <f t="shared" ref="F281:F296" si="23">R.3PAname</f>
        <v>PA name</v>
      </c>
      <c r="G281" s="543"/>
      <c r="H281" s="544">
        <f>Table3[[#This Row],[Hrs Rank]]</f>
        <v>0</v>
      </c>
      <c r="I281" s="534">
        <f t="shared" si="21"/>
        <v>0</v>
      </c>
      <c r="J281" s="534">
        <f t="shared" si="22"/>
        <v>0</v>
      </c>
      <c r="K281" s="551"/>
      <c r="L281" s="551"/>
      <c r="M281" s="547" t="s">
        <v>225</v>
      </c>
      <c r="N281" s="547" t="s">
        <v>225</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18"/>
        <v>AQ</v>
      </c>
      <c r="B282" s="50" t="str">
        <f t="shared" si="19"/>
        <v>LRStrm10</v>
      </c>
      <c r="C282" s="50" t="s">
        <v>264</v>
      </c>
      <c r="D282" s="532" t="str">
        <f>'15CustomParticipants'!D$41</f>
        <v>Enter custom role 3</v>
      </c>
      <c r="E282" s="50" t="s">
        <v>54</v>
      </c>
      <c r="F282" s="535" t="str">
        <f t="shared" si="23"/>
        <v>PA name</v>
      </c>
      <c r="G282" s="543"/>
      <c r="H282" s="544">
        <f>Table3[[#This Row],[Hrs Rank]]</f>
        <v>0</v>
      </c>
      <c r="I282" s="534">
        <f t="shared" si="21"/>
        <v>0</v>
      </c>
      <c r="J282" s="534">
        <f t="shared" si="22"/>
        <v>0</v>
      </c>
      <c r="K282" s="551"/>
      <c r="L282" s="551"/>
      <c r="M282" s="547" t="s">
        <v>225</v>
      </c>
      <c r="N282" s="547" t="s">
        <v>225</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18"/>
        <v>AQ</v>
      </c>
      <c r="B283" s="50" t="str">
        <f t="shared" si="19"/>
        <v>LRStrm10</v>
      </c>
      <c r="C283" s="50" t="s">
        <v>264</v>
      </c>
      <c r="D283" s="532" t="str">
        <f>'15CustomParticipants'!D$41</f>
        <v>Enter custom role 3</v>
      </c>
      <c r="E283" s="50" t="s">
        <v>54</v>
      </c>
      <c r="F283" s="535" t="str">
        <f t="shared" si="23"/>
        <v>PA name</v>
      </c>
      <c r="G283" s="543"/>
      <c r="H283" s="544">
        <f>Table3[[#This Row],[Hrs Rank]]</f>
        <v>0</v>
      </c>
      <c r="I283" s="534">
        <f t="shared" si="21"/>
        <v>0</v>
      </c>
      <c r="J283" s="534">
        <f t="shared" si="22"/>
        <v>0</v>
      </c>
      <c r="K283" s="551"/>
      <c r="L283" s="551"/>
      <c r="M283" s="547" t="s">
        <v>225</v>
      </c>
      <c r="N283" s="547" t="s">
        <v>225</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18"/>
        <v>AQ</v>
      </c>
      <c r="B284" s="50" t="str">
        <f t="shared" si="19"/>
        <v>LRStrm10</v>
      </c>
      <c r="C284" s="50" t="s">
        <v>264</v>
      </c>
      <c r="D284" s="532" t="str">
        <f>'15CustomParticipants'!D$41</f>
        <v>Enter custom role 3</v>
      </c>
      <c r="E284" s="50" t="s">
        <v>54</v>
      </c>
      <c r="F284" s="535" t="str">
        <f t="shared" si="23"/>
        <v>PA name</v>
      </c>
      <c r="G284" s="543"/>
      <c r="H284" s="544">
        <f>Table3[[#This Row],[Hrs Rank]]</f>
        <v>0</v>
      </c>
      <c r="I284" s="534">
        <f t="shared" si="21"/>
        <v>0</v>
      </c>
      <c r="J284" s="534">
        <f t="shared" si="22"/>
        <v>0</v>
      </c>
      <c r="K284" s="551"/>
      <c r="L284" s="551"/>
      <c r="M284" s="547" t="s">
        <v>225</v>
      </c>
      <c r="N284" s="547" t="s">
        <v>225</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18"/>
        <v>AQ</v>
      </c>
      <c r="B285" s="50" t="str">
        <f t="shared" si="19"/>
        <v>LRStrm10</v>
      </c>
      <c r="C285" s="50" t="s">
        <v>264</v>
      </c>
      <c r="D285" s="532" t="str">
        <f>'15CustomParticipants'!D$41</f>
        <v>Enter custom role 3</v>
      </c>
      <c r="E285" s="50" t="s">
        <v>53</v>
      </c>
      <c r="F285" s="535" t="str">
        <f t="shared" si="23"/>
        <v>PA name</v>
      </c>
      <c r="G285" s="543"/>
      <c r="H285" s="544">
        <f>Table3[[#This Row],[Hrs Rank]]</f>
        <v>0</v>
      </c>
      <c r="I285" s="534">
        <f t="shared" si="21"/>
        <v>0</v>
      </c>
      <c r="J285" s="534">
        <f t="shared" si="22"/>
        <v>0</v>
      </c>
      <c r="K285" s="551"/>
      <c r="L285" s="551"/>
      <c r="M285" s="547" t="s">
        <v>225</v>
      </c>
      <c r="N285" s="547" t="s">
        <v>225</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18"/>
        <v>AQ</v>
      </c>
      <c r="B286" s="50" t="str">
        <f t="shared" si="19"/>
        <v>LRStrm10</v>
      </c>
      <c r="C286" s="50" t="s">
        <v>264</v>
      </c>
      <c r="D286" s="532" t="str">
        <f>'15CustomParticipants'!D$41</f>
        <v>Enter custom role 3</v>
      </c>
      <c r="E286" s="50" t="s">
        <v>53</v>
      </c>
      <c r="F286" s="535" t="str">
        <f t="shared" si="23"/>
        <v>PA name</v>
      </c>
      <c r="G286" s="543"/>
      <c r="H286" s="544">
        <f>Table3[[#This Row],[Hrs Rank]]</f>
        <v>0</v>
      </c>
      <c r="I286" s="534">
        <f t="shared" si="21"/>
        <v>0</v>
      </c>
      <c r="J286" s="534">
        <f t="shared" si="22"/>
        <v>0</v>
      </c>
      <c r="K286" s="551"/>
      <c r="L286" s="551"/>
      <c r="M286" s="547" t="s">
        <v>225</v>
      </c>
      <c r="N286" s="547" t="s">
        <v>225</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24">R.1Division</f>
        <v>AQ</v>
      </c>
      <c r="B287" s="50" t="str">
        <f t="shared" ref="B287:B296" si="25">R.1CodeName</f>
        <v>LRStrm10</v>
      </c>
      <c r="C287" s="50" t="s">
        <v>264</v>
      </c>
      <c r="D287" s="532" t="str">
        <f>'15CustomParticipants'!D$41</f>
        <v>Enter custom role 3</v>
      </c>
      <c r="E287" s="50" t="s">
        <v>53</v>
      </c>
      <c r="F287" s="535" t="str">
        <f t="shared" si="23"/>
        <v>PA name</v>
      </c>
      <c r="G287" s="543"/>
      <c r="H287" s="544">
        <f>Table3[[#This Row],[Hrs Rank]]</f>
        <v>0</v>
      </c>
      <c r="I287" s="534">
        <f t="shared" si="21"/>
        <v>0</v>
      </c>
      <c r="J287" s="534">
        <f t="shared" si="22"/>
        <v>0</v>
      </c>
      <c r="K287" s="551"/>
      <c r="L287" s="551"/>
      <c r="M287" s="547" t="s">
        <v>225</v>
      </c>
      <c r="N287" s="547" t="s">
        <v>225</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24"/>
        <v>AQ</v>
      </c>
      <c r="B288" s="50" t="str">
        <f t="shared" si="25"/>
        <v>LRStrm10</v>
      </c>
      <c r="C288" s="50" t="s">
        <v>264</v>
      </c>
      <c r="D288" s="532" t="str">
        <f>'15CustomParticipants'!D$41</f>
        <v>Enter custom role 3</v>
      </c>
      <c r="E288" s="50" t="s">
        <v>53</v>
      </c>
      <c r="F288" s="535" t="str">
        <f t="shared" si="23"/>
        <v>PA name</v>
      </c>
      <c r="G288" s="543"/>
      <c r="H288" s="544">
        <f>Table3[[#This Row],[Hrs Rank]]</f>
        <v>0</v>
      </c>
      <c r="I288" s="534">
        <f t="shared" si="21"/>
        <v>0</v>
      </c>
      <c r="J288" s="534">
        <f t="shared" si="22"/>
        <v>0</v>
      </c>
      <c r="K288" s="551"/>
      <c r="L288" s="551"/>
      <c r="M288" s="547" t="s">
        <v>225</v>
      </c>
      <c r="N288" s="547" t="s">
        <v>225</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24"/>
        <v>AQ</v>
      </c>
      <c r="B289" s="50" t="str">
        <f t="shared" si="25"/>
        <v>LRStrm10</v>
      </c>
      <c r="C289" s="50" t="s">
        <v>264</v>
      </c>
      <c r="D289" s="532" t="str">
        <f>'15CustomParticipants'!D$57</f>
        <v>Enter custom role 4</v>
      </c>
      <c r="E289" s="50" t="s">
        <v>54</v>
      </c>
      <c r="F289" s="535" t="str">
        <f t="shared" si="23"/>
        <v>PA name</v>
      </c>
      <c r="G289" s="543"/>
      <c r="H289" s="544">
        <f>Table3[[#This Row],[Hrs Rank]]</f>
        <v>0</v>
      </c>
      <c r="I289" s="534">
        <f t="shared" si="21"/>
        <v>0</v>
      </c>
      <c r="J289" s="534">
        <f t="shared" si="22"/>
        <v>0</v>
      </c>
      <c r="K289" s="551"/>
      <c r="L289" s="551"/>
      <c r="M289" s="547" t="s">
        <v>225</v>
      </c>
      <c r="N289" s="547" t="s">
        <v>225</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24"/>
        <v>AQ</v>
      </c>
      <c r="B290" s="50" t="str">
        <f t="shared" si="25"/>
        <v>LRStrm10</v>
      </c>
      <c r="C290" s="50" t="s">
        <v>264</v>
      </c>
      <c r="D290" s="532" t="str">
        <f>'15CustomParticipants'!D$57</f>
        <v>Enter custom role 4</v>
      </c>
      <c r="E290" s="50" t="s">
        <v>54</v>
      </c>
      <c r="F290" s="535" t="str">
        <f t="shared" si="23"/>
        <v>PA name</v>
      </c>
      <c r="G290" s="543"/>
      <c r="H290" s="544">
        <f>Table3[[#This Row],[Hrs Rank]]</f>
        <v>0</v>
      </c>
      <c r="I290" s="534">
        <f t="shared" si="21"/>
        <v>0</v>
      </c>
      <c r="J290" s="534">
        <f t="shared" si="22"/>
        <v>0</v>
      </c>
      <c r="K290" s="551"/>
      <c r="L290" s="551"/>
      <c r="M290" s="547" t="s">
        <v>225</v>
      </c>
      <c r="N290" s="547" t="s">
        <v>225</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24"/>
        <v>AQ</v>
      </c>
      <c r="B291" s="50" t="str">
        <f t="shared" si="25"/>
        <v>LRStrm10</v>
      </c>
      <c r="C291" s="50" t="s">
        <v>264</v>
      </c>
      <c r="D291" s="532" t="str">
        <f>'15CustomParticipants'!D$57</f>
        <v>Enter custom role 4</v>
      </c>
      <c r="E291" s="50" t="s">
        <v>54</v>
      </c>
      <c r="F291" s="535" t="str">
        <f t="shared" si="23"/>
        <v>PA name</v>
      </c>
      <c r="G291" s="543"/>
      <c r="H291" s="544">
        <f>Table3[[#This Row],[Hrs Rank]]</f>
        <v>0</v>
      </c>
      <c r="I291" s="534">
        <f t="shared" si="21"/>
        <v>0</v>
      </c>
      <c r="J291" s="534">
        <f t="shared" si="22"/>
        <v>0</v>
      </c>
      <c r="K291" s="551"/>
      <c r="L291" s="551"/>
      <c r="M291" s="547" t="s">
        <v>225</v>
      </c>
      <c r="N291" s="547" t="s">
        <v>225</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24"/>
        <v>AQ</v>
      </c>
      <c r="B292" s="50" t="str">
        <f t="shared" si="25"/>
        <v>LRStrm10</v>
      </c>
      <c r="C292" s="50" t="s">
        <v>264</v>
      </c>
      <c r="D292" s="532" t="str">
        <f>'15CustomParticipants'!D$57</f>
        <v>Enter custom role 4</v>
      </c>
      <c r="E292" s="50" t="s">
        <v>54</v>
      </c>
      <c r="F292" s="535" t="str">
        <f t="shared" si="23"/>
        <v>PA name</v>
      </c>
      <c r="G292" s="543"/>
      <c r="H292" s="544">
        <f>Table3[[#This Row],[Hrs Rank]]</f>
        <v>0</v>
      </c>
      <c r="I292" s="534">
        <f t="shared" si="21"/>
        <v>0</v>
      </c>
      <c r="J292" s="534">
        <f t="shared" si="22"/>
        <v>0</v>
      </c>
      <c r="K292" s="551"/>
      <c r="L292" s="551"/>
      <c r="M292" s="547" t="s">
        <v>225</v>
      </c>
      <c r="N292" s="547" t="s">
        <v>225</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24"/>
        <v>AQ</v>
      </c>
      <c r="B293" s="50" t="str">
        <f t="shared" si="25"/>
        <v>LRStrm10</v>
      </c>
      <c r="C293" s="50" t="s">
        <v>264</v>
      </c>
      <c r="D293" s="532" t="str">
        <f>'15CustomParticipants'!D$57</f>
        <v>Enter custom role 4</v>
      </c>
      <c r="E293" s="50" t="s">
        <v>53</v>
      </c>
      <c r="F293" s="535" t="str">
        <f t="shared" si="23"/>
        <v>PA name</v>
      </c>
      <c r="G293" s="543"/>
      <c r="H293" s="544">
        <f>Table3[[#This Row],[Hrs Rank]]</f>
        <v>0</v>
      </c>
      <c r="I293" s="534">
        <f t="shared" si="21"/>
        <v>0</v>
      </c>
      <c r="J293" s="534">
        <f t="shared" si="22"/>
        <v>0</v>
      </c>
      <c r="K293" s="551"/>
      <c r="L293" s="551"/>
      <c r="M293" s="547" t="s">
        <v>225</v>
      </c>
      <c r="N293" s="547" t="s">
        <v>225</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24"/>
        <v>AQ</v>
      </c>
      <c r="B294" s="50" t="str">
        <f t="shared" si="25"/>
        <v>LRStrm10</v>
      </c>
      <c r="C294" s="50" t="s">
        <v>264</v>
      </c>
      <c r="D294" s="532" t="str">
        <f>'15CustomParticipants'!D$57</f>
        <v>Enter custom role 4</v>
      </c>
      <c r="E294" s="50" t="s">
        <v>53</v>
      </c>
      <c r="F294" s="535" t="str">
        <f t="shared" si="23"/>
        <v>PA name</v>
      </c>
      <c r="G294" s="543"/>
      <c r="H294" s="544">
        <f>Table3[[#This Row],[Hrs Rank]]</f>
        <v>0</v>
      </c>
      <c r="I294" s="534">
        <f t="shared" si="21"/>
        <v>0</v>
      </c>
      <c r="J294" s="534">
        <f t="shared" si="22"/>
        <v>0</v>
      </c>
      <c r="K294" s="551"/>
      <c r="L294" s="551"/>
      <c r="M294" s="547" t="s">
        <v>225</v>
      </c>
      <c r="N294" s="547" t="s">
        <v>225</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24"/>
        <v>AQ</v>
      </c>
      <c r="B295" s="50" t="str">
        <f t="shared" si="25"/>
        <v>LRStrm10</v>
      </c>
      <c r="C295" s="50" t="s">
        <v>264</v>
      </c>
      <c r="D295" s="532" t="str">
        <f>'15CustomParticipants'!D$57</f>
        <v>Enter custom role 4</v>
      </c>
      <c r="E295" s="50" t="s">
        <v>53</v>
      </c>
      <c r="F295" s="535" t="str">
        <f t="shared" si="23"/>
        <v>PA name</v>
      </c>
      <c r="G295" s="543"/>
      <c r="H295" s="544">
        <f>Table3[[#This Row],[Hrs Rank]]</f>
        <v>0</v>
      </c>
      <c r="I295" s="534">
        <f t="shared" si="21"/>
        <v>0</v>
      </c>
      <c r="J295" s="534">
        <f t="shared" si="22"/>
        <v>0</v>
      </c>
      <c r="K295" s="551"/>
      <c r="L295" s="551"/>
      <c r="M295" s="547" t="s">
        <v>225</v>
      </c>
      <c r="N295" s="547" t="s">
        <v>225</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24"/>
        <v>AQ</v>
      </c>
      <c r="B296" s="50" t="str">
        <f t="shared" si="25"/>
        <v>LRStrm10</v>
      </c>
      <c r="C296" s="50" t="s">
        <v>264</v>
      </c>
      <c r="D296" s="532" t="str">
        <f>'15CustomParticipants'!D$57</f>
        <v>Enter custom role 4</v>
      </c>
      <c r="E296" s="50" t="s">
        <v>53</v>
      </c>
      <c r="F296" s="535" t="str">
        <f t="shared" si="23"/>
        <v>PA name</v>
      </c>
      <c r="G296" s="543"/>
      <c r="H296" s="544">
        <f>Table3[[#This Row],[Hrs Rank]]</f>
        <v>0</v>
      </c>
      <c r="I296" s="534">
        <f t="shared" si="21"/>
        <v>0</v>
      </c>
      <c r="J296" s="534">
        <f t="shared" si="22"/>
        <v>0</v>
      </c>
      <c r="K296" s="551"/>
      <c r="L296" s="551"/>
      <c r="M296" s="547" t="s">
        <v>225</v>
      </c>
      <c r="N296" s="547" t="s">
        <v>225</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G27" sqref="G27"/>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30.3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621</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89" t="s">
        <v>42</v>
      </c>
      <c r="E2" s="689"/>
      <c r="F2" s="689"/>
      <c r="G2" s="674" t="str">
        <f>R.1MediaAndLongName</f>
        <v xml:space="preserve">AQ LRAPA - 2010 Industrial Streamlining </v>
      </c>
      <c r="H2" s="674"/>
      <c r="I2" s="674"/>
      <c r="J2" s="674"/>
      <c r="K2" s="674"/>
      <c r="L2" s="674"/>
      <c r="M2" s="674"/>
      <c r="N2" s="674"/>
      <c r="O2" s="674"/>
      <c r="P2" s="674"/>
      <c r="Q2" s="674"/>
      <c r="R2" s="674"/>
      <c r="S2" s="264"/>
      <c r="T2" s="334"/>
      <c r="U2" s="27"/>
      <c r="V2" s="198" t="s">
        <v>83</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88" t="s">
        <v>86</v>
      </c>
      <c r="E4" s="688"/>
      <c r="F4" s="688"/>
      <c r="G4" s="690" t="s">
        <v>622</v>
      </c>
      <c r="H4" s="691"/>
      <c r="I4" s="691"/>
      <c r="J4" s="691"/>
      <c r="K4" s="691"/>
      <c r="L4" s="691"/>
      <c r="M4" s="691"/>
      <c r="N4" s="691"/>
      <c r="O4" s="691"/>
      <c r="P4" s="691"/>
      <c r="Q4" s="691"/>
      <c r="R4" s="692"/>
      <c r="S4" s="314"/>
      <c r="T4" s="334"/>
      <c r="U4" s="27"/>
      <c r="V4" s="198" t="str">
        <f>P6&amp;" "&amp;H5</f>
        <v xml:space="preserve">AQ LRAPA - 2010 Industrial Streamlining </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93" t="s">
        <v>163</v>
      </c>
      <c r="E5" s="693"/>
      <c r="F5" s="694"/>
      <c r="G5" s="402" t="s">
        <v>619</v>
      </c>
      <c r="H5" s="681" t="s">
        <v>620</v>
      </c>
      <c r="I5" s="682"/>
      <c r="J5" s="682"/>
      <c r="K5" s="682"/>
      <c r="L5" s="682"/>
      <c r="M5" s="682"/>
      <c r="N5" s="682"/>
      <c r="O5" s="682"/>
      <c r="P5" s="682"/>
      <c r="Q5" s="682"/>
      <c r="R5" s="683"/>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161</v>
      </c>
      <c r="E6" s="394"/>
      <c r="F6" s="394"/>
      <c r="G6" s="403">
        <v>2013</v>
      </c>
      <c r="H6" s="395"/>
      <c r="I6" s="684" t="s">
        <v>164</v>
      </c>
      <c r="J6" s="684"/>
      <c r="K6" s="684"/>
      <c r="L6" s="684"/>
      <c r="M6" s="684"/>
      <c r="N6" s="684"/>
      <c r="O6" s="685"/>
      <c r="P6" s="686" t="s">
        <v>614</v>
      </c>
      <c r="Q6" s="687"/>
      <c r="R6" s="395"/>
      <c r="S6" s="314"/>
      <c r="T6" s="334"/>
      <c r="U6" s="27"/>
      <c r="V6" t="str">
        <f>P6</f>
        <v>AQ</v>
      </c>
      <c r="W6" s="26"/>
      <c r="X6" s="26"/>
      <c r="Y6" s="572" t="s">
        <v>547</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72</v>
      </c>
      <c r="E7" s="40"/>
      <c r="F7" s="275"/>
      <c r="G7" s="403">
        <v>43006</v>
      </c>
      <c r="H7" s="665" t="str">
        <f>P.1PlanYear&amp; " Rulemaking: "&amp;$P$6&amp;" "&amp;$H$5</f>
        <v xml:space="preserve">2013 Rulemaking: AQ LRAPA - 2010 Industrial Streamlining </v>
      </c>
      <c r="I7" s="665"/>
      <c r="J7" s="665"/>
      <c r="K7" s="665"/>
      <c r="L7" s="665"/>
      <c r="M7" s="665"/>
      <c r="N7" s="665"/>
      <c r="O7" s="665"/>
      <c r="P7" s="665"/>
      <c r="Q7" s="665"/>
      <c r="R7" s="666"/>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73</v>
      </c>
      <c r="E8" s="40"/>
      <c r="F8" s="275"/>
      <c r="G8" s="396" t="s">
        <v>162</v>
      </c>
      <c r="H8" s="665" t="str">
        <f>P.1PlanYear&amp; " Rules "&amp;$P$6&amp;" "&amp;$G$5</f>
        <v>2013 Rules AQ LRStrm10</v>
      </c>
      <c r="I8" s="665"/>
      <c r="J8" s="665"/>
      <c r="K8" s="665"/>
      <c r="L8" s="665"/>
      <c r="M8" s="665"/>
      <c r="N8" s="665"/>
      <c r="O8" s="665"/>
      <c r="P8" s="665"/>
      <c r="Q8" s="665"/>
      <c r="R8" s="666"/>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73</v>
      </c>
      <c r="E9" s="40"/>
      <c r="F9" s="275"/>
      <c r="G9" s="396" t="s">
        <v>162</v>
      </c>
      <c r="H9" s="665" t="str">
        <f>P.1PlanYear&amp; " Rules "&amp;$P$6&amp;" "&amp;$G$5</f>
        <v>2013 Rules AQ LRStrm10</v>
      </c>
      <c r="I9" s="665"/>
      <c r="J9" s="665"/>
      <c r="K9" s="665"/>
      <c r="L9" s="665"/>
      <c r="M9" s="665"/>
      <c r="N9" s="665"/>
      <c r="O9" s="665"/>
      <c r="P9" s="665"/>
      <c r="Q9" s="665"/>
      <c r="R9" s="666"/>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73</v>
      </c>
      <c r="E10" s="40"/>
      <c r="F10" s="275"/>
      <c r="G10" s="396" t="s">
        <v>162</v>
      </c>
      <c r="H10" s="665" t="str">
        <f>P.1PlanYear&amp; " Rules "&amp;$P$6&amp;" "&amp;$G$5</f>
        <v>2013 Rules AQ LRStrm10</v>
      </c>
      <c r="I10" s="665"/>
      <c r="J10" s="665"/>
      <c r="K10" s="665"/>
      <c r="L10" s="665"/>
      <c r="M10" s="665"/>
      <c r="N10" s="665"/>
      <c r="O10" s="665"/>
      <c r="P10" s="665"/>
      <c r="Q10" s="665"/>
      <c r="R10" s="666"/>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64" t="str">
        <f>"RM-"&amp;G5</f>
        <v>RM-LRStrm10</v>
      </c>
      <c r="H12" s="665"/>
      <c r="I12" s="665"/>
      <c r="J12" s="665"/>
      <c r="K12" s="665"/>
      <c r="L12" s="665"/>
      <c r="M12" s="665"/>
      <c r="N12" s="665"/>
      <c r="O12" s="665"/>
      <c r="P12" s="665"/>
      <c r="Q12" s="665"/>
      <c r="R12" s="666"/>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64" t="str">
        <f>"RM-"&amp;G5&amp;" "&amp;P.1PlanYear</f>
        <v>RM-LRStrm10 2013</v>
      </c>
      <c r="H13" s="665"/>
      <c r="I13" s="665"/>
      <c r="J13" s="665"/>
      <c r="K13" s="665"/>
      <c r="L13" s="665"/>
      <c r="M13" s="665"/>
      <c r="N13" s="665"/>
      <c r="O13" s="665"/>
      <c r="P13" s="665"/>
      <c r="Q13" s="665"/>
      <c r="R13" s="666"/>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98</v>
      </c>
      <c r="E14" s="40"/>
      <c r="F14" s="278"/>
      <c r="G14" s="664" t="str">
        <f>G5</f>
        <v>LRStrm10</v>
      </c>
      <c r="H14" s="665"/>
      <c r="I14" s="665"/>
      <c r="J14" s="665"/>
      <c r="K14" s="665"/>
      <c r="L14" s="665"/>
      <c r="M14" s="665"/>
      <c r="N14" s="665"/>
      <c r="O14" s="665"/>
      <c r="P14" s="665"/>
      <c r="Q14" s="665"/>
      <c r="R14" s="666"/>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97</v>
      </c>
      <c r="E15" s="274"/>
      <c r="F15" s="4"/>
      <c r="G15" s="667" t="str">
        <f>"\\deqhq1\Rule_Development\2013 Plan"&amp;"\"&amp;G5</f>
        <v>\\deqhq1\Rule_Development\2013 Plan\LRStrm10</v>
      </c>
      <c r="H15" s="668"/>
      <c r="I15" s="668"/>
      <c r="J15" s="668"/>
      <c r="K15" s="668"/>
      <c r="L15" s="668"/>
      <c r="M15" s="668"/>
      <c r="N15" s="668"/>
      <c r="O15" s="668"/>
      <c r="P15" s="668"/>
      <c r="Q15" s="668"/>
      <c r="R15" s="669"/>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75" t="s">
        <v>41</v>
      </c>
      <c r="H16" s="676"/>
      <c r="I16" s="676"/>
      <c r="J16" s="676"/>
      <c r="K16" s="676"/>
      <c r="L16" s="676"/>
      <c r="M16" s="676"/>
      <c r="N16" s="676"/>
      <c r="O16" s="676"/>
      <c r="P16" s="676"/>
      <c r="Q16" s="676"/>
      <c r="R16" s="677"/>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78" t="s">
        <v>165</v>
      </c>
      <c r="H17" s="679"/>
      <c r="I17" s="679"/>
      <c r="J17" s="679"/>
      <c r="K17" s="679"/>
      <c r="L17" s="679"/>
      <c r="M17" s="679"/>
      <c r="N17" s="679"/>
      <c r="O17" s="679"/>
      <c r="P17" s="679"/>
      <c r="Q17" s="679"/>
      <c r="R17" s="680"/>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64" t="str">
        <f>G13&amp;" Design Team"</f>
        <v>RM-LRStrm10 2013 Design Team</v>
      </c>
      <c r="H18" s="665"/>
      <c r="I18" s="665"/>
      <c r="J18" s="665"/>
      <c r="K18" s="665"/>
      <c r="L18" s="665"/>
      <c r="M18" s="665"/>
      <c r="N18" s="665"/>
      <c r="O18" s="665"/>
      <c r="P18" s="665"/>
      <c r="Q18" s="665"/>
      <c r="R18" s="666"/>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166</v>
      </c>
      <c r="E19" s="40"/>
      <c r="F19" s="68"/>
      <c r="G19" s="396" t="s">
        <v>167</v>
      </c>
      <c r="H19" s="665" t="str">
        <f>P.1PlanYear&amp; " Rules "&amp;$P$6&amp;" "&amp;$G$5</f>
        <v>2013 Rules AQ LRStrm10</v>
      </c>
      <c r="I19" s="665"/>
      <c r="J19" s="665"/>
      <c r="K19" s="665"/>
      <c r="L19" s="665"/>
      <c r="M19" s="665"/>
      <c r="N19" s="665"/>
      <c r="O19" s="665"/>
      <c r="P19" s="665"/>
      <c r="Q19" s="665"/>
      <c r="R19" s="666"/>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64" t="str">
        <f>"AdvisoryCommittee_"&amp;P6&amp;"_"&amp;P.1PlanYear&amp;"_"&amp;G5</f>
        <v>AdvisoryCommittee_AQ_2013_LRStrm10</v>
      </c>
      <c r="H20" s="665"/>
      <c r="I20" s="665"/>
      <c r="J20" s="665"/>
      <c r="K20" s="665"/>
      <c r="L20" s="665"/>
      <c r="M20" s="665"/>
      <c r="N20" s="665"/>
      <c r="O20" s="665"/>
      <c r="P20" s="665"/>
      <c r="Q20" s="665"/>
      <c r="R20" s="666"/>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67" t="str">
        <f>"Comment-"&amp;SUBSTITUTE(H5," ","")&amp;"@deq.state.or.us"</f>
        <v>Comment-LRAPA-2010IndustrialStreamlining@deq.state.or.us</v>
      </c>
      <c r="H21" s="668"/>
      <c r="I21" s="668"/>
      <c r="J21" s="668"/>
      <c r="K21" s="668"/>
      <c r="L21" s="668"/>
      <c r="M21" s="668"/>
      <c r="N21" s="668"/>
      <c r="O21" s="668"/>
      <c r="P21" s="668"/>
      <c r="Q21" s="668"/>
      <c r="R21" s="669"/>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73" t="str">
        <f>"Please suggest process improvements to the "&amp;D2&amp;" worksheet."</f>
        <v>Please suggest process improvements to the Project record worksheet.</v>
      </c>
      <c r="E22" s="673"/>
      <c r="F22" s="673"/>
      <c r="G22" s="673"/>
      <c r="H22" s="673"/>
      <c r="I22" s="673"/>
      <c r="J22" s="673"/>
      <c r="K22" s="673"/>
      <c r="L22" s="673"/>
      <c r="M22" s="673"/>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70" t="s">
        <v>0</v>
      </c>
      <c r="E23" s="671"/>
      <c r="F23" s="671"/>
      <c r="G23" s="671"/>
      <c r="H23" s="671"/>
      <c r="I23" s="671"/>
      <c r="J23" s="671"/>
      <c r="K23" s="671"/>
      <c r="L23" s="671"/>
      <c r="M23" s="671"/>
      <c r="N23" s="671"/>
      <c r="O23" s="671"/>
      <c r="P23" s="671"/>
      <c r="Q23" s="671"/>
      <c r="R23" s="672"/>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50." promptTitle="MEDIUM LENGTH IDENTIFIER" prompt="Maximum length = 50 characters. Used with Q-Time number and other places where you don't want the full project name but need more than the code name." sqref="H5:R5">
      <formula1>0</formula1>
      <formula2>50</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60._x000a_" promptTitle="FORMAT" sqref="H7:R7">
      <formula1>11</formula1>
      <formula2>60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 ref="G15:R15" r:id="rId5" display="../DraftConcept"/>
  </hyperlinks>
  <pageMargins left="0.56999999999999995" right="0.55000000000000004" top="0.75" bottom="0.75" header="0.3" footer="0.3"/>
  <pageSetup scale="94" orientation="portrait" r:id="rId6"/>
  <drawing r:id="rId7"/>
  <legacyDrawing r:id="rId8"/>
</worksheet>
</file>

<file path=xl/worksheets/sheet7.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D19" sqref="D19:H19"/>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621</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81</v>
      </c>
      <c r="B2" s="334"/>
      <c r="C2" s="248">
        <v>2</v>
      </c>
      <c r="D2" s="249" t="s">
        <v>43</v>
      </c>
      <c r="E2" s="249"/>
      <c r="F2" s="705" t="str">
        <f>R.1MediaAndLongName</f>
        <v xml:space="preserve">AQ LRAPA - 2010 Industrial Streamlining </v>
      </c>
      <c r="G2" s="705"/>
      <c r="H2" s="705"/>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94</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98" t="s">
        <v>30</v>
      </c>
      <c r="E6" s="699"/>
      <c r="F6" s="700"/>
      <c r="G6" s="700"/>
      <c r="H6" s="196"/>
      <c r="I6" s="256"/>
      <c r="J6" s="334"/>
      <c r="K6" s="176"/>
      <c r="L6" s="290">
        <v>2</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103</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707"/>
      <c r="E8" s="708"/>
      <c r="F8" s="708"/>
      <c r="G8" s="708"/>
      <c r="H8" s="709"/>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7"/>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95</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706" t="s">
        <v>30</v>
      </c>
      <c r="E11" s="699"/>
      <c r="F11" s="700"/>
      <c r="G11" s="700"/>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103</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707"/>
      <c r="E13" s="708"/>
      <c r="F13" s="708"/>
      <c r="G13" s="708"/>
      <c r="H13" s="709"/>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7"/>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45</v>
      </c>
      <c r="G15" s="194"/>
      <c r="H15" s="294" t="s">
        <v>51</v>
      </c>
      <c r="I15" s="258"/>
      <c r="J15" s="334"/>
      <c r="K15" s="176"/>
      <c r="L15" s="261" t="s">
        <v>96</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706" t="s">
        <v>30</v>
      </c>
      <c r="E16" s="699"/>
      <c r="F16" s="700"/>
      <c r="G16" s="700"/>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103</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702"/>
      <c r="E18" s="703"/>
      <c r="F18" s="703"/>
      <c r="G18" s="703"/>
      <c r="H18" s="704"/>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701" t="str">
        <f>"Please suggest process improvements to the "&amp;D2&amp;" worksheet."</f>
        <v>Please suggest process improvements to the DEQ resource risks worksheet.</v>
      </c>
      <c r="E19" s="701"/>
      <c r="F19" s="701"/>
      <c r="G19" s="701"/>
      <c r="H19" s="701"/>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95"/>
      <c r="E20" s="696"/>
      <c r="F20" s="696"/>
      <c r="G20" s="696"/>
      <c r="H20" s="697"/>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892" yWindow="475"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8.xml><?xml version="1.0" encoding="utf-8"?>
<worksheet xmlns="http://schemas.openxmlformats.org/spreadsheetml/2006/main" xmlns:r="http://schemas.openxmlformats.org/officeDocument/2006/relationships">
  <sheetPr codeName="Sheet9"/>
  <dimension ref="A1:AG85"/>
  <sheetViews>
    <sheetView showGridLines="0" topLeftCell="A21" zoomScaleNormal="100" workbookViewId="0">
      <selection activeCell="D36" sqref="D36"/>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621</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727" t="str">
        <f>R.1MediaAndLongName</f>
        <v xml:space="preserve">AQ LRAPA - 2010 Industrial Streamlining </v>
      </c>
      <c r="F2" s="727"/>
      <c r="G2" s="727"/>
      <c r="H2" s="727"/>
      <c r="I2" s="727"/>
      <c r="J2" s="727"/>
      <c r="K2" s="727"/>
      <c r="L2" s="727"/>
      <c r="M2" s="727"/>
      <c r="N2" s="727"/>
      <c r="O2" s="727"/>
      <c r="P2" s="727"/>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28" t="s">
        <v>58</v>
      </c>
      <c r="N3" s="728"/>
      <c r="O3" s="728"/>
      <c r="P3" s="728"/>
      <c r="Q3" s="156"/>
      <c r="R3" s="334"/>
      <c r="S3" s="354">
        <f>COUNTIFS(S13:S49,"&gt;0")</f>
        <v>2</v>
      </c>
      <c r="T3" s="355">
        <f>SUM(T13:T49)</f>
        <v>9</v>
      </c>
      <c r="U3" s="355">
        <f>SUM(U13:U49)</f>
        <v>48</v>
      </c>
      <c r="V3" s="120"/>
      <c r="W3" s="64"/>
      <c r="X3" s="64"/>
      <c r="Y3" s="64"/>
      <c r="Z3" s="64"/>
      <c r="AA3" s="64"/>
      <c r="AB3" s="64"/>
      <c r="AC3" s="64"/>
      <c r="AD3" s="66"/>
      <c r="AE3" s="66"/>
      <c r="AF3" s="66"/>
      <c r="AG3" s="66"/>
    </row>
    <row r="4" spans="1:33" s="6" customFormat="1">
      <c r="A4" s="344"/>
      <c r="B4" s="334"/>
      <c r="C4" s="155"/>
      <c r="D4" s="494" t="s">
        <v>56</v>
      </c>
      <c r="E4" s="81">
        <f>S3</f>
        <v>2</v>
      </c>
      <c r="F4" s="729" t="s">
        <v>55</v>
      </c>
      <c r="G4" s="729"/>
      <c r="H4" s="729"/>
      <c r="I4" s="729"/>
      <c r="J4" s="729"/>
      <c r="K4" s="729"/>
      <c r="L4" s="729"/>
      <c r="M4" s="730" t="str">
        <f>S4</f>
        <v>9-48</v>
      </c>
      <c r="N4" s="730"/>
      <c r="O4" s="730"/>
      <c r="P4" s="730"/>
      <c r="Q4" s="156"/>
      <c r="R4" s="334"/>
      <c r="S4" s="122" t="str">
        <f>IF(R.3StaffCount=0,"0",IF(R.3LowHrs=0,"0-"&amp;TEXT(R.3HighHrs,"#,###"),TEXT(R.3LowHrs,"#,###")&amp;"-"&amp;TEXT(R.3HighHrs,"#,###")))</f>
        <v>9-48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57</v>
      </c>
      <c r="E5" s="98">
        <f>R.AvgHrDEQCost</f>
        <v>58</v>
      </c>
      <c r="F5" s="729" t="s">
        <v>59</v>
      </c>
      <c r="G5" s="729"/>
      <c r="H5" s="729"/>
      <c r="I5" s="729"/>
      <c r="J5" s="729"/>
      <c r="K5" s="729"/>
      <c r="L5" s="729"/>
      <c r="M5" s="731" t="str">
        <f>S5</f>
        <v>$522-2,784</v>
      </c>
      <c r="N5" s="731"/>
      <c r="O5" s="731"/>
      <c r="P5" s="731"/>
      <c r="Q5" s="156"/>
      <c r="R5" s="334"/>
      <c r="S5" s="123" t="str">
        <f>IF(R.3StaffCount=0,"$0",IF(R.3LowDollars=0,"$0-"&amp;TEXT(R.3HighDollars,"#,###"),TEXT(R.3LowDollars,"$#,###")&amp;"-"&amp;TEXT(R.3HighDollars,"#,###")))</f>
        <v>$522-2,784</v>
      </c>
      <c r="T5" s="124">
        <f>T3*E5</f>
        <v>522</v>
      </c>
      <c r="U5" s="124">
        <f>U3*E5</f>
        <v>2784</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50">
        <f>SUM(S13:S49)/R.3StaffCount</f>
        <v>1.5</v>
      </c>
      <c r="T6" s="66"/>
      <c r="U6" s="66"/>
      <c r="V6" s="120"/>
      <c r="W6" s="64"/>
      <c r="X6" s="64"/>
      <c r="Y6" s="64"/>
      <c r="Z6" s="64"/>
      <c r="AA6" s="64"/>
      <c r="AB6" s="64"/>
      <c r="AC6" s="64"/>
      <c r="AD6" s="66"/>
      <c r="AE6" s="66"/>
      <c r="AF6" s="66"/>
      <c r="AG6" s="66"/>
    </row>
    <row r="7" spans="1:33" s="69" customFormat="1" ht="15.75" customHeight="1">
      <c r="A7" s="344"/>
      <c r="B7" s="334"/>
      <c r="C7" s="157"/>
      <c r="D7" s="723"/>
      <c r="E7" s="724"/>
      <c r="F7" s="724"/>
      <c r="G7" s="724"/>
      <c r="H7" s="724"/>
      <c r="I7" s="724"/>
      <c r="J7" s="724"/>
      <c r="K7" s="724"/>
      <c r="L7" s="724"/>
      <c r="M7" s="724"/>
      <c r="N7" s="724"/>
      <c r="O7" s="724"/>
      <c r="P7" s="725"/>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32" t="s">
        <v>100</v>
      </c>
      <c r="E11" s="733"/>
      <c r="F11" s="733"/>
      <c r="G11" s="733"/>
      <c r="H11" s="733"/>
      <c r="I11" s="733"/>
      <c r="J11" s="733"/>
      <c r="K11" s="733"/>
      <c r="L11" s="733"/>
      <c r="M11" s="733"/>
      <c r="N11" s="733"/>
      <c r="O11" s="733"/>
      <c r="P11" s="734"/>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726" t="s">
        <v>19</v>
      </c>
      <c r="G12" s="726"/>
      <c r="H12" s="726"/>
      <c r="I12" s="726"/>
      <c r="J12" s="726"/>
      <c r="K12" s="726"/>
      <c r="L12" s="726"/>
      <c r="M12" s="726"/>
      <c r="N12" s="726"/>
      <c r="O12" s="726"/>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625</v>
      </c>
      <c r="E13" s="30" t="s">
        <v>229</v>
      </c>
      <c r="F13" s="71">
        <v>1</v>
      </c>
      <c r="G13" s="72">
        <v>2</v>
      </c>
      <c r="H13" s="73">
        <v>3</v>
      </c>
      <c r="I13" s="74">
        <v>4</v>
      </c>
      <c r="J13" s="75">
        <v>5</v>
      </c>
      <c r="K13" s="76">
        <v>6</v>
      </c>
      <c r="L13" s="77">
        <v>7</v>
      </c>
      <c r="M13" s="78">
        <v>8</v>
      </c>
      <c r="N13" s="79">
        <v>9</v>
      </c>
      <c r="O13" s="80">
        <v>10</v>
      </c>
      <c r="P13" s="53"/>
      <c r="Q13" s="139"/>
      <c r="R13" s="334"/>
      <c r="S13" s="133">
        <f>VLOOKUP($E13,R.VL_DEQResourcesInvolved,2,FALSE)</f>
        <v>2</v>
      </c>
      <c r="T13" s="121">
        <f>VLOOKUP($E13,R.VL_DEQResourcesInvolved,3,FALSE)</f>
        <v>8</v>
      </c>
      <c r="U13" s="121">
        <f>IF(S13=10,T13,VLOOKUP($E13,R.VL_DEQResourcesInvolved,4,FALSE))</f>
        <v>40</v>
      </c>
      <c r="V13" s="572" t="s">
        <v>584</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214</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710" t="s">
        <v>171</v>
      </c>
      <c r="E17" s="711"/>
      <c r="F17" s="711"/>
      <c r="G17" s="711"/>
      <c r="H17" s="711"/>
      <c r="I17" s="711"/>
      <c r="J17" s="711"/>
      <c r="K17" s="711"/>
      <c r="L17" s="711"/>
      <c r="M17" s="711"/>
      <c r="N17" s="711"/>
      <c r="O17" s="711"/>
      <c r="P17" s="712"/>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626</v>
      </c>
      <c r="E19" s="30" t="s">
        <v>226</v>
      </c>
      <c r="F19" s="71">
        <v>1</v>
      </c>
      <c r="G19" s="72">
        <v>2</v>
      </c>
      <c r="H19" s="73">
        <v>3</v>
      </c>
      <c r="I19" s="74">
        <v>4</v>
      </c>
      <c r="J19" s="75">
        <v>5</v>
      </c>
      <c r="K19" s="76">
        <v>6</v>
      </c>
      <c r="L19" s="77">
        <v>7</v>
      </c>
      <c r="M19" s="78">
        <v>8</v>
      </c>
      <c r="N19" s="79">
        <v>9</v>
      </c>
      <c r="O19" s="80">
        <v>10</v>
      </c>
      <c r="P19" s="23"/>
      <c r="Q19" s="139"/>
      <c r="R19" s="334"/>
      <c r="S19" s="133">
        <f>VLOOKUP($E19,R.VL_DEQResourcesInvolved,2,FALSE)</f>
        <v>0</v>
      </c>
      <c r="T19" s="121">
        <f>VLOOKUP($E19,R.VL_DEQResourcesInvolved,3,FALSE)</f>
        <v>0</v>
      </c>
      <c r="U19" s="121">
        <f>IF(S19=10,T19,VLOOKUP($E19,R.VL_DEQResourcesInvolved,4,FALSE))</f>
        <v>0</v>
      </c>
      <c r="V19" s="572" t="s">
        <v>584</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215</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10" t="s">
        <v>66</v>
      </c>
      <c r="E23" s="711"/>
      <c r="F23" s="711"/>
      <c r="G23" s="711"/>
      <c r="H23" s="711"/>
      <c r="I23" s="711"/>
      <c r="J23" s="711"/>
      <c r="K23" s="711"/>
      <c r="L23" s="711"/>
      <c r="M23" s="711"/>
      <c r="N23" s="711"/>
      <c r="O23" s="711"/>
      <c r="P23" s="712"/>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3" t="s">
        <v>627</v>
      </c>
      <c r="E25" s="30" t="s">
        <v>226</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2" t="s">
        <v>584</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216</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10" t="s">
        <v>101</v>
      </c>
      <c r="E29" s="711"/>
      <c r="F29" s="711"/>
      <c r="G29" s="711"/>
      <c r="H29" s="711"/>
      <c r="I29" s="711"/>
      <c r="J29" s="711"/>
      <c r="K29" s="711"/>
      <c r="L29" s="711"/>
      <c r="M29" s="711"/>
      <c r="N29" s="711"/>
      <c r="O29" s="711"/>
      <c r="P29" s="712"/>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3" t="s">
        <v>4</v>
      </c>
      <c r="E31" s="30" t="s">
        <v>228</v>
      </c>
      <c r="F31" s="71">
        <v>1</v>
      </c>
      <c r="G31" s="72">
        <v>2</v>
      </c>
      <c r="H31" s="73">
        <v>3</v>
      </c>
      <c r="I31" s="74">
        <v>4</v>
      </c>
      <c r="J31" s="75">
        <v>5</v>
      </c>
      <c r="K31" s="76">
        <v>6</v>
      </c>
      <c r="L31" s="77">
        <v>7</v>
      </c>
      <c r="M31" s="78">
        <v>8</v>
      </c>
      <c r="N31" s="79">
        <v>9</v>
      </c>
      <c r="O31" s="80">
        <v>10</v>
      </c>
      <c r="P31" s="23"/>
      <c r="Q31" s="139"/>
      <c r="R31" s="334"/>
      <c r="S31" s="133">
        <f>VLOOKUP($E31,R.VL_DEQResourcesInvolved,2,FALSE)</f>
        <v>1</v>
      </c>
      <c r="T31" s="121">
        <f>VLOOKUP($E31,R.VL_DEQResourcesInvolved,3,FALSE)</f>
        <v>1</v>
      </c>
      <c r="U31" s="121">
        <f>IF(S31=10,T31,VLOOKUP($E31,R.VL_DEQResourcesInvolved,4,FALSE))</f>
        <v>8</v>
      </c>
      <c r="V31" s="572" t="s">
        <v>584</v>
      </c>
      <c r="W31" s="64"/>
      <c r="X31" s="64"/>
      <c r="Y31" s="64"/>
      <c r="Z31" s="64"/>
      <c r="AA31" s="64"/>
      <c r="AB31" s="64"/>
      <c r="AC31" s="64"/>
      <c r="AD31" s="130"/>
      <c r="AE31" s="130"/>
      <c r="AF31" s="130"/>
      <c r="AG31" s="130"/>
    </row>
    <row r="32" spans="1:33" s="28" customFormat="1" ht="14.25" customHeight="1">
      <c r="A32" s="344"/>
      <c r="B32" s="334"/>
      <c r="C32" s="138"/>
      <c r="D32" s="296"/>
      <c r="E32" s="716"/>
      <c r="F32" s="716"/>
      <c r="G32" s="716"/>
      <c r="H32" s="716"/>
      <c r="I32" s="716"/>
      <c r="J32" s="716"/>
      <c r="K32" s="716"/>
      <c r="L32" s="716"/>
      <c r="M32" s="716"/>
      <c r="N32" s="716"/>
      <c r="O32" s="716"/>
      <c r="P32" s="716"/>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217</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13" t="s">
        <v>102</v>
      </c>
      <c r="E35" s="714"/>
      <c r="F35" s="714"/>
      <c r="G35" s="714"/>
      <c r="H35" s="714"/>
      <c r="I35" s="714"/>
      <c r="J35" s="714"/>
      <c r="K35" s="714"/>
      <c r="L35" s="714"/>
      <c r="M35" s="714"/>
      <c r="N35" s="714"/>
      <c r="O35" s="714"/>
      <c r="P35" s="715"/>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2" t="s">
        <v>219</v>
      </c>
      <c r="E37" s="30" t="s">
        <v>226</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2" t="s">
        <v>584</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205</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17" t="s">
        <v>0</v>
      </c>
      <c r="E41" s="718"/>
      <c r="F41" s="718"/>
      <c r="G41" s="718"/>
      <c r="H41" s="718"/>
      <c r="I41" s="718"/>
      <c r="J41" s="718"/>
      <c r="K41" s="718"/>
      <c r="L41" s="718"/>
      <c r="M41" s="718"/>
      <c r="N41" s="718"/>
      <c r="O41" s="718"/>
      <c r="P41" s="719"/>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220</v>
      </c>
      <c r="E43" s="30" t="s">
        <v>226</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2" t="s">
        <v>584</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206</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20"/>
      <c r="E47" s="721"/>
      <c r="F47" s="721"/>
      <c r="G47" s="721"/>
      <c r="H47" s="721"/>
      <c r="I47" s="721"/>
      <c r="J47" s="721"/>
      <c r="K47" s="721"/>
      <c r="L47" s="721"/>
      <c r="M47" s="721"/>
      <c r="N47" s="721"/>
      <c r="O47" s="721"/>
      <c r="P47" s="722"/>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221</v>
      </c>
      <c r="E49" s="30" t="s">
        <v>226</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2" t="s">
        <v>584</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73" t="str">
        <f>"Please suggest process improvements to the "&amp;D2&amp;" worksheet."</f>
        <v>Please suggest process improvements to the Core Team worksheet.</v>
      </c>
      <c r="E51" s="673"/>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70"/>
      <c r="E52" s="671"/>
      <c r="F52" s="671"/>
      <c r="G52" s="671"/>
      <c r="H52" s="671"/>
      <c r="I52" s="671"/>
      <c r="J52" s="671"/>
      <c r="K52" s="671"/>
      <c r="L52" s="671"/>
      <c r="M52" s="671"/>
      <c r="N52" s="671"/>
      <c r="O52" s="671"/>
      <c r="P52" s="672"/>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9.xml><?xml version="1.0" encoding="utf-8"?>
<worksheet xmlns="http://schemas.openxmlformats.org/spreadsheetml/2006/main" xmlns:r="http://schemas.openxmlformats.org/officeDocument/2006/relationships">
  <sheetPr codeName="Sheet10"/>
  <dimension ref="A1:AG73"/>
  <sheetViews>
    <sheetView showGridLines="0" topLeftCell="A21"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621</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9</v>
      </c>
      <c r="E2" s="742" t="str">
        <f>R.1MediaAndLongName</f>
        <v xml:space="preserve">AQ LRAPA - 2010 Industrial Streamlining </v>
      </c>
      <c r="F2" s="742"/>
      <c r="G2" s="742"/>
      <c r="H2" s="742"/>
      <c r="I2" s="742"/>
      <c r="J2" s="742"/>
      <c r="K2" s="742"/>
      <c r="L2" s="742"/>
      <c r="M2" s="742"/>
      <c r="N2" s="742"/>
      <c r="O2" s="742"/>
      <c r="P2" s="742"/>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28" t="s">
        <v>58</v>
      </c>
      <c r="N3" s="728"/>
      <c r="O3" s="728"/>
      <c r="P3" s="728"/>
      <c r="Q3" s="156"/>
      <c r="R3" s="334"/>
      <c r="S3" s="354">
        <f>COUNTIFS(S9:S37,"&gt;0")</f>
        <v>0</v>
      </c>
      <c r="T3" s="355">
        <f>SUM(T9:T37)</f>
        <v>0</v>
      </c>
      <c r="U3" s="355">
        <f>SUM(U9:U37)</f>
        <v>0</v>
      </c>
      <c r="V3" s="120"/>
      <c r="W3" s="64"/>
      <c r="X3" s="64"/>
      <c r="Y3" s="64"/>
      <c r="Z3" s="64"/>
      <c r="AA3" s="64"/>
      <c r="AB3" s="64"/>
      <c r="AC3" s="64"/>
      <c r="AD3" s="66"/>
      <c r="AE3" s="66"/>
      <c r="AF3" s="66"/>
      <c r="AG3" s="66"/>
    </row>
    <row r="4" spans="1:33" s="6" customFormat="1" ht="20.25" customHeight="1">
      <c r="A4" s="344"/>
      <c r="B4" s="334"/>
      <c r="C4" s="155"/>
      <c r="D4" s="494" t="s">
        <v>56</v>
      </c>
      <c r="E4" s="81">
        <f>S3</f>
        <v>0</v>
      </c>
      <c r="F4" s="729" t="s">
        <v>55</v>
      </c>
      <c r="G4" s="729"/>
      <c r="H4" s="729"/>
      <c r="I4" s="729"/>
      <c r="J4" s="729"/>
      <c r="K4" s="729"/>
      <c r="L4" s="729"/>
      <c r="M4" s="730" t="str">
        <f>S4</f>
        <v>0</v>
      </c>
      <c r="N4" s="730"/>
      <c r="O4" s="730"/>
      <c r="P4" s="730"/>
      <c r="Q4" s="156"/>
      <c r="R4" s="334"/>
      <c r="S4" s="122" t="str">
        <f>IF(R.4StaffCount=0,"0",IF(R.4LowHrs=0,"0-"&amp;TEXT(R.4HighHrs,"#,###"),TEXT(R.4LowHrs,"#,###")&amp;"-"&amp;TEXT(R.4HighHrs,"#,###")))</f>
        <v>0</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57</v>
      </c>
      <c r="E5" s="98">
        <f>R.AvgHrDEQCost</f>
        <v>58</v>
      </c>
      <c r="F5" s="729" t="s">
        <v>59</v>
      </c>
      <c r="G5" s="729"/>
      <c r="H5" s="729"/>
      <c r="I5" s="729"/>
      <c r="J5" s="729"/>
      <c r="K5" s="729"/>
      <c r="L5" s="729"/>
      <c r="M5" s="731" t="str">
        <f>S5</f>
        <v>$0</v>
      </c>
      <c r="N5" s="731"/>
      <c r="O5" s="731"/>
      <c r="P5" s="731"/>
      <c r="Q5" s="156"/>
      <c r="R5" s="334"/>
      <c r="S5" s="123" t="str">
        <f>IF(R.4StaffCount=0,"$0",IF(R.4LowDollars=0,"$0-"&amp;TEXT(R.4HighDollars,"#,###"),TEXT(R.4LowDollars,"$#,###")&amp;"-"&amp;TEXT(R.4HighDollars,"#,###")))</f>
        <v>$0</v>
      </c>
      <c r="T5" s="124">
        <f>T3*E5</f>
        <v>0</v>
      </c>
      <c r="U5" s="124">
        <f>U3*E5</f>
        <v>0</v>
      </c>
      <c r="V5" s="120"/>
      <c r="W5" s="64"/>
      <c r="X5" s="64"/>
      <c r="Y5" s="64"/>
      <c r="Z5" s="64"/>
      <c r="AA5" s="64"/>
      <c r="AB5" s="64"/>
      <c r="AC5" s="64"/>
      <c r="AD5" s="66"/>
      <c r="AE5" s="66"/>
      <c r="AF5" s="66"/>
      <c r="AG5" s="66"/>
    </row>
    <row r="6" spans="1:33" s="6" customFormat="1" ht="30" customHeight="1">
      <c r="A6" s="344"/>
      <c r="B6" s="334"/>
      <c r="C6" s="155"/>
      <c r="D6" s="501" t="s">
        <v>67</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723"/>
      <c r="E7" s="724"/>
      <c r="F7" s="724"/>
      <c r="G7" s="724"/>
      <c r="H7" s="724"/>
      <c r="I7" s="724"/>
      <c r="J7" s="724"/>
      <c r="K7" s="724"/>
      <c r="L7" s="724"/>
      <c r="M7" s="724"/>
      <c r="N7" s="724"/>
      <c r="O7" s="724"/>
      <c r="P7" s="725"/>
      <c r="Q7" s="158"/>
      <c r="R7" s="334"/>
      <c r="S7" s="741" t="s">
        <v>0</v>
      </c>
      <c r="T7" s="741"/>
      <c r="U7" s="741"/>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207</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35" t="s">
        <v>70</v>
      </c>
      <c r="E11" s="736"/>
      <c r="F11" s="736"/>
      <c r="G11" s="736"/>
      <c r="H11" s="736"/>
      <c r="I11" s="736"/>
      <c r="J11" s="736"/>
      <c r="K11" s="736"/>
      <c r="L11" s="736"/>
      <c r="M11" s="736"/>
      <c r="N11" s="736"/>
      <c r="O11" s="736"/>
      <c r="P11" s="737"/>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222</v>
      </c>
      <c r="E13" s="415" t="s">
        <v>226</v>
      </c>
      <c r="F13" s="416">
        <v>1</v>
      </c>
      <c r="G13" s="417">
        <v>2</v>
      </c>
      <c r="H13" s="418">
        <v>3</v>
      </c>
      <c r="I13" s="74">
        <v>4</v>
      </c>
      <c r="J13" s="75">
        <v>5</v>
      </c>
      <c r="K13" s="76">
        <v>6</v>
      </c>
      <c r="L13" s="419">
        <v>7</v>
      </c>
      <c r="M13" s="420">
        <v>8</v>
      </c>
      <c r="N13" s="421">
        <v>9</v>
      </c>
      <c r="O13" s="422">
        <v>10</v>
      </c>
      <c r="P13" s="111"/>
      <c r="Q13" s="428"/>
      <c r="R13" s="334"/>
      <c r="S13" s="133">
        <f>VLOOKUP($E13,R.VL_DEQResourcesInvolved,2,FALSE)</f>
        <v>0</v>
      </c>
      <c r="T13" s="121">
        <f>VLOOKUP($E13,R.VL_DEQResourcesInvolved,3,FALSE)</f>
        <v>0</v>
      </c>
      <c r="U13" s="121">
        <f>IF(S13=10,T13,VLOOKUP($E13,R.VL_DEQResourcesInvolved,4,FALSE))</f>
        <v>0</v>
      </c>
      <c r="V13" s="572" t="s">
        <v>584</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38" t="s">
        <v>179</v>
      </c>
      <c r="E17" s="739"/>
      <c r="F17" s="739"/>
      <c r="G17" s="739"/>
      <c r="H17" s="739"/>
      <c r="I17" s="739"/>
      <c r="J17" s="739"/>
      <c r="K17" s="739"/>
      <c r="L17" s="739"/>
      <c r="M17" s="739"/>
      <c r="N17" s="739"/>
      <c r="O17" s="739"/>
      <c r="P17" s="740"/>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226</v>
      </c>
      <c r="F19" s="416">
        <v>1</v>
      </c>
      <c r="G19" s="417">
        <v>2</v>
      </c>
      <c r="H19" s="418">
        <v>3</v>
      </c>
      <c r="I19" s="74">
        <v>4</v>
      </c>
      <c r="J19" s="75">
        <v>5</v>
      </c>
      <c r="K19" s="76">
        <v>6</v>
      </c>
      <c r="L19" s="419">
        <v>7</v>
      </c>
      <c r="M19" s="420">
        <v>8</v>
      </c>
      <c r="N19" s="421">
        <v>9</v>
      </c>
      <c r="O19" s="422">
        <v>10</v>
      </c>
      <c r="P19" s="111"/>
      <c r="Q19" s="428"/>
      <c r="R19" s="334"/>
      <c r="S19" s="133">
        <f>VLOOKUP($E19,R.VL_DEQResourcesInvolved,2,FALSE)</f>
        <v>0</v>
      </c>
      <c r="T19" s="121">
        <f>VLOOKUP($E19,R.VL_DEQResourcesInvolved,3,FALSE)</f>
        <v>0</v>
      </c>
      <c r="U19" s="121">
        <f>IF(S19=10,T19,VLOOKUP($E19,R.VL_DEQResourcesInvolved,4,FALSE))</f>
        <v>0</v>
      </c>
      <c r="V19" s="572" t="s">
        <v>584</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35" t="s">
        <v>196</v>
      </c>
      <c r="E23" s="736"/>
      <c r="F23" s="736"/>
      <c r="G23" s="736"/>
      <c r="H23" s="736"/>
      <c r="I23" s="736"/>
      <c r="J23" s="736"/>
      <c r="K23" s="736"/>
      <c r="L23" s="736"/>
      <c r="M23" s="736"/>
      <c r="N23" s="736"/>
      <c r="O23" s="736"/>
      <c r="P23" s="737"/>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226</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2" t="s">
        <v>584</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205</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35" t="s">
        <v>0</v>
      </c>
      <c r="E29" s="736"/>
      <c r="F29" s="736"/>
      <c r="G29" s="736"/>
      <c r="H29" s="736"/>
      <c r="I29" s="736"/>
      <c r="J29" s="736"/>
      <c r="K29" s="736"/>
      <c r="L29" s="736"/>
      <c r="M29" s="736"/>
      <c r="N29" s="736"/>
      <c r="O29" s="736"/>
      <c r="P29" s="737"/>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220</v>
      </c>
      <c r="E31" s="415" t="s">
        <v>226</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2" t="s">
        <v>584</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206</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35" t="s">
        <v>0</v>
      </c>
      <c r="E35" s="736"/>
      <c r="F35" s="736"/>
      <c r="G35" s="736"/>
      <c r="H35" s="736"/>
      <c r="I35" s="736"/>
      <c r="J35" s="736"/>
      <c r="K35" s="736"/>
      <c r="L35" s="736"/>
      <c r="M35" s="736"/>
      <c r="N35" s="736"/>
      <c r="O35" s="736"/>
      <c r="P35" s="737"/>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427</v>
      </c>
      <c r="E37" s="415" t="s">
        <v>226</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2" t="s">
        <v>584</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73" t="str">
        <f>"Please suggest process improvements to the "&amp;D2&amp;" worksheet."</f>
        <v>Please suggest process improvements to the Advisors worksheet.</v>
      </c>
      <c r="E39" s="673"/>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70"/>
      <c r="E40" s="671"/>
      <c r="F40" s="671"/>
      <c r="G40" s="671"/>
      <c r="H40" s="671"/>
      <c r="I40" s="671"/>
      <c r="J40" s="671"/>
      <c r="K40" s="671"/>
      <c r="L40" s="671"/>
      <c r="M40" s="671"/>
      <c r="N40" s="671"/>
      <c r="O40" s="671"/>
      <c r="P40" s="672"/>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621</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237</v>
      </c>
      <c r="E2" s="742" t="str">
        <f>R.1MediaAndLongName</f>
        <v xml:space="preserve">AQ LRAPA - 2010 Industrial Streamlining </v>
      </c>
      <c r="F2" s="742"/>
      <c r="G2" s="742"/>
      <c r="H2" s="742"/>
      <c r="I2" s="742"/>
      <c r="J2" s="742"/>
      <c r="K2" s="742"/>
      <c r="L2" s="742"/>
      <c r="M2" s="742"/>
      <c r="N2" s="742"/>
      <c r="O2" s="742"/>
      <c r="P2" s="742"/>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28" t="s">
        <v>58</v>
      </c>
      <c r="N3" s="728"/>
      <c r="O3" s="728"/>
      <c r="P3" s="728"/>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56</v>
      </c>
      <c r="E4" s="81">
        <f>S3</f>
        <v>0</v>
      </c>
      <c r="F4" s="729" t="s">
        <v>55</v>
      </c>
      <c r="G4" s="729"/>
      <c r="H4" s="729"/>
      <c r="I4" s="729"/>
      <c r="J4" s="729"/>
      <c r="K4" s="729"/>
      <c r="L4" s="729"/>
      <c r="M4" s="730" t="str">
        <f>S4</f>
        <v>0</v>
      </c>
      <c r="N4" s="730"/>
      <c r="O4" s="730"/>
      <c r="P4" s="730"/>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57</v>
      </c>
      <c r="E5" s="98">
        <v>58</v>
      </c>
      <c r="F5" s="729" t="s">
        <v>59</v>
      </c>
      <c r="G5" s="729"/>
      <c r="H5" s="729"/>
      <c r="I5" s="729"/>
      <c r="J5" s="729"/>
      <c r="K5" s="729"/>
      <c r="L5" s="729"/>
      <c r="M5" s="731" t="str">
        <f>S5</f>
        <v>$0</v>
      </c>
      <c r="N5" s="731"/>
      <c r="O5" s="731"/>
      <c r="P5" s="731"/>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23"/>
      <c r="E7" s="724"/>
      <c r="F7" s="724"/>
      <c r="G7" s="724"/>
      <c r="H7" s="724"/>
      <c r="I7" s="724"/>
      <c r="J7" s="724"/>
      <c r="K7" s="724"/>
      <c r="L7" s="724"/>
      <c r="M7" s="724"/>
      <c r="N7" s="724"/>
      <c r="O7" s="724"/>
      <c r="P7" s="725"/>
      <c r="Q7" s="158"/>
      <c r="R7" s="334"/>
      <c r="S7" s="741" t="s">
        <v>0</v>
      </c>
      <c r="T7" s="741"/>
      <c r="U7" s="741"/>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182</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43"/>
      <c r="E11" s="744"/>
      <c r="F11" s="744"/>
      <c r="G11" s="744"/>
      <c r="H11" s="744"/>
      <c r="I11" s="744"/>
      <c r="J11" s="744"/>
      <c r="K11" s="744"/>
      <c r="L11" s="744"/>
      <c r="M11" s="744"/>
      <c r="N11" s="744"/>
      <c r="O11" s="744"/>
      <c r="P11" s="745"/>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9" t="s">
        <v>71</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185</v>
      </c>
      <c r="E13" s="30" t="s">
        <v>226</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2" t="s">
        <v>584</v>
      </c>
      <c r="Y13" s="64"/>
      <c r="Z13" s="64"/>
      <c r="AA13" s="64"/>
      <c r="AB13" s="64"/>
      <c r="AC13" s="64"/>
      <c r="AD13" s="64"/>
      <c r="AE13" s="64"/>
      <c r="AF13" s="130"/>
      <c r="AG13" s="130"/>
      <c r="AH13" s="130"/>
      <c r="AI13" s="130"/>
    </row>
    <row r="14" spans="1:35" s="28" customFormat="1" ht="15.75" customHeight="1">
      <c r="A14" s="345"/>
      <c r="B14" s="334"/>
      <c r="C14" s="138"/>
      <c r="D14" s="524" t="s">
        <v>190</v>
      </c>
      <c r="E14" s="30" t="s">
        <v>226</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2" t="s">
        <v>584</v>
      </c>
      <c r="Y14" s="436"/>
      <c r="Z14" s="436"/>
      <c r="AA14" s="436"/>
      <c r="AB14" s="436"/>
      <c r="AC14" s="436"/>
      <c r="AD14" s="436"/>
      <c r="AE14" s="436"/>
      <c r="AF14" s="130"/>
      <c r="AG14" s="130"/>
      <c r="AH14" s="130"/>
      <c r="AI14" s="130"/>
    </row>
    <row r="15" spans="1:35" s="28" customFormat="1" ht="15.75" customHeight="1" outlineLevel="1">
      <c r="A15" s="345"/>
      <c r="B15" s="334"/>
      <c r="C15" s="138"/>
      <c r="D15" s="524" t="s">
        <v>590</v>
      </c>
      <c r="E15" s="30" t="s">
        <v>226</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2" t="s">
        <v>584</v>
      </c>
      <c r="Y15" s="436"/>
      <c r="Z15" s="436"/>
      <c r="AA15" s="436"/>
      <c r="AB15" s="436"/>
      <c r="AC15" s="436"/>
      <c r="AD15" s="436"/>
      <c r="AE15" s="436"/>
      <c r="AF15" s="130"/>
      <c r="AG15" s="130"/>
      <c r="AH15" s="130"/>
      <c r="AI15" s="130"/>
    </row>
    <row r="16" spans="1:35" s="28" customFormat="1" ht="15.75" customHeight="1" outlineLevel="1">
      <c r="A16" s="345"/>
      <c r="B16" s="334"/>
      <c r="C16" s="138"/>
      <c r="D16" s="524" t="s">
        <v>187</v>
      </c>
      <c r="E16" s="30" t="s">
        <v>226</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2" t="s">
        <v>584</v>
      </c>
      <c r="Y16" s="436"/>
      <c r="Z16" s="436"/>
      <c r="AA16" s="436"/>
      <c r="AB16" s="436"/>
      <c r="AC16" s="436"/>
      <c r="AD16" s="436"/>
      <c r="AE16" s="436"/>
      <c r="AF16" s="130"/>
      <c r="AG16" s="130"/>
      <c r="AH16" s="130"/>
      <c r="AI16" s="130"/>
    </row>
    <row r="17" spans="1:35" s="28" customFormat="1" ht="15.75" customHeight="1" outlineLevel="1">
      <c r="A17" s="345"/>
      <c r="B17" s="334"/>
      <c r="C17" s="138"/>
      <c r="D17" s="524" t="s">
        <v>188</v>
      </c>
      <c r="E17" s="30" t="s">
        <v>226</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2" t="s">
        <v>584</v>
      </c>
      <c r="Y17" s="436"/>
      <c r="Z17" s="436"/>
      <c r="AA17" s="436"/>
      <c r="AB17" s="436"/>
      <c r="AC17" s="436"/>
      <c r="AD17" s="436"/>
      <c r="AE17" s="436"/>
      <c r="AF17" s="130"/>
      <c r="AG17" s="130"/>
      <c r="AH17" s="130"/>
      <c r="AI17" s="130"/>
    </row>
    <row r="18" spans="1:35" s="28" customFormat="1" ht="15.75" customHeight="1" outlineLevel="1">
      <c r="A18" s="345"/>
      <c r="B18" s="334"/>
      <c r="C18" s="138"/>
      <c r="D18" s="524" t="s">
        <v>191</v>
      </c>
      <c r="E18" s="30" t="s">
        <v>226</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2" t="s">
        <v>584</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197</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182</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43"/>
      <c r="E22" s="744"/>
      <c r="F22" s="744"/>
      <c r="G22" s="744"/>
      <c r="H22" s="744"/>
      <c r="I22" s="744"/>
      <c r="J22" s="744"/>
      <c r="K22" s="744"/>
      <c r="L22" s="744"/>
      <c r="M22" s="744"/>
      <c r="N22" s="744"/>
      <c r="O22" s="744"/>
      <c r="P22" s="745"/>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9" t="s">
        <v>71</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195</v>
      </c>
      <c r="D24" s="36" t="s">
        <v>0</v>
      </c>
      <c r="E24" s="30" t="s">
        <v>226</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2" t="s">
        <v>584</v>
      </c>
      <c r="Y24" s="64"/>
      <c r="Z24" s="64"/>
      <c r="AA24" s="64"/>
      <c r="AB24" s="64"/>
      <c r="AC24" s="64"/>
      <c r="AD24" s="64"/>
      <c r="AE24" s="64"/>
      <c r="AF24" s="130"/>
      <c r="AG24" s="130"/>
      <c r="AH24" s="130"/>
      <c r="AI24" s="130"/>
    </row>
    <row r="25" spans="1:35" s="28" customFormat="1" ht="15.75" customHeight="1">
      <c r="A25" s="345"/>
      <c r="B25" s="334"/>
      <c r="C25" s="518" t="s">
        <v>198</v>
      </c>
      <c r="D25" s="36"/>
      <c r="E25" s="30" t="s">
        <v>226</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2" t="s">
        <v>584</v>
      </c>
      <c r="Y25" s="64"/>
      <c r="Z25" s="64"/>
      <c r="AA25" s="64"/>
      <c r="AB25" s="64"/>
      <c r="AC25" s="64"/>
      <c r="AD25" s="64"/>
      <c r="AE25" s="64"/>
      <c r="AF25" s="130"/>
      <c r="AG25" s="130"/>
      <c r="AH25" s="130"/>
      <c r="AI25" s="130"/>
    </row>
    <row r="26" spans="1:35" s="28" customFormat="1" ht="15" customHeight="1">
      <c r="A26" s="345"/>
      <c r="B26" s="334"/>
      <c r="C26" s="518" t="s">
        <v>199</v>
      </c>
      <c r="D26" s="36" t="s">
        <v>0</v>
      </c>
      <c r="E26" s="30" t="s">
        <v>226</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2" t="s">
        <v>584</v>
      </c>
      <c r="Y26" s="64"/>
      <c r="Z26" s="64"/>
      <c r="AA26" s="64"/>
      <c r="AB26" s="64"/>
      <c r="AC26" s="64"/>
      <c r="AD26" s="64"/>
      <c r="AE26" s="64"/>
      <c r="AF26" s="130"/>
      <c r="AG26" s="130"/>
      <c r="AH26" s="130"/>
      <c r="AI26" s="130"/>
    </row>
    <row r="27" spans="1:35" s="28" customFormat="1" ht="15.75" customHeight="1">
      <c r="A27" s="345"/>
      <c r="B27" s="334"/>
      <c r="C27" s="518" t="s">
        <v>180</v>
      </c>
      <c r="D27" s="36" t="s">
        <v>0</v>
      </c>
      <c r="E27" s="30" t="s">
        <v>226</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2" t="s">
        <v>584</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73" t="str">
        <f>"Please suggest process improvements to the "&amp;D2&amp;" worksheet."</f>
        <v>Please suggest process improvements to the Interested Staff and EQC worksheet.</v>
      </c>
      <c r="E29" s="673"/>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70"/>
      <c r="E30" s="671"/>
      <c r="F30" s="671"/>
      <c r="G30" s="671"/>
      <c r="H30" s="671"/>
      <c r="I30" s="671"/>
      <c r="J30" s="671"/>
      <c r="K30" s="671"/>
      <c r="L30" s="671"/>
      <c r="M30" s="671"/>
      <c r="N30" s="671"/>
      <c r="O30" s="671"/>
      <c r="P30" s="672"/>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1.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621</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63</v>
      </c>
      <c r="E2" s="757" t="str">
        <f>R.1MediaAndLongName</f>
        <v xml:space="preserve">AQ LRAPA - 2010 Industrial Streamlining </v>
      </c>
      <c r="F2" s="757"/>
      <c r="G2" s="757"/>
      <c r="H2" s="757"/>
      <c r="I2" s="757"/>
      <c r="J2" s="757"/>
      <c r="K2" s="757"/>
      <c r="L2" s="757"/>
      <c r="M2" s="757"/>
      <c r="N2" s="757"/>
      <c r="O2" s="757"/>
      <c r="P2" s="757"/>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58" t="s">
        <v>58</v>
      </c>
      <c r="N3" s="758"/>
      <c r="O3" s="758"/>
      <c r="P3" s="758"/>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56</v>
      </c>
      <c r="E4" s="81">
        <f>S3</f>
        <v>0</v>
      </c>
      <c r="F4" s="729" t="s">
        <v>55</v>
      </c>
      <c r="G4" s="729"/>
      <c r="H4" s="729"/>
      <c r="I4" s="729"/>
      <c r="J4" s="729"/>
      <c r="K4" s="729"/>
      <c r="L4" s="729"/>
      <c r="M4" s="730" t="str">
        <f>S4</f>
        <v>0</v>
      </c>
      <c r="N4" s="730"/>
      <c r="O4" s="730"/>
      <c r="P4" s="730"/>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68</v>
      </c>
      <c r="E5" s="98">
        <f>R.AvgHrDEQCost</f>
        <v>58</v>
      </c>
      <c r="F5" s="729" t="s">
        <v>59</v>
      </c>
      <c r="G5" s="729"/>
      <c r="H5" s="729"/>
      <c r="I5" s="729"/>
      <c r="J5" s="729"/>
      <c r="K5" s="729"/>
      <c r="L5" s="729"/>
      <c r="M5" s="731" t="str">
        <f>S5</f>
        <v>$0</v>
      </c>
      <c r="N5" s="731"/>
      <c r="O5" s="731"/>
      <c r="P5" s="731"/>
      <c r="Q5" s="156"/>
      <c r="R5" s="334"/>
      <c r="S5" s="122" t="str">
        <f>IF(R.6StaffCount=0,"$0",IF(R.6LowDollars=0,"$0-"&amp;TEXT(R.6HighDollars,"#,###"),TEXT(R.6LowDollars,"$#,###")&amp;"-"&amp;TEXT(R.6HighDollars,"#,###")))</f>
        <v>$0</v>
      </c>
      <c r="T5" s="124">
        <f>T3*E5</f>
        <v>0</v>
      </c>
      <c r="U5" s="124">
        <f>U3*E5</f>
        <v>0</v>
      </c>
      <c r="V5" s="493"/>
      <c r="W5" s="493"/>
      <c r="X5" s="120"/>
      <c r="Y5" s="436"/>
      <c r="Z5" s="436" t="s">
        <v>194</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59" t="s">
        <v>249</v>
      </c>
      <c r="E7" s="760"/>
      <c r="F7" s="760"/>
      <c r="G7" s="760"/>
      <c r="H7" s="760"/>
      <c r="I7" s="760"/>
      <c r="J7" s="760"/>
      <c r="K7" s="760"/>
      <c r="L7" s="760"/>
      <c r="M7" s="760"/>
      <c r="N7" s="760"/>
      <c r="O7" s="760"/>
      <c r="P7" s="761"/>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48"/>
      <c r="E11" s="749"/>
      <c r="F11" s="749"/>
      <c r="G11" s="749"/>
      <c r="H11" s="749"/>
      <c r="I11" s="749"/>
      <c r="J11" s="749"/>
      <c r="K11" s="749"/>
      <c r="L11" s="749"/>
      <c r="M11" s="749"/>
      <c r="N11" s="749"/>
      <c r="O11" s="749"/>
      <c r="P11" s="750"/>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61</v>
      </c>
      <c r="E12" s="467" t="s">
        <v>18</v>
      </c>
      <c r="F12" s="762" t="s">
        <v>19</v>
      </c>
      <c r="G12" s="762"/>
      <c r="H12" s="762"/>
      <c r="I12" s="762"/>
      <c r="J12" s="762"/>
      <c r="K12" s="762"/>
      <c r="L12" s="762"/>
      <c r="M12" s="762"/>
      <c r="N12" s="762"/>
      <c r="O12" s="762"/>
      <c r="P12" s="467"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226</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2" t="s">
        <v>551</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226</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226</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53</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63"/>
      <c r="E18" s="764"/>
      <c r="F18" s="764"/>
      <c r="G18" s="764"/>
      <c r="H18" s="764"/>
      <c r="I18" s="764"/>
      <c r="J18" s="764"/>
      <c r="K18" s="764"/>
      <c r="L18" s="764"/>
      <c r="M18" s="764"/>
      <c r="N18" s="764"/>
      <c r="O18" s="764"/>
      <c r="P18" s="765"/>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226</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2" t="s">
        <v>551</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226</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52"/>
      <c r="F24" s="752"/>
      <c r="G24" s="752"/>
      <c r="H24" s="752"/>
      <c r="I24" s="752"/>
      <c r="J24" s="752"/>
      <c r="K24" s="752"/>
      <c r="L24" s="752"/>
      <c r="M24" s="752"/>
      <c r="N24" s="752"/>
      <c r="O24" s="752"/>
      <c r="P24" s="752"/>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48"/>
      <c r="E28" s="749"/>
      <c r="F28" s="749"/>
      <c r="G28" s="749"/>
      <c r="H28" s="749"/>
      <c r="I28" s="749"/>
      <c r="J28" s="749"/>
      <c r="K28" s="749"/>
      <c r="L28" s="749"/>
      <c r="M28" s="749"/>
      <c r="N28" s="749"/>
      <c r="O28" s="749"/>
      <c r="P28" s="750"/>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226</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2" t="s">
        <v>551</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53"/>
      <c r="E35" s="754"/>
      <c r="F35" s="754"/>
      <c r="G35" s="754"/>
      <c r="H35" s="754"/>
      <c r="I35" s="754"/>
      <c r="J35" s="754"/>
      <c r="K35" s="754"/>
      <c r="L35" s="754"/>
      <c r="M35" s="754"/>
      <c r="N35" s="754"/>
      <c r="O35" s="754"/>
      <c r="P35" s="755"/>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226</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2" t="s">
        <v>551</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226</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52"/>
      <c r="F41" s="752"/>
      <c r="G41" s="752"/>
      <c r="H41" s="752"/>
      <c r="I41" s="752"/>
      <c r="J41" s="752"/>
      <c r="K41" s="752"/>
      <c r="L41" s="752"/>
      <c r="M41" s="752"/>
      <c r="N41" s="752"/>
      <c r="O41" s="752"/>
      <c r="P41" s="752"/>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47"/>
      <c r="F42" s="747"/>
      <c r="G42" s="747"/>
      <c r="H42" s="747"/>
      <c r="I42" s="747"/>
      <c r="J42" s="747"/>
      <c r="K42" s="747"/>
      <c r="L42" s="747"/>
      <c r="M42" s="747"/>
      <c r="N42" s="747"/>
      <c r="O42" s="747"/>
      <c r="P42" s="747"/>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48"/>
      <c r="E45" s="749"/>
      <c r="F45" s="749"/>
      <c r="G45" s="749"/>
      <c r="H45" s="749"/>
      <c r="I45" s="749"/>
      <c r="J45" s="749"/>
      <c r="K45" s="749"/>
      <c r="L45" s="749"/>
      <c r="M45" s="749"/>
      <c r="N45" s="749"/>
      <c r="O45" s="749"/>
      <c r="P45" s="750"/>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51" t="s">
        <v>19</v>
      </c>
      <c r="G46" s="751"/>
      <c r="H46" s="751"/>
      <c r="I46" s="751"/>
      <c r="J46" s="751"/>
      <c r="K46" s="751"/>
      <c r="L46" s="751"/>
      <c r="M46" s="751"/>
      <c r="N46" s="751"/>
      <c r="O46" s="751"/>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2" t="s">
        <v>551</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48"/>
      <c r="E52" s="749"/>
      <c r="F52" s="749"/>
      <c r="G52" s="749"/>
      <c r="H52" s="749"/>
      <c r="I52" s="749"/>
      <c r="J52" s="749"/>
      <c r="K52" s="749"/>
      <c r="L52" s="749"/>
      <c r="M52" s="749"/>
      <c r="N52" s="749"/>
      <c r="O52" s="749"/>
      <c r="P52" s="750"/>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2" t="s">
        <v>551</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52"/>
      <c r="F58" s="752"/>
      <c r="G58" s="752"/>
      <c r="H58" s="752"/>
      <c r="I58" s="752"/>
      <c r="J58" s="752"/>
      <c r="K58" s="752"/>
      <c r="L58" s="752"/>
      <c r="M58" s="752"/>
      <c r="N58" s="752"/>
      <c r="O58" s="752"/>
      <c r="P58" s="752"/>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192</v>
      </c>
      <c r="E60" s="746" t="s">
        <v>193</v>
      </c>
      <c r="F60" s="746"/>
      <c r="G60" s="746"/>
      <c r="H60" s="746"/>
      <c r="I60" s="746"/>
      <c r="J60" s="746"/>
      <c r="K60" s="746"/>
      <c r="L60" s="746"/>
      <c r="M60" s="746"/>
      <c r="N60" s="746"/>
      <c r="O60" s="746"/>
      <c r="P60" s="746"/>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48" t="s">
        <v>0</v>
      </c>
      <c r="E62" s="749"/>
      <c r="F62" s="749"/>
      <c r="G62" s="749"/>
      <c r="H62" s="749"/>
      <c r="I62" s="749"/>
      <c r="J62" s="749"/>
      <c r="K62" s="749"/>
      <c r="L62" s="749"/>
      <c r="M62" s="749"/>
      <c r="N62" s="749"/>
      <c r="O62" s="749"/>
      <c r="P62" s="750"/>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226</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2" t="s">
        <v>551</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226</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53"/>
      <c r="E70" s="754"/>
      <c r="F70" s="754"/>
      <c r="G70" s="754"/>
      <c r="H70" s="754"/>
      <c r="I70" s="754"/>
      <c r="J70" s="754"/>
      <c r="K70" s="754"/>
      <c r="L70" s="754"/>
      <c r="M70" s="754"/>
      <c r="N70" s="754"/>
      <c r="O70" s="754"/>
      <c r="P70" s="755"/>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2" t="s">
        <v>551</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226</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226</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52"/>
      <c r="F76" s="752"/>
      <c r="G76" s="752"/>
      <c r="H76" s="752"/>
      <c r="I76" s="752"/>
      <c r="J76" s="752"/>
      <c r="K76" s="752"/>
      <c r="L76" s="752"/>
      <c r="M76" s="752"/>
      <c r="N76" s="752"/>
      <c r="O76" s="752"/>
      <c r="P76" s="752"/>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56" t="str">
        <f>"Please suggest process improvements to the "&amp;D2&amp;" worksheet."</f>
        <v>Please suggest process improvements to the Other Divisions worksheet.</v>
      </c>
      <c r="E78" s="756"/>
      <c r="F78" s="756"/>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70"/>
      <c r="E79" s="671"/>
      <c r="F79" s="671"/>
      <c r="G79" s="671"/>
      <c r="H79" s="671"/>
      <c r="I79" s="671"/>
      <c r="J79" s="671"/>
      <c r="K79" s="671"/>
      <c r="L79" s="671"/>
      <c r="M79" s="671"/>
      <c r="N79" s="671"/>
      <c r="O79" s="671"/>
      <c r="P79" s="672"/>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16"/>
      <c r="O82" s="716"/>
      <c r="P82" s="716"/>
      <c r="Q82" s="716"/>
      <c r="R82" s="716"/>
      <c r="S82" s="716"/>
      <c r="T82" s="716"/>
      <c r="U82" s="716"/>
      <c r="V82" s="716"/>
      <c r="W82" s="716"/>
      <c r="X82" s="716"/>
      <c r="Y82" s="716"/>
      <c r="Z82" s="716"/>
      <c r="AA82" s="716"/>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2.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621</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62</v>
      </c>
      <c r="E2" s="742" t="str">
        <f>R.1MediaAndLongName</f>
        <v xml:space="preserve">AQ LRAPA - 2010 Industrial Streamlining </v>
      </c>
      <c r="F2" s="742"/>
      <c r="G2" s="742"/>
      <c r="H2" s="742"/>
      <c r="I2" s="742"/>
      <c r="J2" s="742"/>
      <c r="K2" s="742"/>
      <c r="L2" s="742"/>
      <c r="M2" s="742"/>
      <c r="N2" s="742"/>
      <c r="O2" s="742"/>
      <c r="P2" s="742"/>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28" t="s">
        <v>58</v>
      </c>
      <c r="N3" s="728"/>
      <c r="O3" s="728"/>
      <c r="P3" s="728"/>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56</v>
      </c>
      <c r="E4" s="81">
        <f>S4</f>
        <v>0</v>
      </c>
      <c r="F4" s="729" t="s">
        <v>55</v>
      </c>
      <c r="G4" s="729"/>
      <c r="H4" s="729"/>
      <c r="I4" s="729"/>
      <c r="J4" s="729"/>
      <c r="K4" s="729"/>
      <c r="L4" s="729"/>
      <c r="M4" s="730" t="str">
        <f>S5</f>
        <v>0</v>
      </c>
      <c r="N4" s="730"/>
      <c r="O4" s="730"/>
      <c r="P4" s="730"/>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57</v>
      </c>
      <c r="E5" s="98">
        <f>R.AvgHrDEQCost</f>
        <v>58</v>
      </c>
      <c r="F5" s="729" t="s">
        <v>59</v>
      </c>
      <c r="G5" s="729"/>
      <c r="H5" s="729"/>
      <c r="I5" s="729"/>
      <c r="J5" s="729"/>
      <c r="K5" s="729"/>
      <c r="L5" s="729"/>
      <c r="M5" s="731" t="str">
        <f>S6</f>
        <v>$0</v>
      </c>
      <c r="N5" s="731"/>
      <c r="O5" s="731"/>
      <c r="P5" s="731"/>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59" t="s">
        <v>248</v>
      </c>
      <c r="E7" s="760"/>
      <c r="F7" s="760"/>
      <c r="G7" s="760"/>
      <c r="H7" s="760"/>
      <c r="I7" s="760"/>
      <c r="J7" s="760"/>
      <c r="K7" s="760"/>
      <c r="L7" s="760"/>
      <c r="M7" s="760"/>
      <c r="N7" s="760"/>
      <c r="O7" s="760"/>
      <c r="P7" s="761"/>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17"/>
      <c r="E11" s="718"/>
      <c r="F11" s="718"/>
      <c r="G11" s="718"/>
      <c r="H11" s="718"/>
      <c r="I11" s="718"/>
      <c r="J11" s="718"/>
      <c r="K11" s="718"/>
      <c r="L11" s="718"/>
      <c r="M11" s="718"/>
      <c r="N11" s="718"/>
      <c r="O11" s="718"/>
      <c r="P11" s="719"/>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61</v>
      </c>
      <c r="E12" s="393" t="s">
        <v>18</v>
      </c>
      <c r="F12" s="762" t="s">
        <v>19</v>
      </c>
      <c r="G12" s="762"/>
      <c r="H12" s="762"/>
      <c r="I12" s="762"/>
      <c r="J12" s="762"/>
      <c r="K12" s="762"/>
      <c r="L12" s="762"/>
      <c r="M12" s="762"/>
      <c r="N12" s="762"/>
      <c r="O12" s="762"/>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226</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2" t="s">
        <v>551</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226</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226</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68"/>
      <c r="E18" s="769"/>
      <c r="F18" s="769"/>
      <c r="G18" s="769"/>
      <c r="H18" s="769"/>
      <c r="I18" s="769"/>
      <c r="J18" s="769"/>
      <c r="K18" s="769"/>
      <c r="L18" s="769"/>
      <c r="M18" s="769"/>
      <c r="N18" s="769"/>
      <c r="O18" s="769"/>
      <c r="P18" s="770"/>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226</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2" t="s">
        <v>551</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226</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67"/>
      <c r="F24" s="767"/>
      <c r="G24" s="767"/>
      <c r="H24" s="767"/>
      <c r="I24" s="767"/>
      <c r="J24" s="767"/>
      <c r="K24" s="767"/>
      <c r="L24" s="767"/>
      <c r="M24" s="767"/>
      <c r="N24" s="767"/>
      <c r="O24" s="767"/>
      <c r="P24" s="767"/>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17"/>
      <c r="E27" s="718"/>
      <c r="F27" s="718"/>
      <c r="G27" s="718"/>
      <c r="H27" s="718"/>
      <c r="I27" s="718"/>
      <c r="J27" s="718"/>
      <c r="K27" s="718"/>
      <c r="L27" s="718"/>
      <c r="M27" s="718"/>
      <c r="N27" s="718"/>
      <c r="O27" s="718"/>
      <c r="P27" s="719"/>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226</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2" t="s">
        <v>551</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226</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226</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68"/>
      <c r="E34" s="769"/>
      <c r="F34" s="769"/>
      <c r="G34" s="769"/>
      <c r="H34" s="769"/>
      <c r="I34" s="769"/>
      <c r="J34" s="769"/>
      <c r="K34" s="769"/>
      <c r="L34" s="769"/>
      <c r="M34" s="769"/>
      <c r="N34" s="769"/>
      <c r="O34" s="769"/>
      <c r="P34" s="770"/>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226</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2" t="s">
        <v>551</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226</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226</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67"/>
      <c r="F40" s="767"/>
      <c r="G40" s="767"/>
      <c r="H40" s="767"/>
      <c r="I40" s="767"/>
      <c r="J40" s="767"/>
      <c r="K40" s="767"/>
      <c r="L40" s="767"/>
      <c r="M40" s="767"/>
      <c r="N40" s="767"/>
      <c r="O40" s="767"/>
      <c r="P40" s="767"/>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17" t="s">
        <v>0</v>
      </c>
      <c r="E43" s="718"/>
      <c r="F43" s="718"/>
      <c r="G43" s="718"/>
      <c r="H43" s="718"/>
      <c r="I43" s="718"/>
      <c r="J43" s="718"/>
      <c r="K43" s="718"/>
      <c r="L43" s="718"/>
      <c r="M43" s="718"/>
      <c r="N43" s="718"/>
      <c r="O43" s="718"/>
      <c r="P43" s="719"/>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61</v>
      </c>
      <c r="E44" s="393" t="s">
        <v>18</v>
      </c>
      <c r="F44" s="762" t="s">
        <v>19</v>
      </c>
      <c r="G44" s="762"/>
      <c r="H44" s="762"/>
      <c r="I44" s="762"/>
      <c r="J44" s="762"/>
      <c r="K44" s="762"/>
      <c r="L44" s="762"/>
      <c r="M44" s="762"/>
      <c r="N44" s="762"/>
      <c r="O44" s="762"/>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226</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2" t="s">
        <v>551</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226</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68" t="s">
        <v>0</v>
      </c>
      <c r="E50" s="769"/>
      <c r="F50" s="769"/>
      <c r="G50" s="769"/>
      <c r="H50" s="769"/>
      <c r="I50" s="769"/>
      <c r="J50" s="769"/>
      <c r="K50" s="769"/>
      <c r="L50" s="769"/>
      <c r="M50" s="769"/>
      <c r="N50" s="769"/>
      <c r="O50" s="769"/>
      <c r="P50" s="770"/>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226</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2" t="s">
        <v>551</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226</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66"/>
      <c r="F56" s="766"/>
      <c r="G56" s="766"/>
      <c r="H56" s="766"/>
      <c r="I56" s="766"/>
      <c r="J56" s="766"/>
      <c r="K56" s="766"/>
      <c r="L56" s="766"/>
      <c r="M56" s="766"/>
      <c r="N56" s="766"/>
      <c r="O56" s="766"/>
      <c r="P56" s="766"/>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71" t="str">
        <f>"Please suggest process improvements to the "&amp;D2&amp;" worksheet."</f>
        <v>Please suggest process improvements to the Regions worksheet.</v>
      </c>
      <c r="E57" s="771"/>
      <c r="F57" s="771"/>
      <c r="G57" s="771"/>
      <c r="H57" s="771"/>
      <c r="I57" s="771"/>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70"/>
      <c r="E58" s="671"/>
      <c r="F58" s="671"/>
      <c r="G58" s="671"/>
      <c r="H58" s="671"/>
      <c r="I58" s="671"/>
      <c r="J58" s="671"/>
      <c r="K58" s="671"/>
      <c r="L58" s="671"/>
      <c r="M58" s="671"/>
      <c r="N58" s="671"/>
      <c r="O58" s="671"/>
      <c r="P58" s="672"/>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3.xml><?xml version="1.0" encoding="utf-8"?>
<worksheet xmlns="http://schemas.openxmlformats.org/spreadsheetml/2006/main" xmlns:r="http://schemas.openxmlformats.org/officeDocument/2006/relationships">
  <sheetPr codeName="Sheet14"/>
  <dimension ref="A1:AG70"/>
  <sheetViews>
    <sheetView showGridLines="0" topLeftCell="A11" zoomScaleNormal="100" workbookViewId="0">
      <selection activeCell="D15" sqref="D15"/>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621</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727" t="str">
        <f>R.1MediaAndLongName</f>
        <v xml:space="preserve">AQ LRAPA - 2010 Industrial Streamlining </v>
      </c>
      <c r="F2" s="727"/>
      <c r="G2" s="727"/>
      <c r="H2" s="727"/>
      <c r="I2" s="727"/>
      <c r="J2" s="727"/>
      <c r="K2" s="727"/>
      <c r="L2" s="727"/>
      <c r="M2" s="727"/>
      <c r="N2" s="727"/>
      <c r="O2" s="727"/>
      <c r="P2" s="727"/>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28" t="s">
        <v>58</v>
      </c>
      <c r="N3" s="728"/>
      <c r="O3" s="728"/>
      <c r="P3" s="728"/>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56</v>
      </c>
      <c r="E4" s="81">
        <f>S4</f>
        <v>0</v>
      </c>
      <c r="F4" s="729" t="s">
        <v>55</v>
      </c>
      <c r="G4" s="729"/>
      <c r="H4" s="729"/>
      <c r="I4" s="729"/>
      <c r="J4" s="729"/>
      <c r="K4" s="729"/>
      <c r="L4" s="729"/>
      <c r="M4" s="730" t="str">
        <f>S5</f>
        <v>0</v>
      </c>
      <c r="N4" s="730"/>
      <c r="O4" s="730"/>
      <c r="P4" s="730"/>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69</v>
      </c>
      <c r="E5" s="98">
        <f>R.AvgHrDEQCost</f>
        <v>58</v>
      </c>
      <c r="F5" s="729" t="s">
        <v>59</v>
      </c>
      <c r="G5" s="729"/>
      <c r="H5" s="729"/>
      <c r="I5" s="729"/>
      <c r="J5" s="729"/>
      <c r="K5" s="729"/>
      <c r="L5" s="729"/>
      <c r="M5" s="731" t="str">
        <f>S6</f>
        <v>$0</v>
      </c>
      <c r="N5" s="731"/>
      <c r="O5" s="731"/>
      <c r="P5" s="731"/>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72" t="s">
        <v>174</v>
      </c>
      <c r="E6" s="772"/>
      <c r="F6" s="772"/>
      <c r="G6" s="772"/>
      <c r="H6" s="772"/>
      <c r="I6" s="772"/>
      <c r="J6" s="772"/>
      <c r="K6" s="772"/>
      <c r="L6" s="772"/>
      <c r="M6" s="772"/>
      <c r="N6" s="772"/>
      <c r="O6" s="772"/>
      <c r="P6" s="772"/>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59" t="s">
        <v>242</v>
      </c>
      <c r="E7" s="760"/>
      <c r="F7" s="760"/>
      <c r="G7" s="760"/>
      <c r="H7" s="760"/>
      <c r="I7" s="760"/>
      <c r="J7" s="760"/>
      <c r="K7" s="760"/>
      <c r="L7" s="760"/>
      <c r="M7" s="760"/>
      <c r="N7" s="760"/>
      <c r="O7" s="760"/>
      <c r="P7" s="761"/>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76" t="s">
        <v>176</v>
      </c>
      <c r="E8" s="776"/>
      <c r="F8" s="776"/>
      <c r="G8" s="776"/>
      <c r="H8" s="776"/>
      <c r="I8" s="776"/>
      <c r="J8" s="776"/>
      <c r="K8" s="776"/>
      <c r="L8" s="776"/>
      <c r="M8" s="776"/>
      <c r="N8" s="776"/>
      <c r="O8" s="776"/>
      <c r="P8" s="776"/>
      <c r="Q8" s="156"/>
      <c r="R8" s="334"/>
      <c r="T8" s="493"/>
      <c r="U8" s="493"/>
      <c r="V8" s="120"/>
      <c r="W8" s="436"/>
      <c r="X8" s="436"/>
      <c r="Y8" s="436"/>
      <c r="Z8" s="436"/>
      <c r="AA8" s="436"/>
      <c r="AB8" s="436"/>
      <c r="AC8" s="436"/>
      <c r="AD8" s="66"/>
      <c r="AE8" s="66"/>
      <c r="AF8" s="66"/>
    </row>
    <row r="9" spans="1:33" s="28" customFormat="1" ht="15.75" customHeight="1">
      <c r="A9" s="345"/>
      <c r="B9" s="440"/>
      <c r="C9" s="138"/>
      <c r="D9" s="773" t="s">
        <v>466</v>
      </c>
      <c r="E9" s="774"/>
      <c r="F9" s="774"/>
      <c r="G9" s="774"/>
      <c r="H9" s="774"/>
      <c r="I9" s="774"/>
      <c r="J9" s="774"/>
      <c r="K9" s="774"/>
      <c r="L9" s="774"/>
      <c r="M9" s="774"/>
      <c r="N9" s="774"/>
      <c r="O9" s="774"/>
      <c r="P9" s="775"/>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41"/>
      <c r="T10" s="741"/>
      <c r="U10" s="741"/>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48" t="s">
        <v>175</v>
      </c>
      <c r="E13" s="749"/>
      <c r="F13" s="749"/>
      <c r="G13" s="749"/>
      <c r="H13" s="749"/>
      <c r="I13" s="749"/>
      <c r="J13" s="749"/>
      <c r="K13" s="749"/>
      <c r="L13" s="749"/>
      <c r="M13" s="749"/>
      <c r="N13" s="749"/>
      <c r="O13" s="749"/>
      <c r="P13" s="750"/>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61</v>
      </c>
      <c r="E14" s="393" t="s">
        <v>18</v>
      </c>
      <c r="F14" s="762" t="s">
        <v>19</v>
      </c>
      <c r="G14" s="762"/>
      <c r="H14" s="762"/>
      <c r="I14" s="762"/>
      <c r="J14" s="762"/>
      <c r="K14" s="762"/>
      <c r="L14" s="762"/>
      <c r="M14" s="762"/>
      <c r="N14" s="762"/>
      <c r="O14" s="762"/>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623</v>
      </c>
      <c r="E15" s="30" t="s">
        <v>226</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2" t="s">
        <v>551</v>
      </c>
      <c r="W15" s="64"/>
      <c r="X15" s="64"/>
      <c r="Y15" s="64"/>
      <c r="Z15" s="64"/>
      <c r="AA15" s="64"/>
      <c r="AB15" s="64"/>
      <c r="AC15" s="64"/>
      <c r="AD15" s="130"/>
      <c r="AE15" s="130"/>
      <c r="AF15" s="130"/>
    </row>
    <row r="16" spans="1:33" s="28" customFormat="1" ht="20.25" customHeight="1" outlineLevel="1">
      <c r="A16" s="317"/>
      <c r="B16" s="334"/>
      <c r="C16" s="138"/>
      <c r="D16" s="36" t="s">
        <v>624</v>
      </c>
      <c r="E16" s="30" t="s">
        <v>226</v>
      </c>
      <c r="F16" s="71">
        <v>1</v>
      </c>
      <c r="G16" s="72">
        <v>2</v>
      </c>
      <c r="H16" s="73">
        <v>3</v>
      </c>
      <c r="I16" s="74">
        <v>4</v>
      </c>
      <c r="J16" s="75">
        <v>5</v>
      </c>
      <c r="K16" s="76">
        <v>6</v>
      </c>
      <c r="L16" s="77">
        <v>7</v>
      </c>
      <c r="M16" s="78">
        <v>8</v>
      </c>
      <c r="N16" s="79">
        <v>9</v>
      </c>
      <c r="O16" s="80">
        <v>10</v>
      </c>
      <c r="P16" s="32" t="s">
        <v>16</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customHeight="1" outlineLevel="1">
      <c r="A17" s="317"/>
      <c r="B17" s="334"/>
      <c r="C17" s="138"/>
      <c r="D17" s="36" t="s">
        <v>0</v>
      </c>
      <c r="E17" s="30" t="s">
        <v>226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customHeight="1" outlineLevel="1">
      <c r="A18" s="317"/>
      <c r="B18" s="334"/>
      <c r="C18" s="138"/>
      <c r="D18" s="36" t="s">
        <v>0</v>
      </c>
      <c r="E18" s="30" t="s">
        <v>226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63"/>
      <c r="E20" s="764"/>
      <c r="F20" s="764"/>
      <c r="G20" s="764"/>
      <c r="H20" s="764"/>
      <c r="I20" s="764"/>
      <c r="J20" s="764"/>
      <c r="K20" s="764"/>
      <c r="L20" s="764"/>
      <c r="M20" s="764"/>
      <c r="N20" s="764"/>
      <c r="O20" s="764"/>
      <c r="P20" s="765"/>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551</v>
      </c>
      <c r="W22" s="64"/>
      <c r="X22" s="64"/>
      <c r="Y22" s="64"/>
      <c r="Z22" s="64"/>
      <c r="AA22" s="64"/>
      <c r="AB22" s="64"/>
      <c r="AC22" s="64"/>
      <c r="AD22" s="130"/>
      <c r="AE22" s="130"/>
      <c r="AF22" s="130"/>
    </row>
    <row r="23" spans="1:32" s="28" customFormat="1" ht="20.25" hidden="1" customHeight="1" outlineLevel="1">
      <c r="A23" s="317"/>
      <c r="B23" s="334"/>
      <c r="C23" s="138"/>
      <c r="D23" s="36" t="s">
        <v>0</v>
      </c>
      <c r="E23" s="30" t="s">
        <v>226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67"/>
      <c r="F26" s="767"/>
      <c r="G26" s="767"/>
      <c r="H26" s="767"/>
      <c r="I26" s="767"/>
      <c r="J26" s="767"/>
      <c r="K26" s="767"/>
      <c r="L26" s="767"/>
      <c r="M26" s="767"/>
      <c r="N26" s="767"/>
      <c r="O26" s="767"/>
      <c r="P26" s="767"/>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48" t="s">
        <v>0</v>
      </c>
      <c r="E29" s="749"/>
      <c r="F29" s="749"/>
      <c r="G29" s="749"/>
      <c r="H29" s="749"/>
      <c r="I29" s="749"/>
      <c r="J29" s="749"/>
      <c r="K29" s="749"/>
      <c r="L29" s="749"/>
      <c r="M29" s="749"/>
      <c r="N29" s="749"/>
      <c r="O29" s="749"/>
      <c r="P29" s="750"/>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2" t="s">
        <v>551</v>
      </c>
      <c r="W31" s="64"/>
      <c r="X31" s="64"/>
      <c r="Y31" s="64"/>
      <c r="Z31" s="64"/>
      <c r="AA31" s="64"/>
      <c r="AB31" s="64"/>
      <c r="AC31" s="64"/>
      <c r="AD31" s="130"/>
      <c r="AE31" s="130"/>
      <c r="AF31" s="130"/>
    </row>
    <row r="32" spans="1:32" s="28" customFormat="1" ht="20.25" hidden="1" customHeight="1" outlineLevel="1">
      <c r="A32" s="317"/>
      <c r="B32" s="334"/>
      <c r="C32" s="138"/>
      <c r="D32" s="36" t="s">
        <v>0</v>
      </c>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53"/>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551</v>
      </c>
      <c r="W38" s="64"/>
      <c r="X38" s="64"/>
      <c r="Y38" s="64"/>
      <c r="Z38" s="64"/>
      <c r="AA38" s="64"/>
      <c r="AB38" s="64"/>
      <c r="AC38" s="64"/>
      <c r="AD38" s="130"/>
      <c r="AE38" s="130"/>
      <c r="AF38" s="130"/>
    </row>
    <row r="39" spans="1:32" s="28" customFormat="1" ht="20.25" hidden="1" customHeight="1" outlineLevel="1">
      <c r="A39" s="317"/>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67"/>
      <c r="F42" s="767"/>
      <c r="G42" s="767"/>
      <c r="H42" s="767"/>
      <c r="I42" s="767"/>
      <c r="J42" s="767"/>
      <c r="K42" s="767"/>
      <c r="L42" s="767"/>
      <c r="M42" s="767"/>
      <c r="N42" s="767"/>
      <c r="O42" s="767"/>
      <c r="P42" s="767"/>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48"/>
      <c r="E45" s="749"/>
      <c r="F45" s="749"/>
      <c r="G45" s="749"/>
      <c r="H45" s="749"/>
      <c r="I45" s="749"/>
      <c r="J45" s="749"/>
      <c r="K45" s="749"/>
      <c r="L45" s="749"/>
      <c r="M45" s="749"/>
      <c r="N45" s="749"/>
      <c r="O45" s="749"/>
      <c r="P45" s="750"/>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61</v>
      </c>
      <c r="E46" s="393" t="s">
        <v>18</v>
      </c>
      <c r="F46" s="762" t="s">
        <v>19</v>
      </c>
      <c r="G46" s="762"/>
      <c r="H46" s="762"/>
      <c r="I46" s="762"/>
      <c r="J46" s="762"/>
      <c r="K46" s="762"/>
      <c r="L46" s="762"/>
      <c r="M46" s="762"/>
      <c r="N46" s="762"/>
      <c r="O46" s="762"/>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226</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2" t="s">
        <v>551</v>
      </c>
      <c r="W47" s="64"/>
      <c r="X47" s="64"/>
      <c r="Y47" s="64"/>
      <c r="Z47" s="64"/>
      <c r="AA47" s="64"/>
      <c r="AB47" s="64"/>
      <c r="AC47" s="64"/>
      <c r="AD47" s="130"/>
      <c r="AE47" s="130"/>
      <c r="AF47" s="130"/>
    </row>
    <row r="48" spans="1:32" s="28" customFormat="1" ht="20.25" hidden="1" customHeight="1" outlineLevel="1">
      <c r="A48" s="317"/>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63"/>
      <c r="E52" s="764"/>
      <c r="F52" s="764"/>
      <c r="G52" s="764"/>
      <c r="H52" s="764"/>
      <c r="I52" s="764"/>
      <c r="J52" s="764"/>
      <c r="K52" s="764"/>
      <c r="L52" s="764"/>
      <c r="M52" s="764"/>
      <c r="N52" s="764"/>
      <c r="O52" s="764"/>
      <c r="P52" s="765"/>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226</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2" t="s">
        <v>551</v>
      </c>
      <c r="W54" s="64"/>
      <c r="X54" s="64"/>
      <c r="Y54" s="64"/>
      <c r="Z54" s="64"/>
      <c r="AA54" s="64"/>
      <c r="AB54" s="64"/>
      <c r="AC54" s="64"/>
      <c r="AD54" s="130"/>
      <c r="AE54" s="130"/>
      <c r="AF54" s="130"/>
    </row>
    <row r="55" spans="1:32" s="28" customFormat="1" ht="20.25" hidden="1" customHeight="1" outlineLevel="1">
      <c r="A55" s="317"/>
      <c r="B55" s="334"/>
      <c r="C55" s="138"/>
      <c r="D55" s="36"/>
      <c r="E55" s="30" t="s">
        <v>226</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67"/>
      <c r="F58" s="767"/>
      <c r="G58" s="767"/>
      <c r="H58" s="767"/>
      <c r="I58" s="767"/>
      <c r="J58" s="767"/>
      <c r="K58" s="767"/>
      <c r="L58" s="767"/>
      <c r="M58" s="767"/>
      <c r="N58" s="767"/>
      <c r="O58" s="767"/>
      <c r="P58" s="767"/>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73" t="str">
        <f>"Please suggest process improvements to the "&amp;D2&amp;" worksheet."</f>
        <v>Please suggest process improvements to the Financial Services worksheet.</v>
      </c>
      <c r="E59" s="673"/>
      <c r="F59" s="673"/>
      <c r="G59" s="673"/>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70"/>
      <c r="E60" s="671"/>
      <c r="F60" s="671"/>
      <c r="G60" s="671"/>
      <c r="H60" s="671"/>
      <c r="I60" s="671"/>
      <c r="J60" s="671"/>
      <c r="K60" s="671"/>
      <c r="L60" s="671"/>
      <c r="M60" s="671"/>
      <c r="N60" s="671"/>
      <c r="O60" s="671"/>
      <c r="P60" s="672"/>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4.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V10" sqref="V10"/>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621</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79</v>
      </c>
      <c r="E2" s="742" t="str">
        <f>R.1MediaAndLongName</f>
        <v xml:space="preserve">AQ LRAPA - 2010 Industrial Streamlining </v>
      </c>
      <c r="F2" s="742"/>
      <c r="G2" s="742"/>
      <c r="H2" s="742"/>
      <c r="I2" s="742"/>
      <c r="J2" s="742"/>
      <c r="K2" s="742"/>
      <c r="L2" s="742"/>
      <c r="M2" s="742"/>
      <c r="N2" s="742"/>
      <c r="O2" s="742"/>
      <c r="P2" s="742"/>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28" t="s">
        <v>58</v>
      </c>
      <c r="N3" s="728"/>
      <c r="O3" s="728"/>
      <c r="P3" s="728"/>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56</v>
      </c>
      <c r="E4" s="81">
        <f>R.9StaffCount</f>
        <v>0</v>
      </c>
      <c r="F4" s="729" t="s">
        <v>55</v>
      </c>
      <c r="G4" s="729"/>
      <c r="H4" s="729"/>
      <c r="I4" s="729"/>
      <c r="J4" s="729"/>
      <c r="K4" s="729"/>
      <c r="L4" s="729"/>
      <c r="M4" s="730" t="str">
        <f>S5</f>
        <v>0</v>
      </c>
      <c r="N4" s="730"/>
      <c r="O4" s="730"/>
      <c r="P4" s="730"/>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9"/>
      <c r="B5" s="334"/>
      <c r="C5" s="155"/>
      <c r="D5" s="494" t="s">
        <v>69</v>
      </c>
      <c r="E5" s="98">
        <f>R.AvgHrDEQCost</f>
        <v>58</v>
      </c>
      <c r="F5" s="729" t="s">
        <v>59</v>
      </c>
      <c r="G5" s="729"/>
      <c r="H5" s="729"/>
      <c r="I5" s="729"/>
      <c r="J5" s="729"/>
      <c r="K5" s="729"/>
      <c r="L5" s="729"/>
      <c r="M5" s="731" t="str">
        <f>S6</f>
        <v>$0</v>
      </c>
      <c r="N5" s="731"/>
      <c r="O5" s="731"/>
      <c r="P5" s="731"/>
      <c r="Q5" s="156"/>
      <c r="R5" s="334"/>
      <c r="S5" s="122" t="str">
        <f>IF(R.9StaffCount=0,"0",IF(R.9LowHrs=0,"0-"&amp;TEXT(R.9HighHrs,"#,###"),TEXT(R.9LowHrs,"#,###")&amp;"-"&amp;TEXT(R.9HighHrs,"#,###")))</f>
        <v>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$0</v>
      </c>
      <c r="T6" s="355">
        <f>T4*E5</f>
        <v>0</v>
      </c>
      <c r="U6" s="355">
        <f>U4*E5</f>
        <v>0</v>
      </c>
      <c r="V6" s="120"/>
      <c r="W6" s="64"/>
      <c r="X6" s="64"/>
      <c r="Y6" s="64"/>
      <c r="Z6" s="64"/>
      <c r="AA6" s="64"/>
      <c r="AB6" s="64"/>
      <c r="AC6" s="64"/>
      <c r="AD6" s="66"/>
      <c r="AE6" s="66"/>
      <c r="AF6" s="66"/>
    </row>
    <row r="7" spans="1:33" s="6" customFormat="1" ht="105" customHeight="1">
      <c r="A7" s="316"/>
      <c r="B7" s="334"/>
      <c r="C7" s="155"/>
      <c r="D7" s="759" t="s">
        <v>243</v>
      </c>
      <c r="E7" s="760"/>
      <c r="F7" s="760"/>
      <c r="G7" s="760"/>
      <c r="H7" s="760"/>
      <c r="I7" s="760"/>
      <c r="J7" s="760"/>
      <c r="K7" s="760"/>
      <c r="L7" s="760"/>
      <c r="M7" s="760"/>
      <c r="N7" s="760"/>
      <c r="O7" s="760"/>
      <c r="P7" s="76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6" t="s">
        <v>522</v>
      </c>
      <c r="E8" s="776"/>
      <c r="F8" s="776"/>
      <c r="G8" s="776"/>
      <c r="H8" s="776"/>
      <c r="I8" s="776"/>
      <c r="J8" s="776"/>
      <c r="K8" s="776"/>
      <c r="L8" s="776"/>
      <c r="M8" s="776"/>
      <c r="N8" s="776"/>
      <c r="O8" s="776"/>
      <c r="P8" s="776"/>
      <c r="Q8" s="156"/>
      <c r="R8" s="334"/>
      <c r="T8" s="493"/>
      <c r="U8" s="493"/>
      <c r="V8" s="120"/>
      <c r="W8" s="436"/>
      <c r="X8" s="436"/>
      <c r="Y8" s="436"/>
      <c r="Z8" s="436"/>
      <c r="AA8" s="436"/>
      <c r="AB8" s="436"/>
      <c r="AC8" s="436"/>
      <c r="AD8" s="66"/>
      <c r="AE8" s="66"/>
      <c r="AF8" s="66"/>
    </row>
    <row r="9" spans="1:33" s="28" customFormat="1" ht="15.75" customHeight="1">
      <c r="A9" s="345"/>
      <c r="B9" s="440"/>
      <c r="C9" s="138"/>
      <c r="D9" s="773" t="s">
        <v>466</v>
      </c>
      <c r="E9" s="774"/>
      <c r="F9" s="774"/>
      <c r="G9" s="774"/>
      <c r="H9" s="774"/>
      <c r="I9" s="774"/>
      <c r="J9" s="774"/>
      <c r="K9" s="774"/>
      <c r="L9" s="774"/>
      <c r="M9" s="774"/>
      <c r="N9" s="774"/>
      <c r="O9" s="774"/>
      <c r="P9" s="775"/>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41" t="s">
        <v>0</v>
      </c>
      <c r="T10" s="741"/>
      <c r="U10" s="741"/>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104</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53" t="s">
        <v>155</v>
      </c>
      <c r="E13" s="754"/>
      <c r="F13" s="754"/>
      <c r="G13" s="754"/>
      <c r="H13" s="754"/>
      <c r="I13" s="754"/>
      <c r="J13" s="754"/>
      <c r="K13" s="754"/>
      <c r="L13" s="754"/>
      <c r="M13" s="754"/>
      <c r="N13" s="754"/>
      <c r="O13" s="754"/>
      <c r="P13" s="755"/>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61</v>
      </c>
      <c r="E14" s="393" t="s">
        <v>18</v>
      </c>
      <c r="F14" s="762" t="s">
        <v>19</v>
      </c>
      <c r="G14" s="762"/>
      <c r="H14" s="762"/>
      <c r="I14" s="762"/>
      <c r="J14" s="762"/>
      <c r="K14" s="762"/>
      <c r="L14" s="762"/>
      <c r="M14" s="762"/>
      <c r="N14" s="762"/>
      <c r="O14" s="762"/>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154</v>
      </c>
      <c r="E15" s="30" t="s">
        <v>226</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2" t="s">
        <v>551</v>
      </c>
      <c r="W15" s="64"/>
      <c r="X15" s="64"/>
      <c r="Y15" s="64"/>
      <c r="Z15" s="64"/>
      <c r="AA15" s="64"/>
      <c r="AB15" s="64"/>
      <c r="AC15" s="64"/>
      <c r="AD15" s="130"/>
      <c r="AE15" s="130"/>
      <c r="AF15" s="130"/>
    </row>
    <row r="16" spans="1:33" s="28" customFormat="1" ht="15.75" customHeight="1">
      <c r="A16" s="320"/>
      <c r="B16" s="334"/>
      <c r="C16" s="138"/>
      <c r="D16" s="464"/>
      <c r="E16" s="30" t="s">
        <v>226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572" t="s">
        <v>551</v>
      </c>
      <c r="W16" s="64"/>
      <c r="X16" s="64"/>
      <c r="Y16" s="64"/>
      <c r="Z16" s="64"/>
      <c r="AA16" s="64"/>
      <c r="AB16" s="64"/>
      <c r="AC16" s="64"/>
      <c r="AD16" s="130"/>
      <c r="AE16" s="130"/>
      <c r="AF16" s="130"/>
    </row>
    <row r="17" spans="1:32" s="28" customFormat="1" ht="20.25" hidden="1" customHeight="1" outlineLevel="1">
      <c r="A17" s="320"/>
      <c r="B17" s="334"/>
      <c r="C17" s="138"/>
      <c r="D17" s="36" t="s">
        <v>0</v>
      </c>
      <c r="E17" s="30" t="s">
        <v>226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63"/>
      <c r="E20" s="764"/>
      <c r="F20" s="764"/>
      <c r="G20" s="764"/>
      <c r="H20" s="764"/>
      <c r="I20" s="764"/>
      <c r="J20" s="764"/>
      <c r="K20" s="764"/>
      <c r="L20" s="764"/>
      <c r="M20" s="764"/>
      <c r="N20" s="764"/>
      <c r="O20" s="764"/>
      <c r="P20" s="765"/>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551</v>
      </c>
      <c r="W22" s="64"/>
      <c r="X22" s="64"/>
      <c r="Y22" s="64"/>
      <c r="Z22" s="64"/>
      <c r="AA22" s="64"/>
      <c r="AB22" s="64"/>
      <c r="AC22" s="64"/>
      <c r="AD22" s="130"/>
      <c r="AE22" s="130"/>
      <c r="AF22" s="130"/>
    </row>
    <row r="23" spans="1:32" s="28" customFormat="1" ht="20.25" hidden="1" customHeight="1" outlineLevel="1">
      <c r="A23" s="320"/>
      <c r="B23" s="334"/>
      <c r="C23" s="138"/>
      <c r="D23" s="36"/>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226</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67"/>
      <c r="F26" s="767"/>
      <c r="G26" s="767"/>
      <c r="H26" s="767"/>
      <c r="I26" s="767"/>
      <c r="J26" s="767"/>
      <c r="K26" s="767"/>
      <c r="L26" s="767"/>
      <c r="M26" s="767"/>
      <c r="N26" s="767"/>
      <c r="O26" s="767"/>
      <c r="P26" s="767"/>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48"/>
      <c r="E29" s="749"/>
      <c r="F29" s="749"/>
      <c r="G29" s="749"/>
      <c r="H29" s="749"/>
      <c r="I29" s="749"/>
      <c r="J29" s="749"/>
      <c r="K29" s="749"/>
      <c r="L29" s="749"/>
      <c r="M29" s="749"/>
      <c r="N29" s="749"/>
      <c r="O29" s="749"/>
      <c r="P29" s="750"/>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2" t="s">
        <v>551</v>
      </c>
      <c r="W31" s="64"/>
      <c r="X31" s="64"/>
      <c r="Y31" s="64"/>
      <c r="Z31" s="64"/>
      <c r="AA31" s="64"/>
      <c r="AB31" s="64"/>
      <c r="AC31" s="64"/>
      <c r="AD31" s="130"/>
      <c r="AE31" s="130"/>
      <c r="AF31" s="130"/>
    </row>
    <row r="32" spans="1:32" s="28" customFormat="1" ht="20.25" hidden="1" customHeight="1" outlineLevel="1">
      <c r="A32" s="320"/>
      <c r="B32" s="334"/>
      <c r="C32" s="138"/>
      <c r="D32" s="36" t="s">
        <v>0</v>
      </c>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53" t="s">
        <v>173</v>
      </c>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226</v>
      </c>
      <c r="F38" s="71">
        <v>1</v>
      </c>
      <c r="G38" s="72">
        <v>2</v>
      </c>
      <c r="H38" s="73">
        <v>3</v>
      </c>
      <c r="I38" s="74">
        <v>4</v>
      </c>
      <c r="J38" s="75">
        <v>5</v>
      </c>
      <c r="K38" s="76">
        <v>6</v>
      </c>
      <c r="L38" s="77">
        <v>7</v>
      </c>
      <c r="M38" s="78">
        <v>8</v>
      </c>
      <c r="N38" s="79">
        <v>9</v>
      </c>
      <c r="O38" s="80">
        <v>10</v>
      </c>
      <c r="P38" s="32" t="s">
        <v>15</v>
      </c>
      <c r="Q38" s="139"/>
      <c r="R38" s="334"/>
      <c r="S38" s="133">
        <f>VLOOKUP($E38,R.VL_DEQResourcesInvolved,2,FALSE)</f>
        <v>0</v>
      </c>
      <c r="T38" s="121">
        <f>VLOOKUP($E38,R.VL_DEQResourcesInvolved,3,FALSE)</f>
        <v>0</v>
      </c>
      <c r="U38" s="121">
        <f>IF(S38=10,T38,VLOOKUP($E38,R.VL_DEQResourcesInvolved,4,FALSE))</f>
        <v>0</v>
      </c>
      <c r="V38" s="572" t="s">
        <v>551</v>
      </c>
      <c r="W38" s="64"/>
      <c r="X38" s="64"/>
      <c r="Y38" s="64"/>
      <c r="Z38" s="64"/>
      <c r="AA38" s="64"/>
      <c r="AB38" s="64"/>
      <c r="AC38" s="64"/>
      <c r="AD38" s="130"/>
      <c r="AE38" s="130"/>
      <c r="AF38" s="130"/>
    </row>
    <row r="39" spans="1:32" s="28" customFormat="1" ht="20.25" hidden="1" customHeight="1" outlineLevel="1">
      <c r="A39" s="320"/>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67"/>
      <c r="F42" s="767"/>
      <c r="G42" s="767"/>
      <c r="H42" s="767"/>
      <c r="I42" s="767"/>
      <c r="J42" s="767"/>
      <c r="K42" s="767"/>
      <c r="L42" s="767"/>
      <c r="M42" s="767"/>
      <c r="N42" s="767"/>
      <c r="O42" s="767"/>
      <c r="P42" s="767"/>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53" t="s">
        <v>157</v>
      </c>
      <c r="E45" s="754"/>
      <c r="F45" s="754"/>
      <c r="G45" s="754"/>
      <c r="H45" s="754"/>
      <c r="I45" s="754"/>
      <c r="J45" s="754"/>
      <c r="K45" s="754"/>
      <c r="L45" s="754"/>
      <c r="M45" s="754"/>
      <c r="N45" s="754"/>
      <c r="O45" s="754"/>
      <c r="P45" s="755"/>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61</v>
      </c>
      <c r="E46" s="393" t="s">
        <v>18</v>
      </c>
      <c r="F46" s="762" t="s">
        <v>19</v>
      </c>
      <c r="G46" s="762"/>
      <c r="H46" s="762"/>
      <c r="I46" s="762"/>
      <c r="J46" s="762"/>
      <c r="K46" s="762"/>
      <c r="L46" s="762"/>
      <c r="M46" s="762"/>
      <c r="N46" s="762"/>
      <c r="O46" s="762"/>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156</v>
      </c>
      <c r="E47" s="30" t="s">
        <v>226</v>
      </c>
      <c r="F47" s="71">
        <v>1</v>
      </c>
      <c r="G47" s="72">
        <v>2</v>
      </c>
      <c r="H47" s="73">
        <v>3</v>
      </c>
      <c r="I47" s="74">
        <v>4</v>
      </c>
      <c r="J47" s="75">
        <v>5</v>
      </c>
      <c r="K47" s="76">
        <v>6</v>
      </c>
      <c r="L47" s="77">
        <v>7</v>
      </c>
      <c r="M47" s="78">
        <v>8</v>
      </c>
      <c r="N47" s="79">
        <v>9</v>
      </c>
      <c r="O47" s="80">
        <v>10</v>
      </c>
      <c r="P47" s="32" t="s">
        <v>15</v>
      </c>
      <c r="Q47" s="139"/>
      <c r="R47" s="334"/>
      <c r="S47" s="133">
        <f>VLOOKUP($E47,R.VL_DEQResourcesInvolved,2,FALSE)</f>
        <v>0</v>
      </c>
      <c r="T47" s="121">
        <f>VLOOKUP($E47,R.VL_DEQResourcesInvolved,3,FALSE)</f>
        <v>0</v>
      </c>
      <c r="U47" s="121">
        <f>IF(S47=10,T47,VLOOKUP($E47,R.VL_DEQResourcesInvolved,4,FALSE))</f>
        <v>0</v>
      </c>
      <c r="V47" s="572" t="s">
        <v>551</v>
      </c>
      <c r="W47" s="64"/>
      <c r="X47" s="64"/>
      <c r="Y47" s="64"/>
      <c r="Z47" s="64"/>
      <c r="AA47" s="64"/>
      <c r="AB47" s="64"/>
      <c r="AC47" s="64"/>
      <c r="AD47" s="130"/>
      <c r="AE47" s="130"/>
      <c r="AF47" s="130"/>
    </row>
    <row r="48" spans="1:32" s="28" customFormat="1" ht="20.25" hidden="1" customHeight="1" outlineLevel="1">
      <c r="A48" s="320"/>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63" t="s">
        <v>158</v>
      </c>
      <c r="E52" s="764"/>
      <c r="F52" s="764"/>
      <c r="G52" s="764"/>
      <c r="H52" s="764"/>
      <c r="I52" s="764"/>
      <c r="J52" s="764"/>
      <c r="K52" s="764"/>
      <c r="L52" s="764"/>
      <c r="M52" s="764"/>
      <c r="N52" s="764"/>
      <c r="O52" s="764"/>
      <c r="P52" s="765"/>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156</v>
      </c>
      <c r="E54" s="30" t="s">
        <v>226</v>
      </c>
      <c r="F54" s="71">
        <v>1</v>
      </c>
      <c r="G54" s="72">
        <v>2</v>
      </c>
      <c r="H54" s="73">
        <v>3</v>
      </c>
      <c r="I54" s="74">
        <v>4</v>
      </c>
      <c r="J54" s="75">
        <v>5</v>
      </c>
      <c r="K54" s="76">
        <v>6</v>
      </c>
      <c r="L54" s="77">
        <v>7</v>
      </c>
      <c r="M54" s="78">
        <v>8</v>
      </c>
      <c r="N54" s="79">
        <v>9</v>
      </c>
      <c r="O54" s="80">
        <v>10</v>
      </c>
      <c r="P54" s="32" t="s">
        <v>15</v>
      </c>
      <c r="Q54" s="139"/>
      <c r="R54" s="334"/>
      <c r="S54" s="133">
        <f>VLOOKUP($E54,R.VL_DEQResourcesInvolved,2,FALSE)</f>
        <v>0</v>
      </c>
      <c r="T54" s="121">
        <f>VLOOKUP($E54,R.VL_DEQResourcesInvolved,3,FALSE)</f>
        <v>0</v>
      </c>
      <c r="U54" s="121">
        <f>IF(S54=10,T54,VLOOKUP($E54,R.VL_DEQResourcesInvolved,4,FALSE))</f>
        <v>0</v>
      </c>
      <c r="V54" s="572" t="s">
        <v>551</v>
      </c>
      <c r="W54" s="64"/>
      <c r="X54" s="64"/>
      <c r="Y54" s="64"/>
      <c r="Z54" s="64"/>
      <c r="AA54" s="64"/>
      <c r="AB54" s="64"/>
      <c r="AC54" s="64"/>
      <c r="AD54" s="130"/>
      <c r="AE54" s="130"/>
      <c r="AF54" s="130"/>
    </row>
    <row r="55" spans="1:32" s="28" customFormat="1" ht="20.25" hidden="1" customHeight="1" outlineLevel="1">
      <c r="A55" s="320"/>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67"/>
      <c r="F58" s="767"/>
      <c r="G58" s="767"/>
      <c r="H58" s="767"/>
      <c r="I58" s="767"/>
      <c r="J58" s="767"/>
      <c r="K58" s="767"/>
      <c r="L58" s="767"/>
      <c r="M58" s="767"/>
      <c r="N58" s="767"/>
      <c r="O58" s="767"/>
      <c r="P58" s="767"/>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73" t="str">
        <f>"Please suggest process improvements to the "&amp;D2&amp;" worksheet."</f>
        <v>Please suggest process improvements to the Communications and Outreach worksheet.</v>
      </c>
      <c r="E59" s="673"/>
      <c r="F59" s="673"/>
      <c r="G59" s="673"/>
      <c r="H59" s="673"/>
      <c r="I59" s="673"/>
      <c r="J59" s="673"/>
      <c r="K59" s="673"/>
      <c r="L59" s="673"/>
      <c r="M59" s="673"/>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70"/>
      <c r="E60" s="671"/>
      <c r="F60" s="671"/>
      <c r="G60" s="671"/>
      <c r="H60" s="671"/>
      <c r="I60" s="671"/>
      <c r="J60" s="671"/>
      <c r="K60" s="671"/>
      <c r="L60" s="671"/>
      <c r="M60" s="671"/>
      <c r="N60" s="671"/>
      <c r="O60" s="671"/>
      <c r="P60" s="672"/>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5.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621</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82</v>
      </c>
      <c r="E2" s="742" t="str">
        <f>R.1MediaAndLongName</f>
        <v xml:space="preserve">AQ LRAPA - 2010 Industrial Streamlining </v>
      </c>
      <c r="F2" s="742"/>
      <c r="G2" s="742"/>
      <c r="H2" s="742"/>
      <c r="I2" s="742"/>
      <c r="J2" s="742"/>
      <c r="K2" s="742"/>
      <c r="L2" s="742"/>
      <c r="M2" s="742"/>
      <c r="N2" s="742"/>
      <c r="O2" s="742"/>
      <c r="P2" s="742"/>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28" t="s">
        <v>58</v>
      </c>
      <c r="N3" s="728"/>
      <c r="O3" s="728"/>
      <c r="P3" s="728"/>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56</v>
      </c>
      <c r="E4" s="81">
        <f>S3</f>
        <v>0</v>
      </c>
      <c r="F4" s="729" t="s">
        <v>55</v>
      </c>
      <c r="G4" s="729"/>
      <c r="H4" s="729"/>
      <c r="I4" s="729"/>
      <c r="J4" s="729"/>
      <c r="K4" s="729"/>
      <c r="L4" s="729"/>
      <c r="M4" s="730" t="str">
        <f>S4</f>
        <v>0</v>
      </c>
      <c r="N4" s="730"/>
      <c r="O4" s="730"/>
      <c r="P4" s="730"/>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68</v>
      </c>
      <c r="E5" s="98">
        <f>R.AvgHrDEQCost</f>
        <v>58</v>
      </c>
      <c r="F5" s="729" t="s">
        <v>59</v>
      </c>
      <c r="G5" s="729"/>
      <c r="H5" s="729"/>
      <c r="I5" s="729"/>
      <c r="J5" s="729"/>
      <c r="K5" s="729"/>
      <c r="L5" s="729"/>
      <c r="M5" s="731" t="str">
        <f>S5</f>
        <v>$0</v>
      </c>
      <c r="N5" s="731"/>
      <c r="O5" s="731"/>
      <c r="P5" s="731"/>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59" t="s">
        <v>244</v>
      </c>
      <c r="E7" s="760"/>
      <c r="F7" s="760"/>
      <c r="G7" s="760"/>
      <c r="H7" s="760"/>
      <c r="I7" s="760"/>
      <c r="J7" s="760"/>
      <c r="K7" s="760"/>
      <c r="L7" s="760"/>
      <c r="M7" s="760"/>
      <c r="N7" s="760"/>
      <c r="O7" s="760"/>
      <c r="P7" s="76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6" t="s">
        <v>520</v>
      </c>
      <c r="E8" s="776"/>
      <c r="F8" s="776"/>
      <c r="G8" s="776"/>
      <c r="H8" s="776"/>
      <c r="I8" s="776"/>
      <c r="J8" s="776"/>
      <c r="K8" s="776"/>
      <c r="L8" s="776"/>
      <c r="M8" s="776"/>
      <c r="N8" s="776"/>
      <c r="O8" s="776"/>
      <c r="P8" s="776"/>
      <c r="Q8" s="156"/>
      <c r="R8" s="334"/>
      <c r="T8" s="493"/>
      <c r="U8" s="493"/>
      <c r="V8" s="120"/>
      <c r="W8" s="436"/>
      <c r="X8" s="436"/>
      <c r="Y8" s="436"/>
      <c r="Z8" s="436"/>
      <c r="AA8" s="436"/>
      <c r="AB8" s="436"/>
      <c r="AC8" s="436"/>
      <c r="AD8" s="66"/>
      <c r="AE8" s="66"/>
      <c r="AF8" s="66"/>
    </row>
    <row r="9" spans="1:33" s="28" customFormat="1" ht="15.75" customHeight="1">
      <c r="A9" s="345"/>
      <c r="B9" s="440"/>
      <c r="C9" s="138"/>
      <c r="D9" s="773" t="s">
        <v>466</v>
      </c>
      <c r="E9" s="774"/>
      <c r="F9" s="774"/>
      <c r="G9" s="774"/>
      <c r="H9" s="774"/>
      <c r="I9" s="774"/>
      <c r="J9" s="774"/>
      <c r="K9" s="774"/>
      <c r="L9" s="774"/>
      <c r="M9" s="774"/>
      <c r="N9" s="774"/>
      <c r="O9" s="774"/>
      <c r="P9" s="775"/>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48"/>
      <c r="E13" s="749"/>
      <c r="F13" s="749"/>
      <c r="G13" s="749"/>
      <c r="H13" s="749"/>
      <c r="I13" s="749"/>
      <c r="J13" s="749"/>
      <c r="K13" s="749"/>
      <c r="L13" s="749"/>
      <c r="M13" s="749"/>
      <c r="N13" s="749"/>
      <c r="O13" s="749"/>
      <c r="P13" s="750"/>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61</v>
      </c>
      <c r="E14" s="467" t="s">
        <v>18</v>
      </c>
      <c r="F14" s="762" t="s">
        <v>19</v>
      </c>
      <c r="G14" s="762"/>
      <c r="H14" s="762"/>
      <c r="I14" s="762"/>
      <c r="J14" s="762"/>
      <c r="K14" s="762"/>
      <c r="L14" s="762"/>
      <c r="M14" s="762"/>
      <c r="N14" s="762"/>
      <c r="O14" s="762"/>
      <c r="P14" s="467"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226</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2" t="s">
        <v>551</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63"/>
      <c r="E20" s="764"/>
      <c r="F20" s="764"/>
      <c r="G20" s="764"/>
      <c r="H20" s="764"/>
      <c r="I20" s="764"/>
      <c r="J20" s="764"/>
      <c r="K20" s="764"/>
      <c r="L20" s="764"/>
      <c r="M20" s="764"/>
      <c r="N20" s="764"/>
      <c r="O20" s="764"/>
      <c r="P20" s="765"/>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2" t="s">
        <v>551</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67"/>
      <c r="F26" s="767"/>
      <c r="G26" s="767"/>
      <c r="H26" s="767"/>
      <c r="I26" s="767"/>
      <c r="J26" s="767"/>
      <c r="K26" s="767"/>
      <c r="L26" s="767"/>
      <c r="M26" s="767"/>
      <c r="N26" s="767"/>
      <c r="O26" s="767"/>
      <c r="P26" s="767"/>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54</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48"/>
      <c r="E29" s="749"/>
      <c r="F29" s="749"/>
      <c r="G29" s="749"/>
      <c r="H29" s="749"/>
      <c r="I29" s="749"/>
      <c r="J29" s="749"/>
      <c r="K29" s="749"/>
      <c r="L29" s="749"/>
      <c r="M29" s="749"/>
      <c r="N29" s="749"/>
      <c r="O29" s="749"/>
      <c r="P29" s="750"/>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226</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2" t="s">
        <v>551</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53"/>
      <c r="E36" s="754"/>
      <c r="F36" s="754"/>
      <c r="G36" s="754"/>
      <c r="H36" s="754"/>
      <c r="I36" s="754"/>
      <c r="J36" s="754"/>
      <c r="K36" s="754"/>
      <c r="L36" s="754"/>
      <c r="M36" s="754"/>
      <c r="N36" s="754"/>
      <c r="O36" s="754"/>
      <c r="P36" s="755"/>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551</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67"/>
      <c r="F42" s="767"/>
      <c r="G42" s="767"/>
      <c r="H42" s="767"/>
      <c r="I42" s="767"/>
      <c r="J42" s="767"/>
      <c r="K42" s="767"/>
      <c r="L42" s="767"/>
      <c r="M42" s="767"/>
      <c r="N42" s="767"/>
      <c r="O42" s="767"/>
      <c r="P42" s="767"/>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48"/>
      <c r="E45" s="749"/>
      <c r="F45" s="749"/>
      <c r="G45" s="749"/>
      <c r="H45" s="749"/>
      <c r="I45" s="749"/>
      <c r="J45" s="749"/>
      <c r="K45" s="749"/>
      <c r="L45" s="749"/>
      <c r="M45" s="749"/>
      <c r="N45" s="749"/>
      <c r="O45" s="749"/>
      <c r="P45" s="750"/>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61</v>
      </c>
      <c r="E46" s="393" t="s">
        <v>18</v>
      </c>
      <c r="F46" s="762" t="s">
        <v>19</v>
      </c>
      <c r="G46" s="762"/>
      <c r="H46" s="762"/>
      <c r="I46" s="762"/>
      <c r="J46" s="762"/>
      <c r="K46" s="762"/>
      <c r="L46" s="762"/>
      <c r="M46" s="762"/>
      <c r="N46" s="762"/>
      <c r="O46" s="762"/>
      <c r="P46" s="393" t="s">
        <v>20</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2" t="s">
        <v>551</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63"/>
      <c r="E52" s="764"/>
      <c r="F52" s="764"/>
      <c r="G52" s="764"/>
      <c r="H52" s="764"/>
      <c r="I52" s="764"/>
      <c r="J52" s="764"/>
      <c r="K52" s="764"/>
      <c r="L52" s="764"/>
      <c r="M52" s="764"/>
      <c r="N52" s="764"/>
      <c r="O52" s="764"/>
      <c r="P52" s="765"/>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2" t="s">
        <v>551</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226</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67"/>
      <c r="F58" s="767"/>
      <c r="G58" s="767"/>
      <c r="H58" s="767"/>
      <c r="I58" s="767"/>
      <c r="J58" s="767"/>
      <c r="K58" s="767"/>
      <c r="L58" s="767"/>
      <c r="M58" s="767"/>
      <c r="N58" s="767"/>
      <c r="O58" s="767"/>
      <c r="P58" s="767"/>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48"/>
      <c r="E61" s="749"/>
      <c r="F61" s="749"/>
      <c r="G61" s="749"/>
      <c r="H61" s="749"/>
      <c r="I61" s="749"/>
      <c r="J61" s="749"/>
      <c r="K61" s="749"/>
      <c r="L61" s="749"/>
      <c r="M61" s="749"/>
      <c r="N61" s="749"/>
      <c r="O61" s="749"/>
      <c r="P61" s="750"/>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77" t="s">
        <v>19</v>
      </c>
      <c r="G62" s="777"/>
      <c r="H62" s="777"/>
      <c r="I62" s="777"/>
      <c r="J62" s="777"/>
      <c r="K62" s="777"/>
      <c r="L62" s="777"/>
      <c r="M62" s="777"/>
      <c r="N62" s="777"/>
      <c r="O62" s="777"/>
      <c r="P62" s="105" t="s">
        <v>20</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226</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2" t="s">
        <v>551</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226</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53" t="s">
        <v>0</v>
      </c>
      <c r="E68" s="754"/>
      <c r="F68" s="754"/>
      <c r="G68" s="754"/>
      <c r="H68" s="754"/>
      <c r="I68" s="754"/>
      <c r="J68" s="754"/>
      <c r="K68" s="754"/>
      <c r="L68" s="754"/>
      <c r="M68" s="754"/>
      <c r="N68" s="754"/>
      <c r="O68" s="754"/>
      <c r="P68" s="755"/>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77" t="s">
        <v>19</v>
      </c>
      <c r="G69" s="777"/>
      <c r="H69" s="777"/>
      <c r="I69" s="777"/>
      <c r="J69" s="777"/>
      <c r="K69" s="777"/>
      <c r="L69" s="777"/>
      <c r="M69" s="777"/>
      <c r="N69" s="777"/>
      <c r="O69" s="777"/>
      <c r="P69" s="105" t="s">
        <v>20</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226</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2" t="s">
        <v>551</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226</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66"/>
      <c r="F74" s="766"/>
      <c r="G74" s="766"/>
      <c r="H74" s="766"/>
      <c r="I74" s="766"/>
      <c r="J74" s="766"/>
      <c r="K74" s="766"/>
      <c r="L74" s="766"/>
      <c r="M74" s="766"/>
      <c r="N74" s="766"/>
      <c r="O74" s="766"/>
      <c r="P74" s="766"/>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73" t="str">
        <f>"Please suggest process improvements to the "&amp;D2&amp;" worksheet."</f>
        <v>Please suggest process improvements to the Organizational Services worksheet.</v>
      </c>
      <c r="E75" s="673"/>
      <c r="F75" s="673"/>
      <c r="G75" s="673"/>
      <c r="H75" s="673"/>
      <c r="I75" s="673"/>
      <c r="J75" s="673"/>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70"/>
      <c r="E76" s="671"/>
      <c r="F76" s="671"/>
      <c r="G76" s="671"/>
      <c r="H76" s="671"/>
      <c r="I76" s="671"/>
      <c r="J76" s="671"/>
      <c r="K76" s="671"/>
      <c r="L76" s="671"/>
      <c r="M76" s="671"/>
      <c r="N76" s="671"/>
      <c r="O76" s="671"/>
      <c r="P76" s="672"/>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6.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621</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84</v>
      </c>
      <c r="E2" s="742" t="str">
        <f>R.1MediaAndLongName</f>
        <v xml:space="preserve">AQ LRAPA - 2010 Industrial Streamlining </v>
      </c>
      <c r="F2" s="742"/>
      <c r="G2" s="742"/>
      <c r="H2" s="742"/>
      <c r="I2" s="742"/>
      <c r="J2" s="742"/>
      <c r="K2" s="742"/>
      <c r="L2" s="742"/>
      <c r="M2" s="742"/>
      <c r="N2" s="742"/>
      <c r="O2" s="742"/>
      <c r="P2" s="742"/>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28" t="s">
        <v>58</v>
      </c>
      <c r="N3" s="728"/>
      <c r="O3" s="728"/>
      <c r="P3" s="728"/>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56</v>
      </c>
      <c r="E4" s="81">
        <f>S3</f>
        <v>0</v>
      </c>
      <c r="F4" s="729" t="s">
        <v>55</v>
      </c>
      <c r="G4" s="729"/>
      <c r="H4" s="729"/>
      <c r="I4" s="729"/>
      <c r="J4" s="729"/>
      <c r="K4" s="729"/>
      <c r="L4" s="729"/>
      <c r="M4" s="730" t="str">
        <f>S4</f>
        <v>0</v>
      </c>
      <c r="N4" s="730"/>
      <c r="O4" s="730"/>
      <c r="P4" s="730"/>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69</v>
      </c>
      <c r="E5" s="98">
        <f>R.AvgHrDEQCost</f>
        <v>58</v>
      </c>
      <c r="F5" s="729" t="s">
        <v>59</v>
      </c>
      <c r="G5" s="729"/>
      <c r="H5" s="729"/>
      <c r="I5" s="729"/>
      <c r="J5" s="729"/>
      <c r="K5" s="729"/>
      <c r="L5" s="729"/>
      <c r="M5" s="731" t="str">
        <f>S5</f>
        <v>$0</v>
      </c>
      <c r="N5" s="731"/>
      <c r="O5" s="731"/>
      <c r="P5" s="731"/>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59" t="s">
        <v>245</v>
      </c>
      <c r="E7" s="760"/>
      <c r="F7" s="760"/>
      <c r="G7" s="760"/>
      <c r="H7" s="760"/>
      <c r="I7" s="760"/>
      <c r="J7" s="760"/>
      <c r="K7" s="760"/>
      <c r="L7" s="760"/>
      <c r="M7" s="760"/>
      <c r="N7" s="760"/>
      <c r="O7" s="760"/>
      <c r="P7" s="76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6" t="s">
        <v>514</v>
      </c>
      <c r="E8" s="776"/>
      <c r="F8" s="776"/>
      <c r="G8" s="776"/>
      <c r="H8" s="776"/>
      <c r="I8" s="776"/>
      <c r="J8" s="776"/>
      <c r="K8" s="776"/>
      <c r="L8" s="776"/>
      <c r="M8" s="776"/>
      <c r="N8" s="776"/>
      <c r="O8" s="776"/>
      <c r="P8" s="776"/>
      <c r="Q8" s="156"/>
      <c r="R8" s="334"/>
      <c r="T8" s="493"/>
      <c r="U8" s="493"/>
      <c r="V8" s="120"/>
      <c r="W8" s="436"/>
      <c r="X8" s="436"/>
      <c r="Y8" s="436"/>
      <c r="Z8" s="436"/>
      <c r="AA8" s="436"/>
      <c r="AB8" s="436"/>
      <c r="AC8" s="436"/>
      <c r="AD8" s="66"/>
      <c r="AE8" s="66"/>
      <c r="AF8" s="66"/>
    </row>
    <row r="9" spans="1:33" s="28" customFormat="1" ht="15.75" customHeight="1">
      <c r="A9" s="345"/>
      <c r="B9" s="440"/>
      <c r="C9" s="138"/>
      <c r="D9" s="773" t="s">
        <v>466</v>
      </c>
      <c r="E9" s="774"/>
      <c r="F9" s="774"/>
      <c r="G9" s="774"/>
      <c r="H9" s="774"/>
      <c r="I9" s="774"/>
      <c r="J9" s="774"/>
      <c r="K9" s="774"/>
      <c r="L9" s="774"/>
      <c r="M9" s="774"/>
      <c r="N9" s="774"/>
      <c r="O9" s="774"/>
      <c r="P9" s="775"/>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48" t="s">
        <v>0</v>
      </c>
      <c r="E13" s="749"/>
      <c r="F13" s="749"/>
      <c r="G13" s="749"/>
      <c r="H13" s="749"/>
      <c r="I13" s="749"/>
      <c r="J13" s="749"/>
      <c r="K13" s="749"/>
      <c r="L13" s="749"/>
      <c r="M13" s="749"/>
      <c r="N13" s="749"/>
      <c r="O13" s="749"/>
      <c r="P13" s="75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61</v>
      </c>
      <c r="E14" s="393" t="s">
        <v>18</v>
      </c>
      <c r="F14" s="762" t="s">
        <v>19</v>
      </c>
      <c r="G14" s="762"/>
      <c r="H14" s="762"/>
      <c r="I14" s="762"/>
      <c r="J14" s="762"/>
      <c r="K14" s="762"/>
      <c r="L14" s="762"/>
      <c r="M14" s="762"/>
      <c r="N14" s="762"/>
      <c r="O14" s="762"/>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226</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2" t="s">
        <v>551</v>
      </c>
      <c r="W15" s="64"/>
      <c r="X15" s="64"/>
      <c r="Y15" s="64"/>
      <c r="Z15" s="64"/>
      <c r="AA15" s="64"/>
      <c r="AB15" s="64"/>
      <c r="AC15" s="64"/>
      <c r="AD15" s="130"/>
      <c r="AE15" s="130"/>
      <c r="AF15" s="130"/>
    </row>
    <row r="16" spans="1:33" s="28" customFormat="1" ht="15.75" hidden="1" customHeight="1" outlineLevel="1">
      <c r="A16" s="117"/>
      <c r="B16" s="334"/>
      <c r="C16" s="138"/>
      <c r="D16" s="36" t="s">
        <v>0</v>
      </c>
      <c r="E16" s="30" t="s">
        <v>226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226</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63"/>
      <c r="E20" s="764"/>
      <c r="F20" s="764"/>
      <c r="G20" s="764"/>
      <c r="H20" s="764"/>
      <c r="I20" s="764"/>
      <c r="J20" s="764"/>
      <c r="K20" s="764"/>
      <c r="L20" s="764"/>
      <c r="M20" s="764"/>
      <c r="N20" s="764"/>
      <c r="O20" s="764"/>
      <c r="P20" s="765"/>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77" t="s">
        <v>19</v>
      </c>
      <c r="G21" s="777"/>
      <c r="H21" s="777"/>
      <c r="I21" s="777"/>
      <c r="J21" s="777"/>
      <c r="K21" s="777"/>
      <c r="L21" s="777"/>
      <c r="M21" s="777"/>
      <c r="N21" s="777"/>
      <c r="O21" s="777"/>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551</v>
      </c>
      <c r="W22" s="64"/>
      <c r="X22" s="64"/>
      <c r="Y22" s="64"/>
      <c r="Z22" s="64"/>
      <c r="AA22" s="64"/>
      <c r="AB22" s="64"/>
      <c r="AC22" s="64"/>
      <c r="AD22" s="130"/>
      <c r="AE22" s="130"/>
      <c r="AF22" s="130"/>
    </row>
    <row r="23" spans="1:32" s="28" customFormat="1" ht="15.75" hidden="1" customHeight="1" outlineLevel="1">
      <c r="A23" s="117"/>
      <c r="B23" s="334"/>
      <c r="C23" s="138"/>
      <c r="D23" s="36"/>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66"/>
      <c r="F26" s="766"/>
      <c r="G26" s="766"/>
      <c r="H26" s="766"/>
      <c r="I26" s="766"/>
      <c r="J26" s="766"/>
      <c r="K26" s="766"/>
      <c r="L26" s="766"/>
      <c r="M26" s="766"/>
      <c r="N26" s="766"/>
      <c r="O26" s="766"/>
      <c r="P26" s="766"/>
      <c r="Q26" s="145"/>
      <c r="R26" s="334"/>
      <c r="S26" s="132"/>
      <c r="T26" s="131"/>
      <c r="U26" s="131"/>
      <c r="V26" s="572"/>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48" t="s">
        <v>0</v>
      </c>
      <c r="E29" s="749"/>
      <c r="F29" s="749"/>
      <c r="G29" s="749"/>
      <c r="H29" s="749"/>
      <c r="I29" s="749"/>
      <c r="J29" s="749"/>
      <c r="K29" s="749"/>
      <c r="L29" s="749"/>
      <c r="M29" s="749"/>
      <c r="N29" s="749"/>
      <c r="O29" s="749"/>
      <c r="P29" s="750"/>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77" t="s">
        <v>19</v>
      </c>
      <c r="G30" s="777"/>
      <c r="H30" s="777"/>
      <c r="I30" s="777"/>
      <c r="J30" s="777"/>
      <c r="K30" s="777"/>
      <c r="L30" s="777"/>
      <c r="M30" s="777"/>
      <c r="N30" s="777"/>
      <c r="O30" s="777"/>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226</v>
      </c>
      <c r="F31" s="71">
        <v>1</v>
      </c>
      <c r="G31" s="72">
        <v>2</v>
      </c>
      <c r="H31" s="73">
        <v>3</v>
      </c>
      <c r="I31" s="74">
        <v>4</v>
      </c>
      <c r="J31" s="75">
        <v>5</v>
      </c>
      <c r="K31" s="76">
        <v>6</v>
      </c>
      <c r="L31" s="77">
        <v>7</v>
      </c>
      <c r="M31" s="78">
        <v>8</v>
      </c>
      <c r="N31" s="79">
        <v>9</v>
      </c>
      <c r="O31" s="80">
        <v>10</v>
      </c>
      <c r="P31" s="32" t="s">
        <v>15</v>
      </c>
      <c r="Q31" s="139"/>
      <c r="R31" s="334"/>
      <c r="S31" s="133">
        <f>VLOOKUP($E31,R.VL_DEQResourcesInvolved,2,FALSE)</f>
        <v>0</v>
      </c>
      <c r="T31" s="121">
        <f>VLOOKUP($E31,R.VL_DEQResourcesInvolved,3,FALSE)</f>
        <v>0</v>
      </c>
      <c r="U31" s="121">
        <f>IF(S31=10,T31,VLOOKUP($E31,R.VL_DEQResourcesInvolved,4,FALSE))</f>
        <v>0</v>
      </c>
      <c r="V31" s="572" t="s">
        <v>551</v>
      </c>
      <c r="W31" s="64"/>
      <c r="X31" s="64"/>
      <c r="Y31" s="64"/>
      <c r="Z31" s="64"/>
      <c r="AA31" s="64"/>
      <c r="AB31" s="64"/>
      <c r="AC31" s="64"/>
      <c r="AD31" s="130"/>
      <c r="AE31" s="130"/>
      <c r="AF31" s="130"/>
    </row>
    <row r="32" spans="1:32" s="28" customFormat="1" ht="15.75" hidden="1" customHeight="1" outlineLevel="1">
      <c r="A32" s="117"/>
      <c r="B32" s="334"/>
      <c r="C32" s="138"/>
      <c r="D32" s="36" t="s">
        <v>0</v>
      </c>
      <c r="E32" s="30" t="s">
        <v>226</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226</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226</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53"/>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77" t="s">
        <v>19</v>
      </c>
      <c r="G37" s="777"/>
      <c r="H37" s="777"/>
      <c r="I37" s="777"/>
      <c r="J37" s="777"/>
      <c r="K37" s="777"/>
      <c r="L37" s="777"/>
      <c r="M37" s="777"/>
      <c r="N37" s="777"/>
      <c r="O37" s="777"/>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551</v>
      </c>
      <c r="W38" s="64"/>
      <c r="X38" s="64"/>
      <c r="Y38" s="64"/>
      <c r="Z38" s="64"/>
      <c r="AA38" s="64"/>
      <c r="AB38" s="64"/>
      <c r="AC38" s="64"/>
      <c r="AD38" s="130"/>
      <c r="AE38" s="130"/>
      <c r="AF38" s="130"/>
    </row>
    <row r="39" spans="1:32" s="28" customFormat="1" ht="15.75" hidden="1" customHeight="1" outlineLevel="1">
      <c r="A39" s="117"/>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67"/>
      <c r="F42" s="767"/>
      <c r="G42" s="767"/>
      <c r="H42" s="767"/>
      <c r="I42" s="767"/>
      <c r="J42" s="767"/>
      <c r="K42" s="767"/>
      <c r="L42" s="767"/>
      <c r="M42" s="767"/>
      <c r="N42" s="767"/>
      <c r="O42" s="767"/>
      <c r="P42" s="767"/>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48"/>
      <c r="E45" s="749"/>
      <c r="F45" s="749"/>
      <c r="G45" s="749"/>
      <c r="H45" s="749"/>
      <c r="I45" s="749"/>
      <c r="J45" s="749"/>
      <c r="K45" s="749"/>
      <c r="L45" s="749"/>
      <c r="M45" s="749"/>
      <c r="N45" s="749"/>
      <c r="O45" s="749"/>
      <c r="P45" s="750"/>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61</v>
      </c>
      <c r="E46" s="393" t="s">
        <v>18</v>
      </c>
      <c r="F46" s="762" t="s">
        <v>19</v>
      </c>
      <c r="G46" s="762"/>
      <c r="H46" s="762"/>
      <c r="I46" s="762"/>
      <c r="J46" s="762"/>
      <c r="K46" s="762"/>
      <c r="L46" s="762"/>
      <c r="M46" s="762"/>
      <c r="N46" s="762"/>
      <c r="O46" s="762"/>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226</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2" t="s">
        <v>551</v>
      </c>
      <c r="W47" s="64"/>
      <c r="X47" s="64"/>
      <c r="Y47" s="64"/>
      <c r="Z47" s="64"/>
      <c r="AA47" s="64"/>
      <c r="AB47" s="64"/>
      <c r="AC47" s="64"/>
      <c r="AD47" s="130"/>
      <c r="AE47" s="130"/>
      <c r="AF47" s="130"/>
    </row>
    <row r="48" spans="1:32" s="28" customFormat="1" ht="15.75" hidden="1" customHeight="1" outlineLevel="1">
      <c r="A48" s="117"/>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63"/>
      <c r="E52" s="764"/>
      <c r="F52" s="764"/>
      <c r="G52" s="764"/>
      <c r="H52" s="764"/>
      <c r="I52" s="764"/>
      <c r="J52" s="764"/>
      <c r="K52" s="764"/>
      <c r="L52" s="764"/>
      <c r="M52" s="764"/>
      <c r="N52" s="764"/>
      <c r="O52" s="764"/>
      <c r="P52" s="765"/>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77" t="s">
        <v>19</v>
      </c>
      <c r="G53" s="777"/>
      <c r="H53" s="777"/>
      <c r="I53" s="777"/>
      <c r="J53" s="777"/>
      <c r="K53" s="777"/>
      <c r="L53" s="777"/>
      <c r="M53" s="777"/>
      <c r="N53" s="777"/>
      <c r="O53" s="777"/>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226</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2" t="s">
        <v>551</v>
      </c>
      <c r="W54" s="64"/>
      <c r="X54" s="64"/>
      <c r="Y54" s="64"/>
      <c r="Z54" s="64"/>
      <c r="AA54" s="64"/>
      <c r="AB54" s="64"/>
      <c r="AC54" s="64"/>
      <c r="AD54" s="130"/>
      <c r="AE54" s="130"/>
      <c r="AF54" s="130"/>
    </row>
    <row r="55" spans="1:32" s="28" customFormat="1" ht="15.75" hidden="1" customHeight="1" outlineLevel="1">
      <c r="A55" s="117"/>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67"/>
      <c r="F58" s="767"/>
      <c r="G58" s="767"/>
      <c r="H58" s="767"/>
      <c r="I58" s="767"/>
      <c r="J58" s="767"/>
      <c r="K58" s="767"/>
      <c r="L58" s="767"/>
      <c r="M58" s="767"/>
      <c r="N58" s="767"/>
      <c r="O58" s="767"/>
      <c r="P58" s="767"/>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73" t="str">
        <f>"Please suggest process improvements to the "&amp;D2&amp;" worksheet."</f>
        <v>Please suggest process improvements to the Technical Services worksheet.</v>
      </c>
      <c r="E59" s="673"/>
      <c r="F59" s="673"/>
      <c r="G59" s="673"/>
      <c r="H59" s="673"/>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70"/>
      <c r="E60" s="671"/>
      <c r="F60" s="671"/>
      <c r="G60" s="671"/>
      <c r="H60" s="671"/>
      <c r="I60" s="671"/>
      <c r="J60" s="671"/>
      <c r="K60" s="671"/>
      <c r="L60" s="671"/>
      <c r="M60" s="671"/>
      <c r="N60" s="671"/>
      <c r="O60" s="671"/>
      <c r="P60" s="672"/>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7.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621</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42" t="str">
        <f>R.1MediaAndLongName</f>
        <v xml:space="preserve">AQ LRAPA - 2010 Industrial Streamlining </v>
      </c>
      <c r="F2" s="742"/>
      <c r="G2" s="742"/>
      <c r="H2" s="742"/>
      <c r="I2" s="742"/>
      <c r="J2" s="742"/>
      <c r="K2" s="742"/>
      <c r="L2" s="742"/>
      <c r="M2" s="742"/>
      <c r="N2" s="742"/>
      <c r="O2" s="742"/>
      <c r="P2" s="742"/>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28" t="s">
        <v>58</v>
      </c>
      <c r="N3" s="728"/>
      <c r="O3" s="728"/>
      <c r="P3" s="728"/>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56</v>
      </c>
      <c r="E4" s="81">
        <f>S4</f>
        <v>0</v>
      </c>
      <c r="F4" s="729" t="s">
        <v>55</v>
      </c>
      <c r="G4" s="729"/>
      <c r="H4" s="729"/>
      <c r="I4" s="729"/>
      <c r="J4" s="729"/>
      <c r="K4" s="729"/>
      <c r="L4" s="729"/>
      <c r="M4" s="730" t="str">
        <f>S5</f>
        <v>0</v>
      </c>
      <c r="N4" s="730"/>
      <c r="O4" s="730"/>
      <c r="P4" s="730"/>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69</v>
      </c>
      <c r="E5" s="98">
        <f>R.AvgHrDEQCost</f>
        <v>58</v>
      </c>
      <c r="F5" s="729" t="s">
        <v>59</v>
      </c>
      <c r="G5" s="729"/>
      <c r="H5" s="729"/>
      <c r="I5" s="729"/>
      <c r="J5" s="729"/>
      <c r="K5" s="729"/>
      <c r="L5" s="729"/>
      <c r="M5" s="731" t="str">
        <f>S6</f>
        <v>$0</v>
      </c>
      <c r="N5" s="731"/>
      <c r="O5" s="731"/>
      <c r="P5" s="731"/>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59" t="s">
        <v>246</v>
      </c>
      <c r="E7" s="760"/>
      <c r="F7" s="760"/>
      <c r="G7" s="760"/>
      <c r="H7" s="760"/>
      <c r="I7" s="760"/>
      <c r="J7" s="760"/>
      <c r="K7" s="760"/>
      <c r="L7" s="760"/>
      <c r="M7" s="760"/>
      <c r="N7" s="760"/>
      <c r="O7" s="760"/>
      <c r="P7" s="76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6" t="s">
        <v>511</v>
      </c>
      <c r="E8" s="776"/>
      <c r="F8" s="776"/>
      <c r="G8" s="776"/>
      <c r="H8" s="776"/>
      <c r="I8" s="776"/>
      <c r="J8" s="776"/>
      <c r="K8" s="776"/>
      <c r="L8" s="776"/>
      <c r="M8" s="776"/>
      <c r="N8" s="776"/>
      <c r="O8" s="776"/>
      <c r="P8" s="776"/>
      <c r="Q8" s="156"/>
      <c r="R8" s="334"/>
      <c r="T8" s="493"/>
      <c r="U8" s="493"/>
      <c r="V8" s="120"/>
      <c r="W8" s="436"/>
      <c r="X8" s="436"/>
      <c r="Y8" s="436"/>
      <c r="Z8" s="436"/>
      <c r="AA8" s="436"/>
      <c r="AB8" s="436"/>
      <c r="AC8" s="436"/>
      <c r="AD8" s="66"/>
      <c r="AE8" s="66"/>
      <c r="AF8" s="66"/>
    </row>
    <row r="9" spans="1:33" s="28" customFormat="1" ht="15.75" customHeight="1">
      <c r="A9" s="345"/>
      <c r="B9" s="440"/>
      <c r="C9" s="138"/>
      <c r="D9" s="773" t="s">
        <v>466</v>
      </c>
      <c r="E9" s="774"/>
      <c r="F9" s="774"/>
      <c r="G9" s="774"/>
      <c r="H9" s="774"/>
      <c r="I9" s="774"/>
      <c r="J9" s="774"/>
      <c r="K9" s="774"/>
      <c r="L9" s="774"/>
      <c r="M9" s="774"/>
      <c r="N9" s="774"/>
      <c r="O9" s="774"/>
      <c r="P9" s="775"/>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177</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48"/>
      <c r="E13" s="749"/>
      <c r="F13" s="749"/>
      <c r="G13" s="749"/>
      <c r="H13" s="749"/>
      <c r="I13" s="749"/>
      <c r="J13" s="749"/>
      <c r="K13" s="749"/>
      <c r="L13" s="749"/>
      <c r="M13" s="749"/>
      <c r="N13" s="749"/>
      <c r="O13" s="749"/>
      <c r="P13" s="75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51" t="s">
        <v>19</v>
      </c>
      <c r="G14" s="751"/>
      <c r="H14" s="751"/>
      <c r="I14" s="751"/>
      <c r="J14" s="751"/>
      <c r="K14" s="751"/>
      <c r="L14" s="751"/>
      <c r="M14" s="751"/>
      <c r="N14" s="751"/>
      <c r="O14" s="751"/>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226</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2" t="s">
        <v>551</v>
      </c>
      <c r="W15" s="64"/>
      <c r="X15" s="64"/>
      <c r="Y15" s="64"/>
      <c r="Z15" s="64"/>
      <c r="AA15" s="64"/>
      <c r="AB15" s="64"/>
      <c r="AC15" s="64"/>
      <c r="AD15" s="130"/>
      <c r="AE15" s="130"/>
      <c r="AF15" s="130"/>
    </row>
    <row r="16" spans="1:33" s="28" customFormat="1" ht="15.75" hidden="1" customHeight="1" outlineLevel="1">
      <c r="A16" s="117"/>
      <c r="B16" s="334"/>
      <c r="C16" s="138"/>
      <c r="D16" s="36" t="s">
        <v>0</v>
      </c>
      <c r="E16" s="30" t="s">
        <v>226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48"/>
      <c r="E20" s="749"/>
      <c r="F20" s="749"/>
      <c r="G20" s="749"/>
      <c r="H20" s="749"/>
      <c r="I20" s="749"/>
      <c r="J20" s="749"/>
      <c r="K20" s="749"/>
      <c r="L20" s="749"/>
      <c r="M20" s="749"/>
      <c r="N20" s="749"/>
      <c r="O20" s="749"/>
      <c r="P20" s="750"/>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2" t="s">
        <v>551</v>
      </c>
      <c r="W22" s="64"/>
      <c r="X22" s="64"/>
      <c r="Y22" s="64"/>
      <c r="Z22" s="64"/>
      <c r="AA22" s="64"/>
      <c r="AB22" s="64"/>
      <c r="AC22" s="64"/>
      <c r="AD22" s="130"/>
      <c r="AE22" s="130"/>
      <c r="AF22" s="130"/>
    </row>
    <row r="23" spans="1:32" s="28" customFormat="1" ht="15.75" hidden="1" customHeight="1" outlineLevel="1">
      <c r="A23" s="117"/>
      <c r="B23" s="334"/>
      <c r="C23" s="138"/>
      <c r="D23" s="36"/>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67"/>
      <c r="F26" s="767"/>
      <c r="G26" s="767"/>
      <c r="H26" s="767"/>
      <c r="I26" s="767"/>
      <c r="J26" s="767"/>
      <c r="K26" s="767"/>
      <c r="L26" s="767"/>
      <c r="M26" s="767"/>
      <c r="N26" s="767"/>
      <c r="O26" s="767"/>
      <c r="P26" s="767"/>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73" t="str">
        <f>"Please suggest process improvements to the "&amp;D2&amp;" worksheet."</f>
        <v>Please suggest process improvements to the Compliance &amp; Enforcement worksheet.</v>
      </c>
      <c r="E27" s="673"/>
      <c r="F27" s="673"/>
      <c r="G27" s="673"/>
      <c r="H27" s="673"/>
      <c r="I27" s="673"/>
      <c r="J27" s="673"/>
      <c r="K27" s="673"/>
      <c r="L27" s="673"/>
      <c r="M27" s="673"/>
      <c r="N27" s="673"/>
      <c r="O27" s="673"/>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70"/>
      <c r="E28" s="671"/>
      <c r="F28" s="671"/>
      <c r="G28" s="671"/>
      <c r="H28" s="671"/>
      <c r="I28" s="671"/>
      <c r="J28" s="671"/>
      <c r="K28" s="671"/>
      <c r="L28" s="671"/>
      <c r="M28" s="671"/>
      <c r="N28" s="671"/>
      <c r="O28" s="671"/>
      <c r="P28" s="672"/>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8.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V32" sqref="V3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621</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78</v>
      </c>
      <c r="E2" s="742" t="str">
        <f>R.1MediaAndLongName</f>
        <v xml:space="preserve">AQ LRAPA - 2010 Industrial Streamlining </v>
      </c>
      <c r="F2" s="742"/>
      <c r="G2" s="742"/>
      <c r="H2" s="742"/>
      <c r="I2" s="742"/>
      <c r="J2" s="742"/>
      <c r="K2" s="742"/>
      <c r="L2" s="742"/>
      <c r="M2" s="742"/>
      <c r="N2" s="742"/>
      <c r="O2" s="742"/>
      <c r="P2" s="742"/>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78" t="s">
        <v>85</v>
      </c>
      <c r="E3" s="778"/>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28" t="s">
        <v>58</v>
      </c>
      <c r="N4" s="728"/>
      <c r="O4" s="728"/>
      <c r="P4" s="728"/>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56</v>
      </c>
      <c r="E5" s="81">
        <f>S4</f>
        <v>0</v>
      </c>
      <c r="F5" s="729" t="s">
        <v>55</v>
      </c>
      <c r="G5" s="729"/>
      <c r="H5" s="729"/>
      <c r="I5" s="729"/>
      <c r="J5" s="729"/>
      <c r="K5" s="729"/>
      <c r="L5" s="729"/>
      <c r="M5" s="730" t="str">
        <f>S5</f>
        <v>0</v>
      </c>
      <c r="N5" s="730"/>
      <c r="O5" s="730"/>
      <c r="P5" s="730"/>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69</v>
      </c>
      <c r="E6" s="98">
        <f>R.AvgHrDEQCost</f>
        <v>58</v>
      </c>
      <c r="F6" s="729" t="s">
        <v>59</v>
      </c>
      <c r="G6" s="729"/>
      <c r="H6" s="729"/>
      <c r="I6" s="729"/>
      <c r="J6" s="729"/>
      <c r="K6" s="729"/>
      <c r="L6" s="729"/>
      <c r="M6" s="731" t="str">
        <f>S6</f>
        <v>$0</v>
      </c>
      <c r="N6" s="731"/>
      <c r="O6" s="731"/>
      <c r="P6" s="731"/>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59" t="s">
        <v>247</v>
      </c>
      <c r="E8" s="760"/>
      <c r="F8" s="760"/>
      <c r="G8" s="760"/>
      <c r="H8" s="760"/>
      <c r="I8" s="760"/>
      <c r="J8" s="760"/>
      <c r="K8" s="760"/>
      <c r="L8" s="760"/>
      <c r="M8" s="760"/>
      <c r="N8" s="760"/>
      <c r="O8" s="760"/>
      <c r="P8" s="761"/>
      <c r="Q8" s="156"/>
      <c r="R8" s="334"/>
      <c r="S8"/>
      <c r="T8" s="493"/>
      <c r="U8" s="493"/>
      <c r="V8" s="120"/>
      <c r="W8" s="436"/>
      <c r="X8" s="436"/>
      <c r="Y8" s="436"/>
      <c r="Z8" s="436"/>
      <c r="AA8" s="436"/>
      <c r="AB8" s="436"/>
      <c r="AC8" s="436"/>
      <c r="AD8" s="66"/>
      <c r="AE8" s="66"/>
      <c r="AF8" s="66"/>
    </row>
    <row r="9" spans="1:33" s="6" customFormat="1" ht="20.25" customHeight="1">
      <c r="A9" s="316"/>
      <c r="B9" s="334"/>
      <c r="C9" s="155"/>
      <c r="D9" s="776" t="s">
        <v>503</v>
      </c>
      <c r="E9" s="776"/>
      <c r="F9" s="776"/>
      <c r="G9" s="776"/>
      <c r="H9" s="776"/>
      <c r="I9" s="776"/>
      <c r="J9" s="776"/>
      <c r="K9" s="776"/>
      <c r="L9" s="776"/>
      <c r="M9" s="776"/>
      <c r="N9" s="776"/>
      <c r="O9" s="776"/>
      <c r="P9" s="776"/>
      <c r="Q9" s="156"/>
      <c r="R9" s="334"/>
      <c r="T9" s="493"/>
      <c r="U9" s="493"/>
      <c r="V9" s="120"/>
      <c r="W9" s="436"/>
      <c r="X9" s="436"/>
      <c r="Y9" s="436"/>
      <c r="Z9" s="436"/>
      <c r="AA9" s="436"/>
      <c r="AB9" s="436"/>
      <c r="AC9" s="436"/>
      <c r="AD9" s="66"/>
      <c r="AE9" s="66"/>
      <c r="AF9" s="66"/>
    </row>
    <row r="10" spans="1:33" s="28" customFormat="1" ht="15.75" customHeight="1">
      <c r="A10" s="345"/>
      <c r="B10" s="440"/>
      <c r="C10" s="138"/>
      <c r="D10" s="773" t="s">
        <v>466</v>
      </c>
      <c r="E10" s="774"/>
      <c r="F10" s="774"/>
      <c r="G10" s="774"/>
      <c r="H10" s="774"/>
      <c r="I10" s="774"/>
      <c r="J10" s="774"/>
      <c r="K10" s="774"/>
      <c r="L10" s="774"/>
      <c r="M10" s="774"/>
      <c r="N10" s="774"/>
      <c r="O10" s="774"/>
      <c r="P10" s="775"/>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48"/>
      <c r="E14" s="749"/>
      <c r="F14" s="749"/>
      <c r="G14" s="749"/>
      <c r="H14" s="749"/>
      <c r="I14" s="749"/>
      <c r="J14" s="749"/>
      <c r="K14" s="749"/>
      <c r="L14" s="749"/>
      <c r="M14" s="749"/>
      <c r="N14" s="749"/>
      <c r="O14" s="749"/>
      <c r="P14" s="750"/>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61</v>
      </c>
      <c r="E15" s="393" t="s">
        <v>18</v>
      </c>
      <c r="F15" s="762" t="s">
        <v>19</v>
      </c>
      <c r="G15" s="762"/>
      <c r="H15" s="762"/>
      <c r="I15" s="762"/>
      <c r="J15" s="762"/>
      <c r="K15" s="762"/>
      <c r="L15" s="762"/>
      <c r="M15" s="762"/>
      <c r="N15" s="762"/>
      <c r="O15" s="762"/>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2" t="s">
        <v>551</v>
      </c>
      <c r="W16" s="64"/>
      <c r="X16" s="64"/>
      <c r="Y16" s="64"/>
      <c r="Z16" s="64"/>
      <c r="AA16" s="64"/>
      <c r="AB16" s="64"/>
      <c r="AC16" s="64"/>
      <c r="AD16" s="130"/>
      <c r="AE16" s="130"/>
      <c r="AF16" s="130"/>
    </row>
    <row r="17" spans="1:32" s="28" customFormat="1" ht="15.75" hidden="1" customHeight="1" outlineLevel="1">
      <c r="A17" s="117"/>
      <c r="B17" s="334"/>
      <c r="C17" s="138"/>
      <c r="D17" s="542"/>
      <c r="E17" s="30" t="s">
        <v>226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226</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226</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63"/>
      <c r="E21" s="764"/>
      <c r="F21" s="764"/>
      <c r="G21" s="764"/>
      <c r="H21" s="764"/>
      <c r="I21" s="764"/>
      <c r="J21" s="764"/>
      <c r="K21" s="764"/>
      <c r="L21" s="764"/>
      <c r="M21" s="764"/>
      <c r="N21" s="764"/>
      <c r="O21" s="764"/>
      <c r="P21" s="765"/>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77" t="s">
        <v>19</v>
      </c>
      <c r="G22" s="777"/>
      <c r="H22" s="777"/>
      <c r="I22" s="777"/>
      <c r="J22" s="777"/>
      <c r="K22" s="777"/>
      <c r="L22" s="777"/>
      <c r="M22" s="777"/>
      <c r="N22" s="777"/>
      <c r="O22" s="777"/>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2" t="s">
        <v>551</v>
      </c>
      <c r="W23" s="64"/>
      <c r="X23" s="64"/>
      <c r="Y23" s="64"/>
      <c r="Z23" s="64"/>
      <c r="AA23" s="64"/>
      <c r="AB23" s="64"/>
      <c r="AC23" s="64"/>
      <c r="AD23" s="130"/>
      <c r="AE23" s="130"/>
      <c r="AF23" s="130"/>
    </row>
    <row r="24" spans="1:32" s="28" customFormat="1" ht="15.75" hidden="1" customHeight="1" outlineLevel="1">
      <c r="A24" s="117"/>
      <c r="B24" s="334"/>
      <c r="C24" s="138"/>
      <c r="D24" s="542"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226</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67"/>
      <c r="F27" s="767"/>
      <c r="G27" s="767"/>
      <c r="H27" s="767"/>
      <c r="I27" s="767"/>
      <c r="J27" s="767"/>
      <c r="K27" s="767"/>
      <c r="L27" s="767"/>
      <c r="M27" s="767"/>
      <c r="N27" s="767"/>
      <c r="O27" s="767"/>
      <c r="P27" s="767"/>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48"/>
      <c r="E30" s="749"/>
      <c r="F30" s="749"/>
      <c r="G30" s="749"/>
      <c r="H30" s="749"/>
      <c r="I30" s="749"/>
      <c r="J30" s="749"/>
      <c r="K30" s="749"/>
      <c r="L30" s="749"/>
      <c r="M30" s="749"/>
      <c r="N30" s="749"/>
      <c r="O30" s="749"/>
      <c r="P30" s="750"/>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77" t="s">
        <v>19</v>
      </c>
      <c r="G31" s="777"/>
      <c r="H31" s="777"/>
      <c r="I31" s="777"/>
      <c r="J31" s="777"/>
      <c r="K31" s="777"/>
      <c r="L31" s="777"/>
      <c r="M31" s="777"/>
      <c r="N31" s="777"/>
      <c r="O31" s="777"/>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226</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2" t="s">
        <v>551</v>
      </c>
      <c r="W32" s="64"/>
      <c r="X32" s="64"/>
      <c r="Y32" s="64"/>
      <c r="Z32" s="64"/>
      <c r="AA32" s="64"/>
      <c r="AB32" s="64"/>
      <c r="AC32" s="64"/>
      <c r="AD32" s="130"/>
      <c r="AE32" s="130"/>
      <c r="AF32" s="130"/>
    </row>
    <row r="33" spans="1:32" s="28" customFormat="1" ht="15.75" hidden="1" customHeight="1" outlineLevel="1">
      <c r="A33" s="117"/>
      <c r="B33" s="334"/>
      <c r="C33" s="138"/>
      <c r="D33" s="542" t="s">
        <v>0</v>
      </c>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226</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53"/>
      <c r="E37" s="754"/>
      <c r="F37" s="754"/>
      <c r="G37" s="754"/>
      <c r="H37" s="754"/>
      <c r="I37" s="754"/>
      <c r="J37" s="754"/>
      <c r="K37" s="754"/>
      <c r="L37" s="754"/>
      <c r="M37" s="754"/>
      <c r="N37" s="754"/>
      <c r="O37" s="754"/>
      <c r="P37" s="755"/>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77" t="s">
        <v>19</v>
      </c>
      <c r="G38" s="777"/>
      <c r="H38" s="777"/>
      <c r="I38" s="777"/>
      <c r="J38" s="777"/>
      <c r="K38" s="777"/>
      <c r="L38" s="777"/>
      <c r="M38" s="777"/>
      <c r="N38" s="777"/>
      <c r="O38" s="777"/>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226</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2" t="s">
        <v>551</v>
      </c>
      <c r="W39" s="64"/>
      <c r="X39" s="64"/>
      <c r="Y39" s="64"/>
      <c r="Z39" s="64"/>
      <c r="AA39" s="64"/>
      <c r="AB39" s="64"/>
      <c r="AC39" s="64"/>
      <c r="AD39" s="130"/>
      <c r="AE39" s="130"/>
      <c r="AF39" s="130"/>
    </row>
    <row r="40" spans="1:32" s="28" customFormat="1" ht="15.75" hidden="1" customHeight="1" outlineLevel="1">
      <c r="A40" s="117"/>
      <c r="B40" s="334"/>
      <c r="C40" s="138"/>
      <c r="D40" s="542"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226</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67"/>
      <c r="F43" s="767"/>
      <c r="G43" s="767"/>
      <c r="H43" s="767"/>
      <c r="I43" s="767"/>
      <c r="J43" s="767"/>
      <c r="K43" s="767"/>
      <c r="L43" s="767"/>
      <c r="M43" s="767"/>
      <c r="N43" s="767"/>
      <c r="O43" s="767"/>
      <c r="P43" s="767"/>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48"/>
      <c r="E46" s="749"/>
      <c r="F46" s="749"/>
      <c r="G46" s="749"/>
      <c r="H46" s="749"/>
      <c r="I46" s="749"/>
      <c r="J46" s="749"/>
      <c r="K46" s="749"/>
      <c r="L46" s="749"/>
      <c r="M46" s="749"/>
      <c r="N46" s="749"/>
      <c r="O46" s="749"/>
      <c r="P46" s="750"/>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61</v>
      </c>
      <c r="E47" s="393" t="s">
        <v>18</v>
      </c>
      <c r="F47" s="762" t="s">
        <v>19</v>
      </c>
      <c r="G47" s="762"/>
      <c r="H47" s="762"/>
      <c r="I47" s="762"/>
      <c r="J47" s="762"/>
      <c r="K47" s="762"/>
      <c r="L47" s="762"/>
      <c r="M47" s="762"/>
      <c r="N47" s="762"/>
      <c r="O47" s="762"/>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226</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2" t="s">
        <v>551</v>
      </c>
      <c r="W48" s="64"/>
      <c r="X48" s="64"/>
      <c r="Y48" s="64"/>
      <c r="Z48" s="64"/>
      <c r="AA48" s="64"/>
      <c r="AB48" s="64"/>
      <c r="AC48" s="64"/>
      <c r="AD48" s="130"/>
      <c r="AE48" s="130"/>
      <c r="AF48" s="130"/>
    </row>
    <row r="49" spans="1:32" s="28" customFormat="1" ht="15.75" hidden="1" customHeight="1" outlineLevel="1">
      <c r="A49" s="117"/>
      <c r="B49" s="334"/>
      <c r="C49" s="138"/>
      <c r="D49" s="541"/>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226</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63"/>
      <c r="E53" s="764"/>
      <c r="F53" s="764"/>
      <c r="G53" s="764"/>
      <c r="H53" s="764"/>
      <c r="I53" s="764"/>
      <c r="J53" s="764"/>
      <c r="K53" s="764"/>
      <c r="L53" s="764"/>
      <c r="M53" s="764"/>
      <c r="N53" s="764"/>
      <c r="O53" s="764"/>
      <c r="P53" s="765"/>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77" t="s">
        <v>19</v>
      </c>
      <c r="G54" s="777"/>
      <c r="H54" s="777"/>
      <c r="I54" s="777"/>
      <c r="J54" s="777"/>
      <c r="K54" s="777"/>
      <c r="L54" s="777"/>
      <c r="M54" s="777"/>
      <c r="N54" s="777"/>
      <c r="O54" s="777"/>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2" t="s">
        <v>551</v>
      </c>
      <c r="W55" s="64"/>
      <c r="X55" s="64"/>
      <c r="Y55" s="64"/>
      <c r="Z55" s="64"/>
      <c r="AA55" s="64"/>
      <c r="AB55" s="64"/>
      <c r="AC55" s="64"/>
      <c r="AD55" s="130"/>
      <c r="AE55" s="130"/>
      <c r="AF55" s="130"/>
    </row>
    <row r="56" spans="1:32" s="28" customFormat="1" ht="15.75" hidden="1" customHeight="1" outlineLevel="1">
      <c r="A56" s="117"/>
      <c r="B56" s="334"/>
      <c r="C56" s="138"/>
      <c r="D56" s="541"/>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226</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67"/>
      <c r="F59" s="767"/>
      <c r="G59" s="767"/>
      <c r="H59" s="767"/>
      <c r="I59" s="767"/>
      <c r="J59" s="767"/>
      <c r="K59" s="767"/>
      <c r="L59" s="767"/>
      <c r="M59" s="767"/>
      <c r="N59" s="767"/>
      <c r="O59" s="767"/>
      <c r="P59" s="767"/>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73" t="str">
        <f>"Please suggest process improvements to the "&amp;D2&amp;" worksheet."</f>
        <v>Please suggest process improvements to the LEAD worksheet.</v>
      </c>
      <c r="E60" s="673"/>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70"/>
      <c r="E61" s="671"/>
      <c r="F61" s="671"/>
      <c r="G61" s="671"/>
      <c r="H61" s="671"/>
      <c r="I61" s="671"/>
      <c r="J61" s="671"/>
      <c r="K61" s="671"/>
      <c r="L61" s="671"/>
      <c r="M61" s="671"/>
      <c r="N61" s="671"/>
      <c r="O61" s="671"/>
      <c r="P61" s="672"/>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9.xml><?xml version="1.0" encoding="utf-8"?>
<worksheet xmlns="http://schemas.openxmlformats.org/spreadsheetml/2006/main" xmlns:r="http://schemas.openxmlformats.org/officeDocument/2006/relationships">
  <sheetPr codeName="Sheet19"/>
  <dimension ref="A1:AG116"/>
  <sheetViews>
    <sheetView showGridLines="0" zoomScaleNormal="100" workbookViewId="0"/>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621</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87</v>
      </c>
      <c r="E2" s="742" t="str">
        <f>R.1MediaAndLongName</f>
        <v xml:space="preserve">AQ LRAPA - 2010 Industrial Streamlining </v>
      </c>
      <c r="F2" s="742"/>
      <c r="G2" s="742"/>
      <c r="H2" s="742"/>
      <c r="I2" s="742"/>
      <c r="J2" s="742"/>
      <c r="K2" s="742"/>
      <c r="L2" s="742"/>
      <c r="M2" s="742"/>
      <c r="N2" s="742"/>
      <c r="O2" s="742"/>
      <c r="P2" s="742"/>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28" t="s">
        <v>58</v>
      </c>
      <c r="N3" s="728"/>
      <c r="O3" s="728"/>
      <c r="P3" s="728"/>
      <c r="Q3" s="156"/>
      <c r="R3" s="334"/>
      <c r="S3" s="121">
        <f>COUNTIFS(S15:S105,"&gt;0")</f>
        <v>2</v>
      </c>
      <c r="T3" s="124">
        <f>SUM(T15:T105)</f>
        <v>2</v>
      </c>
      <c r="U3" s="124">
        <f>SUM(U15:U105)</f>
        <v>16</v>
      </c>
      <c r="V3" s="120"/>
      <c r="W3" s="64"/>
      <c r="X3" s="64"/>
      <c r="Y3" s="64"/>
      <c r="Z3" s="64"/>
      <c r="AA3" s="64"/>
      <c r="AB3" s="64"/>
      <c r="AC3" s="64"/>
      <c r="AD3" s="66"/>
      <c r="AE3" s="66"/>
      <c r="AF3" s="66"/>
      <c r="AG3" s="66"/>
    </row>
    <row r="4" spans="1:33" s="6" customFormat="1" ht="20.25" customHeight="1">
      <c r="A4" s="114"/>
      <c r="B4" s="334"/>
      <c r="C4" s="155"/>
      <c r="D4" s="494" t="s">
        <v>56</v>
      </c>
      <c r="E4" s="81">
        <f>S3</f>
        <v>2</v>
      </c>
      <c r="F4" s="729" t="s">
        <v>55</v>
      </c>
      <c r="G4" s="729"/>
      <c r="H4" s="729"/>
      <c r="I4" s="729"/>
      <c r="J4" s="729"/>
      <c r="K4" s="729"/>
      <c r="L4" s="729"/>
      <c r="M4" s="730" t="str">
        <f>S4</f>
        <v>2-16</v>
      </c>
      <c r="N4" s="730"/>
      <c r="O4" s="730"/>
      <c r="P4" s="730"/>
      <c r="Q4" s="156"/>
      <c r="R4" s="334"/>
      <c r="S4" s="122" t="str">
        <f>IF(R.14StaffCount=0,"0",IF(R.14LowHrs=0,"0-"&amp;TEXT(R.14HighHrs,"#,###"),TEXT(R.14LowHrs,"#,###")&amp;"-"&amp;TEXT(R.14HighHrs,"#,###")))</f>
        <v>2-16</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68</v>
      </c>
      <c r="E5" s="98">
        <f>R.AvgHrDEQCost</f>
        <v>58</v>
      </c>
      <c r="F5" s="729" t="s">
        <v>59</v>
      </c>
      <c r="G5" s="729"/>
      <c r="H5" s="729"/>
      <c r="I5" s="729"/>
      <c r="J5" s="729"/>
      <c r="K5" s="729"/>
      <c r="L5" s="729"/>
      <c r="M5" s="731" t="str">
        <f>S5</f>
        <v>$116-928</v>
      </c>
      <c r="N5" s="731"/>
      <c r="O5" s="731"/>
      <c r="P5" s="731"/>
      <c r="Q5" s="156"/>
      <c r="R5" s="334"/>
      <c r="S5" s="122" t="str">
        <f>IF(R.14StaffCount=0,"$0",IF(R.14LowDollars=0,"$0-"&amp;TEXT(R.14HighDollars,"#,###"),TEXT(R.14LowDollars,"$#,###")&amp;"-"&amp;TEXT(R.14HighDollars,"#,###")))</f>
        <v>$116-928</v>
      </c>
      <c r="T5" s="124">
        <f>T3*E5</f>
        <v>116</v>
      </c>
      <c r="U5" s="124">
        <f>U3*E5</f>
        <v>928</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59" t="s">
        <v>589</v>
      </c>
      <c r="E7" s="760"/>
      <c r="F7" s="760"/>
      <c r="G7" s="760"/>
      <c r="H7" s="760"/>
      <c r="I7" s="760"/>
      <c r="J7" s="760"/>
      <c r="K7" s="760"/>
      <c r="L7" s="760"/>
      <c r="M7" s="760"/>
      <c r="N7" s="760"/>
      <c r="O7" s="760"/>
      <c r="P7" s="761"/>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76" t="s">
        <v>498</v>
      </c>
      <c r="E8" s="776"/>
      <c r="F8" s="776"/>
      <c r="G8" s="776"/>
      <c r="H8" s="776"/>
      <c r="I8" s="776"/>
      <c r="J8" s="776"/>
      <c r="K8" s="776"/>
      <c r="L8" s="776"/>
      <c r="M8" s="776"/>
      <c r="N8" s="776"/>
      <c r="O8" s="776"/>
      <c r="P8" s="776"/>
      <c r="Q8" s="156"/>
      <c r="R8" s="334"/>
      <c r="T8" s="493"/>
      <c r="U8" s="493"/>
      <c r="V8" s="120"/>
      <c r="W8" s="436"/>
      <c r="X8" s="436"/>
      <c r="Y8" s="436"/>
      <c r="Z8" s="436"/>
      <c r="AA8" s="436"/>
      <c r="AB8" s="436"/>
      <c r="AC8" s="436"/>
      <c r="AD8" s="66"/>
      <c r="AE8" s="66"/>
      <c r="AF8" s="66"/>
    </row>
    <row r="9" spans="1:33" s="28" customFormat="1" ht="15.75" customHeight="1">
      <c r="A9" s="345"/>
      <c r="B9" s="440"/>
      <c r="C9" s="138"/>
      <c r="D9" s="773" t="s">
        <v>0</v>
      </c>
      <c r="E9" s="774"/>
      <c r="F9" s="774"/>
      <c r="G9" s="774"/>
      <c r="H9" s="774"/>
      <c r="I9" s="774"/>
      <c r="J9" s="774"/>
      <c r="K9" s="774"/>
      <c r="L9" s="774"/>
      <c r="M9" s="774"/>
      <c r="N9" s="774"/>
      <c r="O9" s="774"/>
      <c r="P9" s="775"/>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48" t="s">
        <v>628</v>
      </c>
      <c r="E13" s="749"/>
      <c r="F13" s="749"/>
      <c r="G13" s="749"/>
      <c r="H13" s="749"/>
      <c r="I13" s="749"/>
      <c r="J13" s="749"/>
      <c r="K13" s="749"/>
      <c r="L13" s="749"/>
      <c r="M13" s="749"/>
      <c r="N13" s="749"/>
      <c r="O13" s="749"/>
      <c r="P13" s="750"/>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61</v>
      </c>
      <c r="E14" s="393" t="s">
        <v>18</v>
      </c>
      <c r="F14" s="762" t="s">
        <v>19</v>
      </c>
      <c r="G14" s="762"/>
      <c r="H14" s="762"/>
      <c r="I14" s="762"/>
      <c r="J14" s="762"/>
      <c r="K14" s="762"/>
      <c r="L14" s="762"/>
      <c r="M14" s="762"/>
      <c r="N14" s="762"/>
      <c r="O14" s="762"/>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t="s">
        <v>629</v>
      </c>
      <c r="E15" s="30" t="s">
        <v>226</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2" t="s">
        <v>551</v>
      </c>
      <c r="W15" s="64"/>
      <c r="Y15" s="64"/>
      <c r="Z15" s="64"/>
      <c r="AA15" s="64"/>
      <c r="AB15" s="64"/>
      <c r="AC15" s="64"/>
      <c r="AD15" s="130"/>
      <c r="AE15" s="130"/>
      <c r="AF15" s="130"/>
      <c r="AG15" s="130"/>
    </row>
    <row r="16" spans="1:33" s="28" customFormat="1" ht="15.75" customHeight="1" outlineLevel="1">
      <c r="A16" s="117"/>
      <c r="B16" s="334"/>
      <c r="C16" s="138"/>
      <c r="D16" s="36" t="s">
        <v>630</v>
      </c>
      <c r="E16" s="30" t="s">
        <v>228</v>
      </c>
      <c r="F16" s="71">
        <v>1</v>
      </c>
      <c r="G16" s="72">
        <v>2</v>
      </c>
      <c r="H16" s="73">
        <v>3</v>
      </c>
      <c r="I16" s="74">
        <v>4</v>
      </c>
      <c r="J16" s="75">
        <v>5</v>
      </c>
      <c r="K16" s="76">
        <v>6</v>
      </c>
      <c r="L16" s="77">
        <v>7</v>
      </c>
      <c r="M16" s="78">
        <v>8</v>
      </c>
      <c r="N16" s="79">
        <v>9</v>
      </c>
      <c r="O16" s="80">
        <v>10</v>
      </c>
      <c r="P16" s="32" t="s">
        <v>15</v>
      </c>
      <c r="Q16" s="139"/>
      <c r="R16" s="334"/>
      <c r="S16" s="133">
        <f>VLOOKUP($E16,R.VL_DEQResourcesInvolved,2,FALSE)</f>
        <v>1</v>
      </c>
      <c r="T16" s="121">
        <f>VLOOKUP($E16,R.VL_DEQResourcesInvolved,3,FALSE)</f>
        <v>1</v>
      </c>
      <c r="U16" s="121">
        <f>IF(S16=10,T16,VLOOKUP($E16,R.VL_DEQResourcesInvolved,4,FALSE))</f>
        <v>8</v>
      </c>
      <c r="V16" s="64"/>
      <c r="W16" s="64"/>
      <c r="Y16" s="64"/>
      <c r="Z16" s="64"/>
      <c r="AA16" s="64"/>
      <c r="AB16" s="64"/>
      <c r="AC16" s="64"/>
      <c r="AD16" s="130"/>
      <c r="AE16" s="130"/>
      <c r="AF16" s="130"/>
      <c r="AG16" s="130"/>
    </row>
    <row r="17" spans="1:33" s="28" customFormat="1" ht="15.75" customHeight="1" outlineLevel="1">
      <c r="A17" s="117"/>
      <c r="B17" s="334"/>
      <c r="C17" s="138"/>
      <c r="D17" s="36" t="s">
        <v>0</v>
      </c>
      <c r="E17" s="30" t="s">
        <v>226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customHeight="1" outlineLevel="1">
      <c r="A18" s="117"/>
      <c r="B18" s="334"/>
      <c r="C18" s="138"/>
      <c r="D18" s="36" t="s">
        <v>0</v>
      </c>
      <c r="E18" s="30" t="s">
        <v>226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63"/>
      <c r="E20" s="764"/>
      <c r="F20" s="764"/>
      <c r="G20" s="764"/>
      <c r="H20" s="764"/>
      <c r="I20" s="764"/>
      <c r="J20" s="764"/>
      <c r="K20" s="764"/>
      <c r="L20" s="764"/>
      <c r="M20" s="764"/>
      <c r="N20" s="764"/>
      <c r="O20" s="764"/>
      <c r="P20" s="765"/>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77" t="s">
        <v>19</v>
      </c>
      <c r="G21" s="777"/>
      <c r="H21" s="777"/>
      <c r="I21" s="777"/>
      <c r="J21" s="777"/>
      <c r="K21" s="777"/>
      <c r="L21" s="777"/>
      <c r="M21" s="777"/>
      <c r="N21" s="777"/>
      <c r="O21" s="777"/>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551</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66"/>
      <c r="F26" s="766"/>
      <c r="G26" s="766"/>
      <c r="H26" s="766"/>
      <c r="I26" s="766"/>
      <c r="J26" s="766"/>
      <c r="K26" s="766"/>
      <c r="L26" s="766"/>
      <c r="M26" s="766"/>
      <c r="N26" s="766"/>
      <c r="O26" s="766"/>
      <c r="P26" s="766"/>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48" t="s">
        <v>631</v>
      </c>
      <c r="E29" s="749"/>
      <c r="F29" s="749"/>
      <c r="G29" s="749"/>
      <c r="H29" s="749"/>
      <c r="I29" s="749"/>
      <c r="J29" s="749"/>
      <c r="K29" s="749"/>
      <c r="L29" s="749"/>
      <c r="M29" s="749"/>
      <c r="N29" s="749"/>
      <c r="O29" s="749"/>
      <c r="P29" s="750"/>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77" t="s">
        <v>19</v>
      </c>
      <c r="G30" s="777"/>
      <c r="H30" s="777"/>
      <c r="I30" s="777"/>
      <c r="J30" s="777"/>
      <c r="K30" s="777"/>
      <c r="L30" s="777"/>
      <c r="M30" s="777"/>
      <c r="N30" s="777"/>
      <c r="O30" s="777"/>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632</v>
      </c>
      <c r="E31" s="30" t="s">
        <v>228</v>
      </c>
      <c r="F31" s="71">
        <v>1</v>
      </c>
      <c r="G31" s="72">
        <v>2</v>
      </c>
      <c r="H31" s="73">
        <v>3</v>
      </c>
      <c r="I31" s="74">
        <v>4</v>
      </c>
      <c r="J31" s="75">
        <v>5</v>
      </c>
      <c r="K31" s="76">
        <v>6</v>
      </c>
      <c r="L31" s="77">
        <v>7</v>
      </c>
      <c r="M31" s="78">
        <v>8</v>
      </c>
      <c r="N31" s="79">
        <v>9</v>
      </c>
      <c r="O31" s="80">
        <v>10</v>
      </c>
      <c r="P31" s="32" t="s">
        <v>15</v>
      </c>
      <c r="Q31" s="139"/>
      <c r="R31" s="334"/>
      <c r="S31" s="133">
        <f>VLOOKUP($E31,R.VL_DEQResourcesInvolved,2,FALSE)</f>
        <v>1</v>
      </c>
      <c r="T31" s="121">
        <f>VLOOKUP($E31,R.VL_DEQResourcesInvolved,3,FALSE)</f>
        <v>1</v>
      </c>
      <c r="U31" s="121">
        <f>IF(S31=10,T31,VLOOKUP($E31,R.VL_DEQResourcesInvolved,4,FALSE))</f>
        <v>8</v>
      </c>
      <c r="V31" s="572" t="s">
        <v>551</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53"/>
      <c r="E36" s="754"/>
      <c r="F36" s="754"/>
      <c r="G36" s="754"/>
      <c r="H36" s="754"/>
      <c r="I36" s="754"/>
      <c r="J36" s="754"/>
      <c r="K36" s="754"/>
      <c r="L36" s="754"/>
      <c r="M36" s="754"/>
      <c r="N36" s="754"/>
      <c r="O36" s="754"/>
      <c r="P36" s="755"/>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77" t="s">
        <v>19</v>
      </c>
      <c r="G37" s="777"/>
      <c r="H37" s="777"/>
      <c r="I37" s="777"/>
      <c r="J37" s="777"/>
      <c r="K37" s="777"/>
      <c r="L37" s="777"/>
      <c r="M37" s="777"/>
      <c r="N37" s="777"/>
      <c r="O37" s="777"/>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226</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2" t="s">
        <v>551</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67"/>
      <c r="F42" s="767"/>
      <c r="G42" s="767"/>
      <c r="H42" s="767"/>
      <c r="I42" s="767"/>
      <c r="J42" s="767"/>
      <c r="K42" s="767"/>
      <c r="L42" s="767"/>
      <c r="M42" s="767"/>
      <c r="N42" s="767"/>
      <c r="O42" s="767"/>
      <c r="P42" s="767"/>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48"/>
      <c r="E45" s="749"/>
      <c r="F45" s="749"/>
      <c r="G45" s="749"/>
      <c r="H45" s="749"/>
      <c r="I45" s="749"/>
      <c r="J45" s="749"/>
      <c r="K45" s="749"/>
      <c r="L45" s="749"/>
      <c r="M45" s="749"/>
      <c r="N45" s="749"/>
      <c r="O45" s="749"/>
      <c r="P45" s="750"/>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61</v>
      </c>
      <c r="E46" s="393" t="s">
        <v>18</v>
      </c>
      <c r="F46" s="762" t="s">
        <v>19</v>
      </c>
      <c r="G46" s="762"/>
      <c r="H46" s="762"/>
      <c r="I46" s="762"/>
      <c r="J46" s="762"/>
      <c r="K46" s="762"/>
      <c r="L46" s="762"/>
      <c r="M46" s="762"/>
      <c r="N46" s="762"/>
      <c r="O46" s="762"/>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2" t="s">
        <v>551</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63"/>
      <c r="E52" s="764"/>
      <c r="F52" s="764"/>
      <c r="G52" s="764"/>
      <c r="H52" s="764"/>
      <c r="I52" s="764"/>
      <c r="J52" s="764"/>
      <c r="K52" s="764"/>
      <c r="L52" s="764"/>
      <c r="M52" s="764"/>
      <c r="N52" s="764"/>
      <c r="O52" s="764"/>
      <c r="P52" s="765"/>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77" t="s">
        <v>19</v>
      </c>
      <c r="G53" s="777"/>
      <c r="H53" s="777"/>
      <c r="I53" s="777"/>
      <c r="J53" s="777"/>
      <c r="K53" s="777"/>
      <c r="L53" s="777"/>
      <c r="M53" s="777"/>
      <c r="N53" s="777"/>
      <c r="O53" s="777"/>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2" t="s">
        <v>551</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67"/>
      <c r="F58" s="767"/>
      <c r="G58" s="767"/>
      <c r="H58" s="767"/>
      <c r="I58" s="767"/>
      <c r="J58" s="767"/>
      <c r="K58" s="767"/>
      <c r="L58" s="767"/>
      <c r="M58" s="767"/>
      <c r="N58" s="767"/>
      <c r="O58" s="767"/>
      <c r="P58" s="767"/>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79"/>
      <c r="E61" s="780"/>
      <c r="F61" s="780"/>
      <c r="G61" s="780"/>
      <c r="H61" s="780"/>
      <c r="I61" s="780"/>
      <c r="J61" s="780"/>
      <c r="K61" s="780"/>
      <c r="L61" s="780"/>
      <c r="M61" s="780"/>
      <c r="N61" s="780"/>
      <c r="O61" s="780"/>
      <c r="P61" s="781"/>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77" t="s">
        <v>19</v>
      </c>
      <c r="G62" s="777"/>
      <c r="H62" s="777"/>
      <c r="I62" s="777"/>
      <c r="J62" s="777"/>
      <c r="K62" s="777"/>
      <c r="L62" s="777"/>
      <c r="M62" s="777"/>
      <c r="N62" s="777"/>
      <c r="O62" s="777"/>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226</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2" t="s">
        <v>551</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226</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53"/>
      <c r="E68" s="754"/>
      <c r="F68" s="754"/>
      <c r="G68" s="754"/>
      <c r="H68" s="754"/>
      <c r="I68" s="754"/>
      <c r="J68" s="754"/>
      <c r="K68" s="754"/>
      <c r="L68" s="754"/>
      <c r="M68" s="754"/>
      <c r="N68" s="754"/>
      <c r="O68" s="754"/>
      <c r="P68" s="755"/>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77" t="s">
        <v>19</v>
      </c>
      <c r="G69" s="777"/>
      <c r="H69" s="777"/>
      <c r="I69" s="777"/>
      <c r="J69" s="777"/>
      <c r="K69" s="777"/>
      <c r="L69" s="777"/>
      <c r="M69" s="777"/>
      <c r="N69" s="777"/>
      <c r="O69" s="777"/>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226</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2" t="s">
        <v>551</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226</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67"/>
      <c r="F74" s="767"/>
      <c r="G74" s="767"/>
      <c r="H74" s="767"/>
      <c r="I74" s="767"/>
      <c r="J74" s="767"/>
      <c r="K74" s="767"/>
      <c r="L74" s="767"/>
      <c r="M74" s="767"/>
      <c r="N74" s="767"/>
      <c r="O74" s="767"/>
      <c r="P74" s="767"/>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48"/>
      <c r="E77" s="749"/>
      <c r="F77" s="749"/>
      <c r="G77" s="749"/>
      <c r="H77" s="749"/>
      <c r="I77" s="749"/>
      <c r="J77" s="749"/>
      <c r="K77" s="749"/>
      <c r="L77" s="749"/>
      <c r="M77" s="749"/>
      <c r="N77" s="749"/>
      <c r="O77" s="749"/>
      <c r="P77" s="750"/>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61</v>
      </c>
      <c r="E78" s="393" t="s">
        <v>18</v>
      </c>
      <c r="F78" s="762" t="s">
        <v>19</v>
      </c>
      <c r="G78" s="762"/>
      <c r="H78" s="762"/>
      <c r="I78" s="762"/>
      <c r="J78" s="762"/>
      <c r="K78" s="762"/>
      <c r="L78" s="762"/>
      <c r="M78" s="762"/>
      <c r="N78" s="762"/>
      <c r="O78" s="762"/>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226</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2" t="s">
        <v>551</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226</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226</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226</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63"/>
      <c r="E84" s="764"/>
      <c r="F84" s="764"/>
      <c r="G84" s="764"/>
      <c r="H84" s="764"/>
      <c r="I84" s="764"/>
      <c r="J84" s="764"/>
      <c r="K84" s="764"/>
      <c r="L84" s="764"/>
      <c r="M84" s="764"/>
      <c r="N84" s="764"/>
      <c r="O84" s="764"/>
      <c r="P84" s="765"/>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77" t="s">
        <v>19</v>
      </c>
      <c r="G85" s="777"/>
      <c r="H85" s="777"/>
      <c r="I85" s="777"/>
      <c r="J85" s="777"/>
      <c r="K85" s="777"/>
      <c r="L85" s="777"/>
      <c r="M85" s="777"/>
      <c r="N85" s="777"/>
      <c r="O85" s="777"/>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226</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2" t="s">
        <v>551</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226</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226</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226</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67"/>
      <c r="F90" s="767"/>
      <c r="G90" s="767"/>
      <c r="H90" s="767"/>
      <c r="I90" s="767"/>
      <c r="J90" s="767"/>
      <c r="K90" s="767"/>
      <c r="L90" s="767"/>
      <c r="M90" s="767"/>
      <c r="N90" s="767"/>
      <c r="O90" s="767"/>
      <c r="P90" s="767"/>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48"/>
      <c r="E93" s="749"/>
      <c r="F93" s="749"/>
      <c r="G93" s="749"/>
      <c r="H93" s="749"/>
      <c r="I93" s="749"/>
      <c r="J93" s="749"/>
      <c r="K93" s="749"/>
      <c r="L93" s="749"/>
      <c r="M93" s="749"/>
      <c r="N93" s="749"/>
      <c r="O93" s="749"/>
      <c r="P93" s="750"/>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77" t="s">
        <v>19</v>
      </c>
      <c r="G94" s="777"/>
      <c r="H94" s="777"/>
      <c r="I94" s="777"/>
      <c r="J94" s="777"/>
      <c r="K94" s="777"/>
      <c r="L94" s="777"/>
      <c r="M94" s="777"/>
      <c r="N94" s="777"/>
      <c r="O94" s="777"/>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226</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2" t="s">
        <v>551</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226</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226</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226</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53"/>
      <c r="E100" s="754"/>
      <c r="F100" s="754"/>
      <c r="G100" s="754"/>
      <c r="H100" s="754"/>
      <c r="I100" s="754"/>
      <c r="J100" s="754"/>
      <c r="K100" s="754"/>
      <c r="L100" s="754"/>
      <c r="M100" s="754"/>
      <c r="N100" s="754"/>
      <c r="O100" s="754"/>
      <c r="P100" s="755"/>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77" t="s">
        <v>19</v>
      </c>
      <c r="G101" s="777"/>
      <c r="H101" s="777"/>
      <c r="I101" s="777"/>
      <c r="J101" s="777"/>
      <c r="K101" s="777"/>
      <c r="L101" s="777"/>
      <c r="M101" s="777"/>
      <c r="N101" s="777"/>
      <c r="O101" s="777"/>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226</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2" t="s">
        <v>551</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226</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226</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226</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67"/>
      <c r="F106" s="767"/>
      <c r="G106" s="767"/>
      <c r="H106" s="767"/>
      <c r="I106" s="767"/>
      <c r="J106" s="767"/>
      <c r="K106" s="767"/>
      <c r="L106" s="767"/>
      <c r="M106" s="767"/>
      <c r="N106" s="767"/>
      <c r="O106" s="767"/>
      <c r="P106" s="767"/>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73" t="str">
        <f>"Please suggest process improvements to the "&amp;D2&amp;" worksheet."</f>
        <v>Please suggest process improvements to the Intergovernmental worksheet.</v>
      </c>
      <c r="E107" s="673"/>
      <c r="F107" s="673"/>
      <c r="G107" s="673"/>
      <c r="H107" s="673"/>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70"/>
      <c r="E108" s="671"/>
      <c r="F108" s="671"/>
      <c r="G108" s="671"/>
      <c r="H108" s="671"/>
      <c r="I108" s="671"/>
      <c r="J108" s="671"/>
      <c r="K108" s="671"/>
      <c r="L108" s="671"/>
      <c r="M108" s="671"/>
      <c r="N108" s="671"/>
      <c r="O108" s="671"/>
      <c r="P108" s="672"/>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D52:P52"/>
    <mergeCell ref="D36:P36"/>
    <mergeCell ref="E42:P42"/>
    <mergeCell ref="D45:P45"/>
    <mergeCell ref="F46:O46"/>
    <mergeCell ref="F30:O30"/>
    <mergeCell ref="F37:O37"/>
    <mergeCell ref="D29:P29"/>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963" yWindow="707"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20.xml><?xml version="1.0" encoding="utf-8"?>
<worksheet xmlns="http://schemas.openxmlformats.org/spreadsheetml/2006/main" xmlns:r="http://schemas.openxmlformats.org/officeDocument/2006/relationships">
  <sheetPr codeName="Sheet20"/>
  <dimension ref="A1:AH82"/>
  <sheetViews>
    <sheetView showGridLines="0" tabSelected="1" zoomScaleNormal="100" workbookViewId="0"/>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621</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88</v>
      </c>
      <c r="E2" s="742" t="str">
        <f>R.1MediaAndLongName</f>
        <v xml:space="preserve">AQ LRAPA - 2010 Industrial Streamlining </v>
      </c>
      <c r="F2" s="742"/>
      <c r="G2" s="742"/>
      <c r="H2" s="742"/>
      <c r="I2" s="742"/>
      <c r="J2" s="742"/>
      <c r="K2" s="742"/>
      <c r="L2" s="742"/>
      <c r="M2" s="742"/>
      <c r="N2" s="742"/>
      <c r="O2" s="742"/>
      <c r="P2" s="742"/>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28" t="s">
        <v>58</v>
      </c>
      <c r="N3" s="728"/>
      <c r="O3" s="728"/>
      <c r="P3" s="728"/>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56</v>
      </c>
      <c r="E4" s="81">
        <f>T3</f>
        <v>0</v>
      </c>
      <c r="F4" s="729" t="s">
        <v>55</v>
      </c>
      <c r="G4" s="729"/>
      <c r="H4" s="729"/>
      <c r="I4" s="729"/>
      <c r="J4" s="729"/>
      <c r="K4" s="729"/>
      <c r="L4" s="729"/>
      <c r="M4" s="730" t="str">
        <f>T4</f>
        <v>0</v>
      </c>
      <c r="N4" s="730"/>
      <c r="O4" s="730"/>
      <c r="P4" s="730"/>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68</v>
      </c>
      <c r="E5" s="98">
        <f>R.AvgHrDEQCost</f>
        <v>58</v>
      </c>
      <c r="F5" s="729" t="s">
        <v>59</v>
      </c>
      <c r="G5" s="729"/>
      <c r="H5" s="729"/>
      <c r="I5" s="729"/>
      <c r="J5" s="729"/>
      <c r="K5" s="729"/>
      <c r="L5" s="729"/>
      <c r="M5" s="731" t="str">
        <f>T5</f>
        <v>$0</v>
      </c>
      <c r="N5" s="731"/>
      <c r="O5" s="731"/>
      <c r="P5" s="731"/>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23"/>
      <c r="E7" s="724"/>
      <c r="F7" s="724"/>
      <c r="G7" s="724"/>
      <c r="H7" s="724"/>
      <c r="I7" s="724"/>
      <c r="J7" s="724"/>
      <c r="K7" s="724"/>
      <c r="L7" s="724"/>
      <c r="M7" s="724"/>
      <c r="N7" s="724"/>
      <c r="O7" s="724"/>
      <c r="P7" s="725"/>
      <c r="Q7" s="158"/>
      <c r="R7" s="334"/>
      <c r="S7" s="125"/>
      <c r="T7" s="741" t="s">
        <v>0</v>
      </c>
      <c r="U7" s="741"/>
      <c r="V7" s="741"/>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238</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48"/>
      <c r="E11" s="749"/>
      <c r="F11" s="749"/>
      <c r="G11" s="749"/>
      <c r="H11" s="749"/>
      <c r="I11" s="749"/>
      <c r="J11" s="749"/>
      <c r="K11" s="749"/>
      <c r="L11" s="749"/>
      <c r="M11" s="749"/>
      <c r="N11" s="749"/>
      <c r="O11" s="749"/>
      <c r="P11" s="750"/>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61</v>
      </c>
      <c r="E12" s="393" t="s">
        <v>18</v>
      </c>
      <c r="F12" s="762" t="s">
        <v>19</v>
      </c>
      <c r="G12" s="762"/>
      <c r="H12" s="762"/>
      <c r="I12" s="762"/>
      <c r="J12" s="762"/>
      <c r="K12" s="762"/>
      <c r="L12" s="762"/>
      <c r="M12" s="762"/>
      <c r="N12" s="762"/>
      <c r="O12" s="762"/>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226</v>
      </c>
      <c r="F13" s="71">
        <v>1</v>
      </c>
      <c r="G13" s="72">
        <v>2</v>
      </c>
      <c r="H13" s="73">
        <v>3</v>
      </c>
      <c r="I13" s="74">
        <v>4</v>
      </c>
      <c r="J13" s="75">
        <v>5</v>
      </c>
      <c r="K13" s="76">
        <v>6</v>
      </c>
      <c r="L13" s="77">
        <v>7</v>
      </c>
      <c r="M13" s="78">
        <v>8</v>
      </c>
      <c r="N13" s="79">
        <v>9</v>
      </c>
      <c r="O13" s="80">
        <v>10</v>
      </c>
      <c r="P13" s="32"/>
      <c r="Q13" s="139"/>
      <c r="R13" s="334"/>
      <c r="S13" s="572" t="s">
        <v>551</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226</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226</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226</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53</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63"/>
      <c r="E18" s="764"/>
      <c r="F18" s="764"/>
      <c r="G18" s="764"/>
      <c r="H18" s="764"/>
      <c r="I18" s="764"/>
      <c r="J18" s="764"/>
      <c r="K18" s="764"/>
      <c r="L18" s="764"/>
      <c r="M18" s="764"/>
      <c r="N18" s="764"/>
      <c r="O18" s="764"/>
      <c r="P18" s="765"/>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77" t="s">
        <v>19</v>
      </c>
      <c r="G19" s="777"/>
      <c r="H19" s="777"/>
      <c r="I19" s="777"/>
      <c r="J19" s="777"/>
      <c r="K19" s="777"/>
      <c r="L19" s="777"/>
      <c r="M19" s="777"/>
      <c r="N19" s="777"/>
      <c r="O19" s="777"/>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226</v>
      </c>
      <c r="F20" s="71">
        <v>1</v>
      </c>
      <c r="G20" s="72">
        <v>2</v>
      </c>
      <c r="H20" s="73">
        <v>3</v>
      </c>
      <c r="I20" s="74">
        <v>4</v>
      </c>
      <c r="J20" s="75">
        <v>5</v>
      </c>
      <c r="K20" s="76">
        <v>6</v>
      </c>
      <c r="L20" s="77">
        <v>7</v>
      </c>
      <c r="M20" s="78">
        <v>8</v>
      </c>
      <c r="N20" s="79">
        <v>9</v>
      </c>
      <c r="O20" s="80">
        <v>10</v>
      </c>
      <c r="P20" s="32" t="s">
        <v>0</v>
      </c>
      <c r="Q20" s="139"/>
      <c r="R20" s="334"/>
      <c r="S20" s="572" t="s">
        <v>551</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226</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226</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226</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67"/>
      <c r="F24" s="767"/>
      <c r="G24" s="767"/>
      <c r="H24" s="767"/>
      <c r="I24" s="767"/>
      <c r="J24" s="767"/>
      <c r="K24" s="767"/>
      <c r="L24" s="767"/>
      <c r="M24" s="767"/>
      <c r="N24" s="767"/>
      <c r="O24" s="767"/>
      <c r="P24" s="767"/>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239</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48"/>
      <c r="E27" s="749"/>
      <c r="F27" s="749"/>
      <c r="G27" s="749"/>
      <c r="H27" s="749"/>
      <c r="I27" s="749"/>
      <c r="J27" s="749"/>
      <c r="K27" s="749"/>
      <c r="L27" s="749"/>
      <c r="M27" s="749"/>
      <c r="N27" s="749"/>
      <c r="O27" s="749"/>
      <c r="P27" s="750"/>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77" t="s">
        <v>19</v>
      </c>
      <c r="G28" s="777"/>
      <c r="H28" s="777"/>
      <c r="I28" s="777"/>
      <c r="J28" s="777"/>
      <c r="K28" s="777"/>
      <c r="L28" s="777"/>
      <c r="M28" s="777"/>
      <c r="N28" s="777"/>
      <c r="O28" s="777"/>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226</v>
      </c>
      <c r="F29" s="71">
        <v>1</v>
      </c>
      <c r="G29" s="72">
        <v>2</v>
      </c>
      <c r="H29" s="73">
        <v>3</v>
      </c>
      <c r="I29" s="74">
        <v>4</v>
      </c>
      <c r="J29" s="75">
        <v>5</v>
      </c>
      <c r="K29" s="76">
        <v>6</v>
      </c>
      <c r="L29" s="77">
        <v>7</v>
      </c>
      <c r="M29" s="78">
        <v>8</v>
      </c>
      <c r="N29" s="79">
        <v>9</v>
      </c>
      <c r="O29" s="80">
        <v>10</v>
      </c>
      <c r="P29" s="32"/>
      <c r="Q29" s="139"/>
      <c r="R29" s="334"/>
      <c r="S29" s="572" t="s">
        <v>551</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226</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226</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226</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53"/>
      <c r="E34" s="754"/>
      <c r="F34" s="754"/>
      <c r="G34" s="754"/>
      <c r="H34" s="754"/>
      <c r="I34" s="754"/>
      <c r="J34" s="754"/>
      <c r="K34" s="754"/>
      <c r="L34" s="754"/>
      <c r="M34" s="754"/>
      <c r="N34" s="754"/>
      <c r="O34" s="754"/>
      <c r="P34" s="755"/>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77" t="s">
        <v>19</v>
      </c>
      <c r="G35" s="777"/>
      <c r="H35" s="777"/>
      <c r="I35" s="777"/>
      <c r="J35" s="777"/>
      <c r="K35" s="777"/>
      <c r="L35" s="777"/>
      <c r="M35" s="777"/>
      <c r="N35" s="777"/>
      <c r="O35" s="777"/>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226</v>
      </c>
      <c r="F36" s="71">
        <v>1</v>
      </c>
      <c r="G36" s="72">
        <v>2</v>
      </c>
      <c r="H36" s="73">
        <v>3</v>
      </c>
      <c r="I36" s="74">
        <v>4</v>
      </c>
      <c r="J36" s="75">
        <v>5</v>
      </c>
      <c r="K36" s="76">
        <v>6</v>
      </c>
      <c r="L36" s="77">
        <v>7</v>
      </c>
      <c r="M36" s="78">
        <v>8</v>
      </c>
      <c r="N36" s="79">
        <v>9</v>
      </c>
      <c r="O36" s="80">
        <v>10</v>
      </c>
      <c r="P36" s="32"/>
      <c r="Q36" s="139"/>
      <c r="R36" s="334"/>
      <c r="S36" s="572" t="s">
        <v>551</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226</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226</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67"/>
      <c r="F40" s="767"/>
      <c r="G40" s="767"/>
      <c r="H40" s="767"/>
      <c r="I40" s="767"/>
      <c r="J40" s="767"/>
      <c r="K40" s="767"/>
      <c r="L40" s="767"/>
      <c r="M40" s="767"/>
      <c r="N40" s="767"/>
      <c r="O40" s="767"/>
      <c r="P40" s="767"/>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240</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48"/>
      <c r="E43" s="749"/>
      <c r="F43" s="749"/>
      <c r="G43" s="749"/>
      <c r="H43" s="749"/>
      <c r="I43" s="749"/>
      <c r="J43" s="749"/>
      <c r="K43" s="749"/>
      <c r="L43" s="749"/>
      <c r="M43" s="749"/>
      <c r="N43" s="749"/>
      <c r="O43" s="749"/>
      <c r="P43" s="750"/>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61</v>
      </c>
      <c r="E44" s="393" t="s">
        <v>18</v>
      </c>
      <c r="F44" s="762" t="s">
        <v>19</v>
      </c>
      <c r="G44" s="762"/>
      <c r="H44" s="762"/>
      <c r="I44" s="762"/>
      <c r="J44" s="762"/>
      <c r="K44" s="762"/>
      <c r="L44" s="762"/>
      <c r="M44" s="762"/>
      <c r="N44" s="762"/>
      <c r="O44" s="762"/>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226</v>
      </c>
      <c r="F45" s="71">
        <v>1</v>
      </c>
      <c r="G45" s="72">
        <v>2</v>
      </c>
      <c r="H45" s="73">
        <v>3</v>
      </c>
      <c r="I45" s="74">
        <v>4</v>
      </c>
      <c r="J45" s="75">
        <v>5</v>
      </c>
      <c r="K45" s="76">
        <v>6</v>
      </c>
      <c r="L45" s="77">
        <v>7</v>
      </c>
      <c r="M45" s="78">
        <v>8</v>
      </c>
      <c r="N45" s="79">
        <v>9</v>
      </c>
      <c r="O45" s="80">
        <v>10</v>
      </c>
      <c r="P45" s="32" t="s">
        <v>0</v>
      </c>
      <c r="Q45" s="139"/>
      <c r="R45" s="334"/>
      <c r="S45" s="572" t="s">
        <v>551</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226</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226</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53</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63"/>
      <c r="E50" s="764"/>
      <c r="F50" s="764"/>
      <c r="G50" s="764"/>
      <c r="H50" s="764"/>
      <c r="I50" s="764"/>
      <c r="J50" s="764"/>
      <c r="K50" s="764"/>
      <c r="L50" s="764"/>
      <c r="M50" s="764"/>
      <c r="N50" s="764"/>
      <c r="O50" s="764"/>
      <c r="P50" s="765"/>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77" t="s">
        <v>19</v>
      </c>
      <c r="G51" s="777"/>
      <c r="H51" s="777"/>
      <c r="I51" s="777"/>
      <c r="J51" s="777"/>
      <c r="K51" s="777"/>
      <c r="L51" s="777"/>
      <c r="M51" s="777"/>
      <c r="N51" s="777"/>
      <c r="O51" s="777"/>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226</v>
      </c>
      <c r="F52" s="71">
        <v>1</v>
      </c>
      <c r="G52" s="72">
        <v>2</v>
      </c>
      <c r="H52" s="73">
        <v>3</v>
      </c>
      <c r="I52" s="74">
        <v>4</v>
      </c>
      <c r="J52" s="75">
        <v>5</v>
      </c>
      <c r="K52" s="76">
        <v>6</v>
      </c>
      <c r="L52" s="77">
        <v>7</v>
      </c>
      <c r="M52" s="78">
        <v>8</v>
      </c>
      <c r="N52" s="79">
        <v>9</v>
      </c>
      <c r="O52" s="80">
        <v>10</v>
      </c>
      <c r="P52" s="32" t="s">
        <v>0</v>
      </c>
      <c r="Q52" s="139"/>
      <c r="R52" s="334"/>
      <c r="S52" s="572" t="s">
        <v>551</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226</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226</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67"/>
      <c r="F56" s="767"/>
      <c r="G56" s="767"/>
      <c r="H56" s="767"/>
      <c r="I56" s="767"/>
      <c r="J56" s="767"/>
      <c r="K56" s="767"/>
      <c r="L56" s="767"/>
      <c r="M56" s="767"/>
      <c r="N56" s="767"/>
      <c r="O56" s="767"/>
      <c r="P56" s="767"/>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241</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48"/>
      <c r="E59" s="749"/>
      <c r="F59" s="749"/>
      <c r="G59" s="749"/>
      <c r="H59" s="749"/>
      <c r="I59" s="749"/>
      <c r="J59" s="749"/>
      <c r="K59" s="749"/>
      <c r="L59" s="749"/>
      <c r="M59" s="749"/>
      <c r="N59" s="749"/>
      <c r="O59" s="749"/>
      <c r="P59" s="750"/>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77" t="s">
        <v>19</v>
      </c>
      <c r="G60" s="777"/>
      <c r="H60" s="777"/>
      <c r="I60" s="777"/>
      <c r="J60" s="777"/>
      <c r="K60" s="777"/>
      <c r="L60" s="777"/>
      <c r="M60" s="777"/>
      <c r="N60" s="777"/>
      <c r="O60" s="777"/>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226</v>
      </c>
      <c r="F61" s="71">
        <v>1</v>
      </c>
      <c r="G61" s="72">
        <v>2</v>
      </c>
      <c r="H61" s="73">
        <v>3</v>
      </c>
      <c r="I61" s="74">
        <v>4</v>
      </c>
      <c r="J61" s="75">
        <v>5</v>
      </c>
      <c r="K61" s="76">
        <v>6</v>
      </c>
      <c r="L61" s="77">
        <v>7</v>
      </c>
      <c r="M61" s="78">
        <v>8</v>
      </c>
      <c r="N61" s="79">
        <v>9</v>
      </c>
      <c r="O61" s="80">
        <v>10</v>
      </c>
      <c r="P61" s="32"/>
      <c r="Q61" s="139"/>
      <c r="R61" s="334"/>
      <c r="S61" s="572" t="s">
        <v>551</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226</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226</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226</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53"/>
      <c r="E66" s="754"/>
      <c r="F66" s="754"/>
      <c r="G66" s="754"/>
      <c r="H66" s="754"/>
      <c r="I66" s="754"/>
      <c r="J66" s="754"/>
      <c r="K66" s="754"/>
      <c r="L66" s="754"/>
      <c r="M66" s="754"/>
      <c r="N66" s="754"/>
      <c r="O66" s="754"/>
      <c r="P66" s="755"/>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77" t="s">
        <v>19</v>
      </c>
      <c r="G67" s="777"/>
      <c r="H67" s="777"/>
      <c r="I67" s="777"/>
      <c r="J67" s="777"/>
      <c r="K67" s="777"/>
      <c r="L67" s="777"/>
      <c r="M67" s="777"/>
      <c r="N67" s="777"/>
      <c r="O67" s="777"/>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226</v>
      </c>
      <c r="F68" s="71">
        <v>1</v>
      </c>
      <c r="G68" s="72">
        <v>2</v>
      </c>
      <c r="H68" s="73">
        <v>3</v>
      </c>
      <c r="I68" s="74">
        <v>4</v>
      </c>
      <c r="J68" s="75">
        <v>5</v>
      </c>
      <c r="K68" s="76">
        <v>6</v>
      </c>
      <c r="L68" s="77">
        <v>7</v>
      </c>
      <c r="M68" s="78">
        <v>8</v>
      </c>
      <c r="N68" s="79">
        <v>9</v>
      </c>
      <c r="O68" s="80">
        <v>10</v>
      </c>
      <c r="P68" s="32" t="s">
        <v>0</v>
      </c>
      <c r="Q68" s="139"/>
      <c r="R68" s="334"/>
      <c r="S68" s="572" t="s">
        <v>551</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226</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226</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226</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67"/>
      <c r="F72" s="767"/>
      <c r="G72" s="767"/>
      <c r="H72" s="767"/>
      <c r="I72" s="767"/>
      <c r="J72" s="767"/>
      <c r="K72" s="767"/>
      <c r="L72" s="767"/>
      <c r="M72" s="767"/>
      <c r="N72" s="767"/>
      <c r="O72" s="767"/>
      <c r="P72" s="767"/>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73" t="str">
        <f>"Please suggest process improvements to the "&amp;D2&amp;" worksheet."</f>
        <v>Please suggest process improvements to the Custom Participants worksheet.</v>
      </c>
      <c r="E73" s="673"/>
      <c r="F73" s="673"/>
      <c r="G73" s="673"/>
      <c r="H73" s="673"/>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70"/>
      <c r="E74" s="671"/>
      <c r="F74" s="671"/>
      <c r="G74" s="671"/>
      <c r="H74" s="671"/>
      <c r="I74" s="671"/>
      <c r="J74" s="671"/>
      <c r="K74" s="671"/>
      <c r="L74" s="671"/>
      <c r="M74" s="671"/>
      <c r="N74" s="671"/>
      <c r="O74" s="671"/>
      <c r="P74" s="672"/>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Resources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77E66BA97DB74EB962FB857227B8D8" ma:contentTypeVersion="" ma:contentTypeDescription="Create a new document." ma:contentTypeScope="" ma:versionID="36a31c0884e943bda21b8424d766e31c">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FC3D0F5E-CB2C-4DE3-A4B1-628733FFD0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Passwords</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nvick</dc:creator>
  <cp:lastModifiedBy>nvick</cp:lastModifiedBy>
  <cp:lastPrinted>2012-10-14T00:35:31Z</cp:lastPrinted>
  <dcterms:created xsi:type="dcterms:W3CDTF">2012-04-11T21:44:01Z</dcterms:created>
  <dcterms:modified xsi:type="dcterms:W3CDTF">2012-10-24T16:43:26Z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0x0101000577E66BA97DB74EB962FB857227B8D8</vt:lpwstr>
  </property>
</Properties>
</file>