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5940" windowWidth="19260" windowHeight="6000" tabRatio="837" firstSheet="1" activeTab="1"/>
  </bookViews>
  <sheets>
    <sheet name="DDLs" sheetId="84" state="hidden" r:id="rId1"/>
    <sheet name="ScheduleOfTasks" sheetId="94" r:id="rId2"/>
    <sheet name="ConditionalFormat" sheetId="93" state="hidden" r:id="rId3"/>
    <sheet name="AddToPlan" sheetId="97" state="hidden" r:id="rId4"/>
    <sheet name="Names" sheetId="96" r:id="rId5"/>
    <sheet name="Sheet1" sheetId="98" state="hidden" r:id="rId6"/>
    <sheet name="HearingAndAdDates" sheetId="99" r:id="rId7"/>
  </sheets>
  <definedNames>
    <definedName name="_xlnm.Print_Area" localSheetId="1">ScheduleOfTasks!$B$2:$H$763</definedName>
    <definedName name="S.AC.BANNER.Begin">ScheduleOfTasks!$G$16</definedName>
    <definedName name="S.AC.BANNER.End">ScheduleOfTasks!$H$16</definedName>
    <definedName name="S.AC.Charter">ScheduleOfTasks!$C$196</definedName>
    <definedName name="S.AC.CommitteeInvolved">ScheduleOfTasks!$C$16</definedName>
    <definedName name="S.AC.DateMeeting1">ScheduleOfTasks!$G$209</definedName>
    <definedName name="S.AC.DateMeeting2">ScheduleOfTasks!$G$232</definedName>
    <definedName name="S.AC.DateMeeting3">ScheduleOfTasks!$G$255</definedName>
    <definedName name="S.AC.DateMeeting4">ScheduleOfTasks!$G$278</definedName>
    <definedName name="S.AC.DateMeeting5">ScheduleOfTasks!$G$301</definedName>
    <definedName name="S.AC.InvolveMeeting1">ScheduleOfTasks!$C$209</definedName>
    <definedName name="S.AC.InvolveMeeting2">ScheduleOfTasks!$C$232</definedName>
    <definedName name="S.AC.InvolveMeeting3">ScheduleOfTasks!$C$255</definedName>
    <definedName name="S.AC.InvolveMeeting4">ScheduleOfTasks!$C$278</definedName>
    <definedName name="S.AC.InvolveMeeting5">ScheduleOfTasks!$C$301</definedName>
    <definedName name="S.AC.Presentation1">ScheduleOfTasks!$C$220</definedName>
    <definedName name="S.AC.Presentation2">ScheduleOfTasks!$C$243</definedName>
    <definedName name="S.AC.Presentation3">ScheduleOfTasks!$C$266</definedName>
    <definedName name="S.AC.Presentation4">ScheduleOfTasks!$C$289</definedName>
    <definedName name="S.AC.Presentation5">ScheduleOfTasks!$C$312</definedName>
    <definedName name="S.AC.SendInvitation">ScheduleOfTasks!$H$207</definedName>
    <definedName name="S.AC.WebPage">ScheduleOfTasks!$C$195</definedName>
    <definedName name="S.Comment.ApproveResponseLoop2">ScheduleOfTasks!$C$606</definedName>
    <definedName name="S.Comment.ApproveResponseLoop3">ScheduleOfTasks!$C$607</definedName>
    <definedName name="S.Comment.ApproveResponseLoop4">ScheduleOfTasks!$C$608</definedName>
    <definedName name="S.DDL_Bulletin">DDLs!$A$75:$A$182</definedName>
    <definedName name="S.DDL_DEQClosed">DDLs!$A$23:$A$71</definedName>
    <definedName name="S.DDL_EQCMeeting">DDLs!$A$4:$A$14</definedName>
    <definedName name="S.Default6">ScheduleOfTasks!$AAG$616</definedName>
    <definedName name="S.EQC.1on1Briefing">ScheduleOfTasks!$C$671</definedName>
    <definedName name="S.EQC.ApprovePacketLoop1">ScheduleOfTasks!$C$658</definedName>
    <definedName name="S.EQC.ApprovePacketLoop2">ScheduleOfTasks!$C$662</definedName>
    <definedName name="S.EQC.ApprovePacketLoop3">ScheduleOfTasks!$C$666</definedName>
    <definedName name="S.EQC.ApprovePacketLoop4">ScheduleOfTasks!$C$673</definedName>
    <definedName name="S.EQC.ApprovePresentationLoop2">ScheduleOfTasks!$C$563</definedName>
    <definedName name="S.EQC.ApprovePresentationLoop3">ScheduleOfTasks!$C$564</definedName>
    <definedName name="S.EQC.ApprovePresentationLoop4">ScheduleOfTasks!$C$565</definedName>
    <definedName name="S.EQC.BANNER.Begin">ScheduleOfTasks!$G$616</definedName>
    <definedName name="S.EQC.BANNER.End">ScheduleOfTasks!$H$616</definedName>
    <definedName name="S.EQC.DirReport">ScheduleOfTasks!$C$38</definedName>
    <definedName name="S.EQC.FacHearing">ScheduleOfTasks!$C$40</definedName>
    <definedName name="S.EQC.InfoItem">ScheduleOfTasks!$C$39</definedName>
    <definedName name="S.EQC.Meeting">ScheduleOfTasks!$H$43</definedName>
    <definedName name="S.EQC.MeetingNEXT">ScheduleOfTasks!$AAH$9</definedName>
    <definedName name="S.EQC.PacketBeginReview">ScheduleOfTasks!$G$658</definedName>
    <definedName name="S.EQC.PacketEndReview">ScheduleOfTasks!$H$673</definedName>
    <definedName name="S.EQC.SubmitStaffRpt">ScheduleOfTasks!$H$42</definedName>
    <definedName name="S.Fee.ApproveDASdenialResponseLoop1">ScheduleOfTasks!$C$355</definedName>
    <definedName name="S.Fee.ApproveDASdenialResponseLoop2">ScheduleOfTasks!$C$356</definedName>
    <definedName name="S.Fee.ApproveDASdenialResponseLoop4">ScheduleOfTasks!$C$357</definedName>
    <definedName name="S.Fee.ApprovePacketLoop2">ScheduleOfTasks!$C$342</definedName>
    <definedName name="S.Fee.ApprovePacketLoop3">ScheduleOfTasks!$C$343</definedName>
    <definedName name="S.Fee.ApprovePacketLoop4">ScheduleOfTasks!$C$344</definedName>
    <definedName name="S.Fee.BANNER.Begin">ScheduleOfTasks!$G$330</definedName>
    <definedName name="S.Fee.BANNER.End">ScheduleOfTasks!$H$330</definedName>
    <definedName name="S.Fee.DASApprovalRequired">ScheduleOfTasks!$C$19</definedName>
    <definedName name="S.Fee.Involved">ScheduleOfTasks!$C$18</definedName>
    <definedName name="S.Fee.SubmitToDAS">ScheduleOfTasks!$H$31</definedName>
    <definedName name="S.General.CodeName">Names!$E$4</definedName>
    <definedName name="S.General.Complexity">ScheduleOfTasks!$C$14</definedName>
    <definedName name="S.General.DaysRecommended">ScheduleOfTasks!$D$45</definedName>
    <definedName name="S.General.LastCellSchedule">ScheduleOfTasks!$H$763</definedName>
    <definedName name="S.General.RulemakingTitle">Names!$G$4</definedName>
    <definedName name="S.General.RuleType">ScheduleOfTasks!$C$12</definedName>
    <definedName name="S.Hearing.1stCity">ScheduleOfTasks!$B$370</definedName>
    <definedName name="S.Hearing.1stDate">ScheduleOfTasks!$H$34</definedName>
    <definedName name="S.Hearing.1stInvolve">ScheduleOfTasks!$C$34</definedName>
    <definedName name="S.Hearing.2ndCity">ScheduleOfTasks!$B$371</definedName>
    <definedName name="S.Hearing.2ndDate">ScheduleOfTasks!$G$371</definedName>
    <definedName name="S.Hearing.2ndInvolve">ScheduleOfTasks!$C$371</definedName>
    <definedName name="S.Hearing.3rdCity">ScheduleOfTasks!$B$372</definedName>
    <definedName name="S.Hearing.3rdDate">ScheduleOfTasks!$G$372</definedName>
    <definedName name="S.Hearing.3rdInvolve">ScheduleOfTasks!$C$372</definedName>
    <definedName name="S.Hearing.4thCity">ScheduleOfTasks!$B$373</definedName>
    <definedName name="S.Hearing.4thDate">ScheduleOfTasks!$G$373</definedName>
    <definedName name="S.Hearing.4thInvolve">ScheduleOfTasks!$C$373</definedName>
    <definedName name="S.Hearing.5thCity">ScheduleOfTasks!$B$374</definedName>
    <definedName name="S.Hearing.5thDate">ScheduleOfTasks!$G$374</definedName>
    <definedName name="S.Hearing.5thInvolve">ScheduleOfTasks!$C$374</definedName>
    <definedName name="S.Hearing.6thCity">ScheduleOfTasks!$B$375</definedName>
    <definedName name="S.Hearing.6thDate">ScheduleOfTasks!$G$375</definedName>
    <definedName name="S.Hearing.6thInvolve">ScheduleOfTasks!$C$375</definedName>
    <definedName name="S.Hearing.7thCity">ScheduleOfTasks!$B$376</definedName>
    <definedName name="S.Hearing.7thDate">ScheduleOfTasks!$G$376</definedName>
    <definedName name="S.Hearing.7thInvolve">ScheduleOfTasks!$C$376</definedName>
    <definedName name="S.Hearing.8thCity">ScheduleOfTasks!$B$377</definedName>
    <definedName name="S.Hearing.8thDate">ScheduleOfTasks!$G$377</definedName>
    <definedName name="S.Hearing.8thtInvolve">ScheduleOfTasks!$C$377</definedName>
    <definedName name="S.Hearing.BANNER.Begin">ScheduleOfTasks!$G$550</definedName>
    <definedName name="S.Hearing.BANNER.End">ScheduleOfTasks!$H$550</definedName>
    <definedName name="S.Notice.AD.Involved">ScheduleOfTasks!$C$450</definedName>
    <definedName name="S.Notice.AD.PubDate1">ScheduleOfTasks!$H$452</definedName>
    <definedName name="S.Notice.AD.PubDate2">ScheduleOfTasks!$H$453</definedName>
    <definedName name="S.Notice.AD.PubDate3">ScheduleOfTasks!$H$454</definedName>
    <definedName name="S.Notice.AD.PubDate4">ScheduleOfTasks!$H$455</definedName>
    <definedName name="S.Notice.AD.PubDate5">ScheduleOfTasks!$H$456</definedName>
    <definedName name="S.Notice.AD.PubDate6">ScheduleOfTasks!$H$457</definedName>
    <definedName name="S.Notice.AD.PubDate7">ScheduleOfTasks!$H$458</definedName>
    <definedName name="S.Notice.AD.PubDate8">ScheduleOfTasks!$H$459</definedName>
    <definedName name="S.Notice.AD.PubID1">ScheduleOfTasks!$B$452</definedName>
    <definedName name="S.Notice.AD.PubID2">ScheduleOfTasks!$B$453</definedName>
    <definedName name="S.Notice.AD.PubID3">ScheduleOfTasks!$B$454</definedName>
    <definedName name="S.Notice.AD.PubID4">ScheduleOfTasks!$B$455</definedName>
    <definedName name="S.Notice.AD.PubID5">ScheduleOfTasks!$B$456</definedName>
    <definedName name="S.Notice.AD.PubID6">ScheduleOfTasks!$B$457</definedName>
    <definedName name="S.Notice.AD.PubID7">ScheduleOfTasks!$B$458</definedName>
    <definedName name="S.Notice.AD.PubID8">ScheduleOfTasks!$B$459</definedName>
    <definedName name="S.Notice.AD.ToContractServices">ScheduleOfTasks!$H$463</definedName>
    <definedName name="S.Notice.ApprovePacketLoop2">ScheduleOfTasks!$C$446</definedName>
    <definedName name="S.Notice.ApprovePacketLoop3">ScheduleOfTasks!$C$447</definedName>
    <definedName name="S.Notice.ApprovePacketLoop4">ScheduleOfTasks!$C$448</definedName>
    <definedName name="S.Notice.BANNER.Begin">ScheduleOfTasks!$G$366</definedName>
    <definedName name="S.Notice.BANNER.End">ScheduleOfTasks!$H$366</definedName>
    <definedName name="S.Notice.CloseComment">ScheduleOfTasks!$H$35</definedName>
    <definedName name="S.Notice.ContentForCommentBox">#REF!</definedName>
    <definedName name="S.Notice.CustomReviewLoop1">ScheduleOfTasks!$C$428</definedName>
    <definedName name="S.Notice.CustomReviewLoop2">ScheduleOfTasks!$C$432</definedName>
    <definedName name="S.Notice.CustomReviewLoop3">ScheduleOfTasks!$C$436</definedName>
    <definedName name="S.Notice.DABriefing">ScheduleOfTasks!$H$475</definedName>
    <definedName name="S.Notice.DASNotification">ScheduleOfTasks!$G$518</definedName>
    <definedName name="S.Notice.EMAIL.RulePublication">ScheduleOfTasks!$H$501</definedName>
    <definedName name="S.Notice.HearingInvolved">ScheduleOfTasks!$C$34</definedName>
    <definedName name="S.Notice.InformationMeeting">ScheduleOfTasks!$C$128</definedName>
    <definedName name="S.Notice.InOregonBulletin">ScheduleOfTasks!$H$30</definedName>
    <definedName name="S.Notice.Involved">ScheduleOfTasks!$C$25</definedName>
    <definedName name="S.Notice.LA.BriefingMeeting">ScheduleOfTasks!$G$474</definedName>
    <definedName name="S.Notice.LastHearingDate">ScheduleOfTasks!$G$378</definedName>
    <definedName name="S.Notice.MgrNoticeApproval">ScheduleOfTasks!$H$495</definedName>
    <definedName name="S.Notice.OpenComment">ScheduleOfTasks!$H$33</definedName>
    <definedName name="S.Notice.PreviewBegin">ScheduleOfTasks!$H$478</definedName>
    <definedName name="S.Notice.PreviewEnd">ScheduleOfTasks!$H$481</definedName>
    <definedName name="S.Notice.StartDraft">ScheduleOfTasks!$G$391</definedName>
    <definedName name="S.Notice.SubmitToEPA">ScheduleOfTasks!#REF!</definedName>
    <definedName name="S.Notice.SubmitToSOS">ScheduleOfTasks!$H$29</definedName>
    <definedName name="S.Overview.BANNER.End">ScheduleOfTasks!$H$7</definedName>
    <definedName name="S.Overview.BANNER.Start">ScheduleOfTasks!$G$7</definedName>
    <definedName name="S.Planning.AddConcepToPlanDate">ScheduleOfTasks!$H$96</definedName>
    <definedName name="S.Planning.ApproveCommunicationsLoop2">ScheduleOfTasks!$C$139</definedName>
    <definedName name="S.Planning.ApproveCommunicationsLoop3">ScheduleOfTasks!$C$140</definedName>
    <definedName name="S.Planning.ApproveCommunicationsLoop4">ScheduleOfTasks!$C$141</definedName>
    <definedName name="S.Planning.BANNER.Begin">ScheduleOfTasks!$G$55</definedName>
    <definedName name="S.Planning.BANNER.End">ScheduleOfTasks!$H$55</definedName>
    <definedName name="S.Planning.CommunicationsPlan">ScheduleOfTasks!$C$125</definedName>
    <definedName name="S.Planning.DecisionToAddToPlan">ScheduleOfTasks!$C$100</definedName>
    <definedName name="S.Planning.ExpandTeam">ScheduleOfTasks!$C$111</definedName>
    <definedName name="S.Planning.MessageMap">ScheduleOfTasks!$C$126</definedName>
    <definedName name="S.Planning.ProgramWebPage">ScheduleOfTasks!$C$127</definedName>
    <definedName name="S.PostEQC.BANNER.Begin">ScheduleOfTasks!$G$698</definedName>
    <definedName name="S.PostEQC.BANNER.End">ScheduleOfTasks!$H$698</definedName>
    <definedName name="S.PostEQC.EffectiveUponFiling">ScheduleOfTasks!$C$49</definedName>
    <definedName name="S.PostEQC.FileRuleWithSOS">ScheduleOfTasks!$H$47</definedName>
    <definedName name="S.PostEQC.NotifyStakeholders">ScheduleOfTasks!$C$710</definedName>
    <definedName name="S.PostEQC.RuleEffective">ScheduleOfTasks!$H$49</definedName>
    <definedName name="S.PostEQC.SubmitDASPart2">ScheduleOfTasks!$H$48</definedName>
    <definedName name="S.PostEQC.SubmitSIPToEPA">ScheduleOfTasks!$H$50</definedName>
    <definedName name="S.RuleDevelopmentLink">Names!$G$6</definedName>
    <definedName name="S.SIP.End">ScheduleOfTasks!$H$22</definedName>
    <definedName name="S.SIP.Involved">ScheduleOfTasks!$C$21</definedName>
    <definedName name="S.SIP.Start">ScheduleOfTasks!$G$22</definedName>
    <definedName name="S.Staff.AAG">Names!$C$15</definedName>
    <definedName name="S.Staff.AgencyRulesCoordinator">Names!$C$9</definedName>
    <definedName name="S.Staff.AssistDA">Names!$C$21</definedName>
    <definedName name="S.Staff.Budget">Names!$C$14</definedName>
    <definedName name="S.Staff.CheifPublicAffairsOfficer">Names!$C$22</definedName>
    <definedName name="S.Staff.DA">Names!$C$6</definedName>
    <definedName name="S.Staff.Director">Names!$C$19</definedName>
    <definedName name="S.Staff.DivisionRulesCoordinator">Names!$C$8</definedName>
    <definedName name="S.Staff.EQCAssistant">Names!$C$10</definedName>
    <definedName name="S.Staff.Fiscal">Names!$C$13</definedName>
    <definedName name="S.Staff.HearingsOfficer">Names!$C$20</definedName>
    <definedName name="S.Staff.Lead">Names!$C$4</definedName>
    <definedName name="S.Staff.LegislativeLiason">Names!$C$16</definedName>
    <definedName name="S.Staff.Mgr">Names!$C$5</definedName>
    <definedName name="S.Staff.OCOCommunication">Names!$C$7</definedName>
    <definedName name="S.Staff.SIPCo">Names!$C$11</definedName>
    <definedName name="S.Staff.Support">Names!$C$17</definedName>
    <definedName name="S.Staff.TimeAccounting">Names!$C$18</definedName>
    <definedName name="S.Staff.WebMaster">Names!$C$12</definedName>
    <definedName name="VL_Bulletin">DDLs!$A$75:$B$182</definedName>
    <definedName name="VL_EQCActivities">DDLs!$A$4:$F$19</definedName>
  </definedNames>
  <calcPr calcId="125725"/>
</workbook>
</file>

<file path=xl/calcChain.xml><?xml version="1.0" encoding="utf-8"?>
<calcChain xmlns="http://schemas.openxmlformats.org/spreadsheetml/2006/main">
  <c r="D19" i="94"/>
  <c r="C733"/>
  <c r="C516"/>
  <c r="C166"/>
  <c r="C334"/>
  <c r="C345"/>
  <c r="AAE379"/>
  <c r="AAE378"/>
  <c r="AAE377"/>
  <c r="AAE376"/>
  <c r="AAE375"/>
  <c r="AAE374"/>
  <c r="AAE373"/>
  <c r="AAE372"/>
  <c r="AAE371"/>
  <c r="AAE370"/>
  <c r="H4" i="96"/>
  <c r="AAE192" i="94"/>
  <c r="AAE191"/>
  <c r="AAE190"/>
  <c r="AAE189"/>
  <c r="AAE188"/>
  <c r="AAE187"/>
  <c r="AAE175"/>
  <c r="AAK175"/>
  <c r="B175" s="1"/>
  <c r="C176"/>
  <c r="AAE176"/>
  <c r="C177"/>
  <c r="AAE177"/>
  <c r="AAK177"/>
  <c r="B177" s="1"/>
  <c r="AAK369"/>
  <c r="AAE622"/>
  <c r="AAE621"/>
  <c r="AAE620"/>
  <c r="AAE390"/>
  <c r="AAE389"/>
  <c r="AAE388"/>
  <c r="AAE387"/>
  <c r="AAE386"/>
  <c r="AAK682"/>
  <c r="AAK111"/>
  <c r="AAK90"/>
  <c r="C700"/>
  <c r="C618"/>
  <c r="C552"/>
  <c r="C368"/>
  <c r="C332"/>
  <c r="C174"/>
  <c r="C57"/>
  <c r="AAE701"/>
  <c r="AAK134"/>
  <c r="AAK132"/>
  <c r="AAK133"/>
  <c r="C621" l="1"/>
  <c r="C634"/>
  <c r="C395"/>
  <c r="AAK124"/>
  <c r="C486"/>
  <c r="C487"/>
  <c r="C483"/>
  <c r="C473"/>
  <c r="C470"/>
  <c r="C467"/>
  <c r="AAK464"/>
  <c r="C461"/>
  <c r="C460"/>
  <c r="C381"/>
  <c r="C338"/>
  <c r="C339"/>
  <c r="AAK339"/>
  <c r="AAK338"/>
  <c r="C322"/>
  <c r="C299"/>
  <c r="C276"/>
  <c r="C253"/>
  <c r="C230"/>
  <c r="C318"/>
  <c r="C295"/>
  <c r="C272"/>
  <c r="C249"/>
  <c r="C226"/>
  <c r="C314"/>
  <c r="C291"/>
  <c r="C268"/>
  <c r="C245"/>
  <c r="C222"/>
  <c r="C306"/>
  <c r="C283"/>
  <c r="C260"/>
  <c r="C237"/>
  <c r="C214"/>
  <c r="C304"/>
  <c r="C281"/>
  <c r="C258"/>
  <c r="C235"/>
  <c r="C212"/>
  <c r="C205"/>
  <c r="C180"/>
  <c r="C179"/>
  <c r="C154"/>
  <c r="C151"/>
  <c r="C133"/>
  <c r="C132"/>
  <c r="C102"/>
  <c r="C99"/>
  <c r="C80"/>
  <c r="C73"/>
  <c r="C59"/>
  <c r="D39"/>
  <c r="D38"/>
  <c r="C324"/>
  <c r="C360"/>
  <c r="C544"/>
  <c r="C610"/>
  <c r="C692"/>
  <c r="C758"/>
  <c r="C728"/>
  <c r="C749"/>
  <c r="C721"/>
  <c r="C712"/>
  <c r="C713"/>
  <c r="AAK625"/>
  <c r="AAK712"/>
  <c r="AAK757"/>
  <c r="B757" s="1"/>
  <c r="AAK751" l="1"/>
  <c r="AAK749"/>
  <c r="B749" s="1"/>
  <c r="AAK742"/>
  <c r="B742" s="1"/>
  <c r="AAK707"/>
  <c r="AAK708"/>
  <c r="AAK65"/>
  <c r="B65" s="1"/>
  <c r="AAK719"/>
  <c r="AAK711"/>
  <c r="AAK702"/>
  <c r="AAK713"/>
  <c r="AAK27"/>
  <c r="AAE686"/>
  <c r="AAE685"/>
  <c r="AAE662"/>
  <c r="AAG366"/>
  <c r="AAE466" l="1"/>
  <c r="AAE431"/>
  <c r="AAH431" s="1"/>
  <c r="AAE430"/>
  <c r="AAH430" s="1"/>
  <c r="AAE429"/>
  <c r="AAH429" s="1"/>
  <c r="AAE428"/>
  <c r="AAH428" s="1"/>
  <c r="AAK40"/>
  <c r="AAK37"/>
  <c r="AAK25"/>
  <c r="AAK21"/>
  <c r="F40"/>
  <c r="F39"/>
  <c r="F38"/>
  <c r="AAK43"/>
  <c r="B43" s="1"/>
  <c r="AAK12"/>
  <c r="B12" s="1"/>
  <c r="AAK42"/>
  <c r="B42" s="1"/>
  <c r="AAK16"/>
  <c r="AAK18"/>
  <c r="AAK32"/>
  <c r="B32" s="1"/>
  <c r="AAK39"/>
  <c r="B39" s="1"/>
  <c r="AAK38"/>
  <c r="B38" s="1"/>
  <c r="AAK35"/>
  <c r="AAK34"/>
  <c r="AAK33"/>
  <c r="AAK31"/>
  <c r="AAK30"/>
  <c r="AAK29"/>
  <c r="AAK28"/>
  <c r="B27"/>
  <c r="AAK26"/>
  <c r="B26" s="1"/>
  <c r="AAK19"/>
  <c r="AAK569"/>
  <c r="AAE595"/>
  <c r="AAE594"/>
  <c r="AAE592"/>
  <c r="AAE588"/>
  <c r="AAE587"/>
  <c r="AAE585"/>
  <c r="AAE584"/>
  <c r="AAE583"/>
  <c r="AAE582"/>
  <c r="AAE581"/>
  <c r="AAE580"/>
  <c r="AAE579"/>
  <c r="AAE578"/>
  <c r="AAE577"/>
  <c r="AAE576"/>
  <c r="AAE575"/>
  <c r="AAE574"/>
  <c r="AAE573"/>
  <c r="AAE572"/>
  <c r="AAE571"/>
  <c r="AAE570"/>
  <c r="AAE566"/>
  <c r="AAE565"/>
  <c r="AAE564"/>
  <c r="AAE563"/>
  <c r="AAE562"/>
  <c r="AAE561"/>
  <c r="AAE560"/>
  <c r="AAE559"/>
  <c r="AAE558"/>
  <c r="AAE557"/>
  <c r="AAE556"/>
  <c r="AAE554"/>
  <c r="AAE553"/>
  <c r="AAE385"/>
  <c r="AAE384"/>
  <c r="AAE383"/>
  <c r="AAE382"/>
  <c r="AAE381"/>
  <c r="AAE380"/>
  <c r="AAE369"/>
  <c r="AAE40"/>
  <c r="AAE34"/>
  <c r="AAK547"/>
  <c r="C2"/>
  <c r="AAK670"/>
  <c r="AAK476"/>
  <c r="AAE26"/>
  <c r="AAJ21"/>
  <c r="E21" s="1"/>
  <c r="AAK647"/>
  <c r="AAK636"/>
  <c r="AAK623"/>
  <c r="AAK85"/>
  <c r="AAJ12"/>
  <c r="E12" s="1"/>
  <c r="AAJ19"/>
  <c r="E19" s="1"/>
  <c r="AAJ44"/>
  <c r="AAJ16"/>
  <c r="AAJ14"/>
  <c r="AAJ25"/>
  <c r="AAJ34"/>
  <c r="AAK123"/>
  <c r="AAK117"/>
  <c r="AAE116"/>
  <c r="AAE115"/>
  <c r="AAE112"/>
  <c r="AAE113"/>
  <c r="AAE114"/>
  <c r="AAK113"/>
  <c r="AAK102"/>
  <c r="AAK99"/>
  <c r="AAK621"/>
  <c r="AAK620"/>
  <c r="AAK622"/>
  <c r="AAK619"/>
  <c r="AAE394"/>
  <c r="H763"/>
  <c r="AAJ18"/>
  <c r="AAE27"/>
  <c r="AAJ39"/>
  <c r="E39" s="1"/>
  <c r="AAK755"/>
  <c r="B755" s="1"/>
  <c r="AAK752"/>
  <c r="B752" s="1"/>
  <c r="AAK761"/>
  <c r="B761" s="1"/>
  <c r="AAG754"/>
  <c r="AAG755"/>
  <c r="AAG428" l="1"/>
  <c r="AAG430"/>
  <c r="AAG429"/>
  <c r="AAG431"/>
  <c r="AAJ45"/>
  <c r="E14"/>
  <c r="AAE439"/>
  <c r="AAE438"/>
  <c r="AAE437"/>
  <c r="AAE436"/>
  <c r="AAE435"/>
  <c r="AAE434"/>
  <c r="AAE433"/>
  <c r="AAE432"/>
  <c r="AAE134"/>
  <c r="AAE121"/>
  <c r="B117"/>
  <c r="AAE120"/>
  <c r="B111"/>
  <c r="AAE111"/>
  <c r="AAE119"/>
  <c r="AAE117"/>
  <c r="AAE146"/>
  <c r="AAE151"/>
  <c r="AAK150"/>
  <c r="AAK149"/>
  <c r="AAK748"/>
  <c r="AAE440"/>
  <c r="AAE427"/>
  <c r="AAK441"/>
  <c r="B441" s="1"/>
  <c r="AAE441"/>
  <c r="AAE633"/>
  <c r="AAE632"/>
  <c r="AAE141"/>
  <c r="AAG141" s="1"/>
  <c r="AAE140"/>
  <c r="AAG140" s="1"/>
  <c r="AAE139"/>
  <c r="AAG139" s="1"/>
  <c r="AAK604"/>
  <c r="B604" s="1"/>
  <c r="AAE604"/>
  <c r="AAK603"/>
  <c r="B603" s="1"/>
  <c r="AAE603"/>
  <c r="AAK602"/>
  <c r="B602" s="1"/>
  <c r="AAH598"/>
  <c r="AAE598"/>
  <c r="H599"/>
  <c r="F599" s="1"/>
  <c r="G599"/>
  <c r="AAE599"/>
  <c r="AAE601"/>
  <c r="AAE602"/>
  <c r="AAE600"/>
  <c r="B123"/>
  <c r="B124"/>
  <c r="AAE124"/>
  <c r="AAK554"/>
  <c r="AAK543"/>
  <c r="AAK145"/>
  <c r="B145" s="1"/>
  <c r="AAE144"/>
  <c r="AAE145"/>
  <c r="AAE143"/>
  <c r="AAE142"/>
  <c r="AAK142"/>
  <c r="B142" s="1"/>
  <c r="AAK137"/>
  <c r="B137" s="1"/>
  <c r="AAE137"/>
  <c r="AAK136"/>
  <c r="B136" s="1"/>
  <c r="AAE136"/>
  <c r="AAE138"/>
  <c r="AAE135"/>
  <c r="AAE123"/>
  <c r="AAE126"/>
  <c r="B134"/>
  <c r="AAE131"/>
  <c r="B133"/>
  <c r="B132"/>
  <c r="AAK130"/>
  <c r="B130" s="1"/>
  <c r="AAE133"/>
  <c r="AAE130"/>
  <c r="AAE129"/>
  <c r="AAE127"/>
  <c r="AAE346"/>
  <c r="AAE345"/>
  <c r="AAK197"/>
  <c r="AAE182"/>
  <c r="AAE150"/>
  <c r="AAK164"/>
  <c r="B164" s="1"/>
  <c r="AAE164"/>
  <c r="AAK148"/>
  <c r="B148" s="1"/>
  <c r="AAK147"/>
  <c r="AAE149"/>
  <c r="AAK108"/>
  <c r="AAK107"/>
  <c r="AAK106"/>
  <c r="AAK104"/>
  <c r="AAK105"/>
  <c r="AAE335"/>
  <c r="E18"/>
  <c r="E16"/>
  <c r="AAE39"/>
  <c r="AAE38"/>
  <c r="D34"/>
  <c r="E25"/>
  <c r="AAE22"/>
  <c r="AAK385"/>
  <c r="B385" s="1"/>
  <c r="AAK384"/>
  <c r="B384" s="1"/>
  <c r="AAK383"/>
  <c r="B383" s="1"/>
  <c r="AAK382"/>
  <c r="B382" s="1"/>
  <c r="AAH38"/>
  <c r="AAE631"/>
  <c r="AAE630"/>
  <c r="AAE629"/>
  <c r="AAE628"/>
  <c r="AAE627"/>
  <c r="AAE626"/>
  <c r="AAE625"/>
  <c r="AAE611"/>
  <c r="AAE610"/>
  <c r="AAE609"/>
  <c r="AAE590"/>
  <c r="AAE608"/>
  <c r="AAE607"/>
  <c r="AAE606"/>
  <c r="AAE605"/>
  <c r="AAE597"/>
  <c r="AAE596"/>
  <c r="AAE593"/>
  <c r="AAE591"/>
  <c r="AAE589"/>
  <c r="AAE586"/>
  <c r="AAE569"/>
  <c r="AAE568"/>
  <c r="AAE567"/>
  <c r="AAE555"/>
  <c r="AAE545"/>
  <c r="AAE544"/>
  <c r="AAE543"/>
  <c r="AAE542"/>
  <c r="AAE541"/>
  <c r="AAE540"/>
  <c r="AAE539"/>
  <c r="AAE538"/>
  <c r="AAE537"/>
  <c r="AAE536"/>
  <c r="AAE535"/>
  <c r="AAE534"/>
  <c r="AAE533"/>
  <c r="AAE532"/>
  <c r="AAE531"/>
  <c r="AAE530"/>
  <c r="AAE529"/>
  <c r="AAE528"/>
  <c r="AAE527"/>
  <c r="AAE526"/>
  <c r="AAE525"/>
  <c r="AAE524"/>
  <c r="AAE523"/>
  <c r="AAE522"/>
  <c r="AAE520"/>
  <c r="AAE519"/>
  <c r="AAE518"/>
  <c r="AAE517"/>
  <c r="AAE516"/>
  <c r="AAE515"/>
  <c r="AAE514"/>
  <c r="AAE513"/>
  <c r="AAE512"/>
  <c r="AAE511"/>
  <c r="AAE510"/>
  <c r="AAE509"/>
  <c r="AAE508"/>
  <c r="AAE507"/>
  <c r="AAE506"/>
  <c r="AAE505"/>
  <c r="AAE504"/>
  <c r="AAE503"/>
  <c r="AAE502"/>
  <c r="AAE501"/>
  <c r="AAE500"/>
  <c r="AAE499"/>
  <c r="AAE498"/>
  <c r="AAE497"/>
  <c r="AAE496"/>
  <c r="AAE495"/>
  <c r="AAE494"/>
  <c r="AAE493"/>
  <c r="AAE492"/>
  <c r="AAE491"/>
  <c r="AAE490"/>
  <c r="AAE489"/>
  <c r="AAE488"/>
  <c r="AAE487"/>
  <c r="AAE486"/>
  <c r="AAE485"/>
  <c r="AAE484"/>
  <c r="AAE483"/>
  <c r="AAE482"/>
  <c r="AAE481"/>
  <c r="AAE480"/>
  <c r="AAE479"/>
  <c r="AAE478"/>
  <c r="AAE477"/>
  <c r="AAE476"/>
  <c r="AAE475"/>
  <c r="AAE474"/>
  <c r="AAE473"/>
  <c r="AAE472"/>
  <c r="AAE471"/>
  <c r="AAE470"/>
  <c r="AAE469"/>
  <c r="AAE468"/>
  <c r="AAE467"/>
  <c r="AAE465"/>
  <c r="AAE464"/>
  <c r="AAE463"/>
  <c r="AAE462"/>
  <c r="AAE461"/>
  <c r="AAE460"/>
  <c r="AAE459"/>
  <c r="AAE458"/>
  <c r="AAE457"/>
  <c r="AAE456"/>
  <c r="AAE455"/>
  <c r="AAE454"/>
  <c r="AAE453"/>
  <c r="AAE452"/>
  <c r="AAE451"/>
  <c r="AAE450"/>
  <c r="AAE448"/>
  <c r="AAE447"/>
  <c r="AAE446"/>
  <c r="AAE445"/>
  <c r="AAE444"/>
  <c r="AAE443"/>
  <c r="AAE442"/>
  <c r="AAE426"/>
  <c r="AAE425"/>
  <c r="AAE424"/>
  <c r="AAE423"/>
  <c r="AAE422"/>
  <c r="AAE421"/>
  <c r="AAE420"/>
  <c r="AAE419"/>
  <c r="AAE418"/>
  <c r="AAE417"/>
  <c r="AAE416"/>
  <c r="AAE415"/>
  <c r="AAE414"/>
  <c r="AAE413"/>
  <c r="AAE412"/>
  <c r="AAE411"/>
  <c r="AAE410"/>
  <c r="AAE409"/>
  <c r="AAE408"/>
  <c r="AAE407"/>
  <c r="AAE405"/>
  <c r="AAE404"/>
  <c r="AAE403"/>
  <c r="AAE402"/>
  <c r="AAE401"/>
  <c r="AAE400"/>
  <c r="AAE399"/>
  <c r="AAE398"/>
  <c r="AAE397"/>
  <c r="AAE396"/>
  <c r="AAE395"/>
  <c r="AAE393"/>
  <c r="AAE392"/>
  <c r="AAE391"/>
  <c r="AAE83"/>
  <c r="AAE81"/>
  <c r="AAE35"/>
  <c r="AAE33"/>
  <c r="AAE30"/>
  <c r="AAE29"/>
  <c r="AAE28"/>
  <c r="AAE31"/>
  <c r="AAK718"/>
  <c r="AAK717"/>
  <c r="AAK716"/>
  <c r="AAE359"/>
  <c r="AAE358"/>
  <c r="AAE357"/>
  <c r="AAE356"/>
  <c r="AAE355"/>
  <c r="AAE354"/>
  <c r="AAE353"/>
  <c r="AAE352"/>
  <c r="AAE351"/>
  <c r="AAE350"/>
  <c r="AAE349"/>
  <c r="AAE348"/>
  <c r="AAE347"/>
  <c r="AAE344"/>
  <c r="AAE343"/>
  <c r="AAE342"/>
  <c r="AAE341"/>
  <c r="AAE340"/>
  <c r="AAK337"/>
  <c r="AAK336"/>
  <c r="AAK48"/>
  <c r="AAE339"/>
  <c r="AAE338"/>
  <c r="AAE337"/>
  <c r="AAE336"/>
  <c r="AAE334"/>
  <c r="AAG18"/>
  <c r="AAE719"/>
  <c r="AAE718"/>
  <c r="AAE717"/>
  <c r="AAE716"/>
  <c r="AAE406"/>
  <c r="AAE361"/>
  <c r="AAE360"/>
  <c r="AAE84"/>
  <c r="AAE48"/>
  <c r="AAE19"/>
  <c r="AAK414"/>
  <c r="AAK653"/>
  <c r="AAK449"/>
  <c r="AAK417"/>
  <c r="AAK398"/>
  <c r="AAK50"/>
  <c r="AAE713"/>
  <c r="AAE712"/>
  <c r="AAE325"/>
  <c r="AAE324"/>
  <c r="AAE323"/>
  <c r="AAE322"/>
  <c r="AAE321"/>
  <c r="AAE320"/>
  <c r="AAE319"/>
  <c r="AAE318"/>
  <c r="AAE317"/>
  <c r="AAE316"/>
  <c r="AAE315"/>
  <c r="AAE314"/>
  <c r="AAE313"/>
  <c r="AAE312"/>
  <c r="AAE311"/>
  <c r="AAE310"/>
  <c r="AAE309"/>
  <c r="AAE308"/>
  <c r="AAE307"/>
  <c r="AAE306"/>
  <c r="AAE305"/>
  <c r="AAE304"/>
  <c r="AAE303"/>
  <c r="AAE302"/>
  <c r="AAE301"/>
  <c r="AAE300"/>
  <c r="AAE299"/>
  <c r="AAE298"/>
  <c r="AAE297"/>
  <c r="AAE296"/>
  <c r="AAE295"/>
  <c r="AAE294"/>
  <c r="AAE293"/>
  <c r="AAE292"/>
  <c r="AAE291"/>
  <c r="AAE290"/>
  <c r="AAE289"/>
  <c r="AAE288"/>
  <c r="AAE287"/>
  <c r="AAE286"/>
  <c r="AAE285"/>
  <c r="AAE284"/>
  <c r="AAE283"/>
  <c r="AAE282"/>
  <c r="AAE281"/>
  <c r="AAE280"/>
  <c r="AAE279"/>
  <c r="AAE278"/>
  <c r="AAE277"/>
  <c r="AAE276"/>
  <c r="AAE275"/>
  <c r="AAE274"/>
  <c r="AAE273"/>
  <c r="AAE272"/>
  <c r="AAE271"/>
  <c r="AAE270"/>
  <c r="AAE269"/>
  <c r="AAE268"/>
  <c r="AAE267"/>
  <c r="AAE266"/>
  <c r="AAE265"/>
  <c r="AAE264"/>
  <c r="AAE263"/>
  <c r="AAE262"/>
  <c r="AAE261"/>
  <c r="AAE260"/>
  <c r="AAE259"/>
  <c r="AAE258"/>
  <c r="AAE257"/>
  <c r="AAE256"/>
  <c r="AAE255"/>
  <c r="AAE254"/>
  <c r="AAE253"/>
  <c r="AAE252"/>
  <c r="AAE251"/>
  <c r="AAE250"/>
  <c r="AAE249"/>
  <c r="AAE248"/>
  <c r="AAE247"/>
  <c r="AAE246"/>
  <c r="AAE245"/>
  <c r="AAE244"/>
  <c r="AAE243"/>
  <c r="AAE242"/>
  <c r="AAE241"/>
  <c r="AAE240"/>
  <c r="AAE239"/>
  <c r="AAE238"/>
  <c r="AAE237"/>
  <c r="AAE236"/>
  <c r="AAE235"/>
  <c r="AAE234"/>
  <c r="AAE233"/>
  <c r="AAE232"/>
  <c r="AAE231"/>
  <c r="AAE230"/>
  <c r="AAE229"/>
  <c r="AAE228"/>
  <c r="AAE227"/>
  <c r="AAE226"/>
  <c r="AAE225"/>
  <c r="AAE224"/>
  <c r="AAE223"/>
  <c r="AAE222"/>
  <c r="AAE221"/>
  <c r="AAE220"/>
  <c r="AAE219"/>
  <c r="AAE218"/>
  <c r="AAE217"/>
  <c r="AAE216"/>
  <c r="AAE215"/>
  <c r="AAE214"/>
  <c r="AAE213"/>
  <c r="AAE212"/>
  <c r="AAE211"/>
  <c r="AAE210"/>
  <c r="AAE209"/>
  <c r="AAE208"/>
  <c r="AAE207"/>
  <c r="AAE206"/>
  <c r="AAE205"/>
  <c r="AAE204"/>
  <c r="AAE203"/>
  <c r="AAE202"/>
  <c r="AAE200"/>
  <c r="AAE198"/>
  <c r="AAE197"/>
  <c r="AAE196"/>
  <c r="AAE195"/>
  <c r="AAE194"/>
  <c r="AAE193"/>
  <c r="AAE186"/>
  <c r="AAE185"/>
  <c r="AAE184"/>
  <c r="AAE183"/>
  <c r="AAE181"/>
  <c r="AAE180"/>
  <c r="AAE179"/>
  <c r="AAE178"/>
  <c r="AAE711"/>
  <c r="AAE653"/>
  <c r="AAE521"/>
  <c r="AAE449"/>
  <c r="AAE165"/>
  <c r="AAE50"/>
  <c r="AAE23"/>
  <c r="AAH59"/>
  <c r="H59" s="1"/>
  <c r="G366"/>
  <c r="AAG466" s="1"/>
  <c r="AAK507"/>
  <c r="AAK509"/>
  <c r="AAK496"/>
  <c r="B496" s="1"/>
  <c r="AAK495"/>
  <c r="B495" s="1"/>
  <c r="AAK494"/>
  <c r="B494" s="1"/>
  <c r="AAK493"/>
  <c r="AAK497"/>
  <c r="B497" s="1"/>
  <c r="AAK570"/>
  <c r="B570" s="1"/>
  <c r="AAH432" l="1"/>
  <c r="AAG432"/>
  <c r="AAH434"/>
  <c r="AAG434"/>
  <c r="AAH436"/>
  <c r="AAG436"/>
  <c r="AAH438"/>
  <c r="AAG438"/>
  <c r="AAH433"/>
  <c r="AAG433"/>
  <c r="AAH435"/>
  <c r="AAG435"/>
  <c r="AAH437"/>
  <c r="AAG437"/>
  <c r="AAH439"/>
  <c r="AAG439"/>
  <c r="AAG413"/>
  <c r="AAG415"/>
  <c r="AAG419"/>
  <c r="AAG421"/>
  <c r="AAG423"/>
  <c r="AAG425"/>
  <c r="AAG442"/>
  <c r="AAH448"/>
  <c r="AAG448"/>
  <c r="AAG461"/>
  <c r="G461" s="1"/>
  <c r="AAG465"/>
  <c r="AAG470"/>
  <c r="AAG472"/>
  <c r="AAG484"/>
  <c r="AAG486"/>
  <c r="AAG488"/>
  <c r="AAG416"/>
  <c r="AAG418"/>
  <c r="AAG420"/>
  <c r="AAG422"/>
  <c r="AAG424"/>
  <c r="AAH447"/>
  <c r="AAG447"/>
  <c r="AAG460"/>
  <c r="AAG462"/>
  <c r="AAG464"/>
  <c r="AAG467"/>
  <c r="AAG471"/>
  <c r="AAG473"/>
  <c r="AAG485"/>
  <c r="AAG489"/>
  <c r="AAG544"/>
  <c r="AAG449"/>
  <c r="AAG417"/>
  <c r="AAG414"/>
  <c r="AAG451"/>
  <c r="AAG450"/>
  <c r="AAG407"/>
  <c r="AAG406"/>
  <c r="AAG408"/>
  <c r="AAG400"/>
  <c r="AAG391"/>
  <c r="AAG401"/>
  <c r="AAG392"/>
  <c r="AAG402"/>
  <c r="AAG393"/>
  <c r="AAG403"/>
  <c r="AAG395"/>
  <c r="AAG398"/>
  <c r="AAG399"/>
  <c r="AAG404"/>
  <c r="AAG396"/>
  <c r="AAG405"/>
  <c r="AAG397"/>
  <c r="E599"/>
  <c r="AAE148"/>
  <c r="AAE132"/>
  <c r="AAE125"/>
  <c r="AAE158"/>
  <c r="AAE160"/>
  <c r="AAE157"/>
  <c r="AAE156"/>
  <c r="AAK477"/>
  <c r="B682"/>
  <c r="AAK681"/>
  <c r="B681" s="1"/>
  <c r="AAE672"/>
  <c r="AAE671"/>
  <c r="AAK671"/>
  <c r="B671" s="1"/>
  <c r="AAK675"/>
  <c r="B675" s="1"/>
  <c r="AAK678"/>
  <c r="B678" s="1"/>
  <c r="AAK674"/>
  <c r="B674" s="1"/>
  <c r="AAE669"/>
  <c r="AAE668"/>
  <c r="AAE667"/>
  <c r="AAE665"/>
  <c r="AAE664"/>
  <c r="AAE663"/>
  <c r="AAE661"/>
  <c r="AAE660"/>
  <c r="AAE659"/>
  <c r="AAE658"/>
  <c r="AAK652"/>
  <c r="B652" s="1"/>
  <c r="AAK651"/>
  <c r="B651" s="1"/>
  <c r="AAK654"/>
  <c r="AAK680"/>
  <c r="B680" s="1"/>
  <c r="AAK679"/>
  <c r="B679" s="1"/>
  <c r="AAK443"/>
  <c r="B443" s="1"/>
  <c r="AAK411"/>
  <c r="AAK410"/>
  <c r="B171" l="1"/>
  <c r="B329"/>
  <c r="B697"/>
  <c r="B615"/>
  <c r="B549"/>
  <c r="B365"/>
  <c r="B54"/>
  <c r="AAK692"/>
  <c r="AAK609"/>
  <c r="B609" s="1"/>
  <c r="AAK472"/>
  <c r="B472" s="1"/>
  <c r="AAK360"/>
  <c r="AAK324"/>
  <c r="AAK166"/>
  <c r="AAK544"/>
  <c r="G472"/>
  <c r="AAK471"/>
  <c r="B476"/>
  <c r="AAK475"/>
  <c r="B475" s="1"/>
  <c r="AAK474"/>
  <c r="AAK465"/>
  <c r="B465" s="1"/>
  <c r="G465"/>
  <c r="B464"/>
  <c r="C11" i="99"/>
  <c r="B11"/>
  <c r="C2"/>
  <c r="B10"/>
  <c r="B9"/>
  <c r="B8"/>
  <c r="B7"/>
  <c r="B6"/>
  <c r="B5"/>
  <c r="C10"/>
  <c r="C9"/>
  <c r="C8"/>
  <c r="C7"/>
  <c r="C6"/>
  <c r="C5"/>
  <c r="B4"/>
  <c r="B23"/>
  <c r="B22"/>
  <c r="B21"/>
  <c r="B20"/>
  <c r="B19"/>
  <c r="B18"/>
  <c r="B16"/>
  <c r="B17"/>
  <c r="G464" i="94"/>
  <c r="G462"/>
  <c r="AAK450"/>
  <c r="G460"/>
  <c r="G451"/>
  <c r="AAK394"/>
  <c r="AAK100"/>
  <c r="B99"/>
  <c r="AAK98"/>
  <c r="B98" s="1"/>
  <c r="AAE99"/>
  <c r="AAK97"/>
  <c r="B97" s="1"/>
  <c r="AAK64"/>
  <c r="AAK586"/>
  <c r="AAK538"/>
  <c r="AAK555"/>
  <c r="B555" s="1"/>
  <c r="AAK334"/>
  <c r="AAK534"/>
  <c r="AAK522"/>
  <c r="AAK515"/>
  <c r="B515" s="1"/>
  <c r="AAK511"/>
  <c r="AAK510"/>
  <c r="B510" s="1"/>
  <c r="B509"/>
  <c r="B507"/>
  <c r="B516"/>
  <c r="AAK500"/>
  <c r="B500" s="1"/>
  <c r="B411"/>
  <c r="B410"/>
  <c r="AAK378"/>
  <c r="B377"/>
  <c r="AAK584" s="1"/>
  <c r="B584" s="1"/>
  <c r="AAG357"/>
  <c r="AAG356"/>
  <c r="AAG355"/>
  <c r="AAK353"/>
  <c r="AAG343"/>
  <c r="AAH343"/>
  <c r="AAH344"/>
  <c r="AAH342"/>
  <c r="AAG342"/>
  <c r="AAK340"/>
  <c r="AAK357"/>
  <c r="B357" s="1"/>
  <c r="AAK356"/>
  <c r="B356" s="1"/>
  <c r="AAK355"/>
  <c r="B355" s="1"/>
  <c r="AAK354"/>
  <c r="B354" s="1"/>
  <c r="AAK448"/>
  <c r="AAK447"/>
  <c r="AAK446"/>
  <c r="AAK445"/>
  <c r="AAK344"/>
  <c r="B344" s="1"/>
  <c r="AAK343"/>
  <c r="B343" s="1"/>
  <c r="AAK341"/>
  <c r="B341" s="1"/>
  <c r="AAK342"/>
  <c r="B342" s="1"/>
  <c r="AAE109"/>
  <c r="AAK103"/>
  <c r="B103" s="1"/>
  <c r="AAE103"/>
  <c r="AAK91"/>
  <c r="AAK320"/>
  <c r="B320" s="1"/>
  <c r="AAK318"/>
  <c r="B318" s="1"/>
  <c r="AAK297"/>
  <c r="B297" s="1"/>
  <c r="AAK295"/>
  <c r="B295" s="1"/>
  <c r="AAK272"/>
  <c r="B272" s="1"/>
  <c r="AAK251"/>
  <c r="B251" s="1"/>
  <c r="AAK249"/>
  <c r="B249" s="1"/>
  <c r="AAK226"/>
  <c r="B226" s="1"/>
  <c r="AAK211" l="1"/>
  <c r="B200"/>
  <c r="AAK199"/>
  <c r="AAK185"/>
  <c r="AAK116"/>
  <c r="B116" s="1"/>
  <c r="B394"/>
  <c r="G397"/>
  <c r="G396"/>
  <c r="AAE666"/>
  <c r="AAE710"/>
  <c r="AAK565"/>
  <c r="B565" s="1"/>
  <c r="AAK564"/>
  <c r="B564" s="1"/>
  <c r="AAK563"/>
  <c r="B563" s="1"/>
  <c r="AAK562"/>
  <c r="B562" s="1"/>
  <c r="AAK561"/>
  <c r="B561" s="1"/>
  <c r="B554"/>
  <c r="AAE128"/>
  <c r="G544" l="1"/>
  <c r="AAK444"/>
  <c r="B444" s="1"/>
  <c r="G442"/>
  <c r="G425"/>
  <c r="B471"/>
  <c r="G470"/>
  <c r="G450"/>
  <c r="AAK532"/>
  <c r="B532" s="1"/>
  <c r="G473"/>
  <c r="G471"/>
  <c r="G467"/>
  <c r="G424"/>
  <c r="G423"/>
  <c r="G422"/>
  <c r="G421"/>
  <c r="G420"/>
  <c r="G419"/>
  <c r="G418"/>
  <c r="G417"/>
  <c r="G416"/>
  <c r="G415"/>
  <c r="G414"/>
  <c r="G413"/>
  <c r="AAK392"/>
  <c r="B511"/>
  <c r="B493"/>
  <c r="AAK492"/>
  <c r="B492" s="1"/>
  <c r="AAK420"/>
  <c r="AAK419"/>
  <c r="AAK418"/>
  <c r="B450"/>
  <c r="G466" l="1"/>
  <c r="G449"/>
  <c r="G408"/>
  <c r="G407"/>
  <c r="G406"/>
  <c r="G405"/>
  <c r="G404"/>
  <c r="G403"/>
  <c r="G402"/>
  <c r="G401"/>
  <c r="G400"/>
  <c r="G399"/>
  <c r="G395"/>
  <c r="G393"/>
  <c r="G392"/>
  <c r="AAK379"/>
  <c r="B108" l="1"/>
  <c r="AAE108"/>
  <c r="AAK393"/>
  <c r="AAK409"/>
  <c r="B409" s="1"/>
  <c r="AAK747"/>
  <c r="AAK743"/>
  <c r="B743" s="1"/>
  <c r="AAK715"/>
  <c r="B715" s="1"/>
  <c r="AAK706"/>
  <c r="B702"/>
  <c r="AAK566" l="1"/>
  <c r="B566" s="1"/>
  <c r="B538"/>
  <c r="AAK391"/>
  <c r="B391" s="1"/>
  <c r="B334"/>
  <c r="AAK333"/>
  <c r="B333" s="1"/>
  <c r="AAE333"/>
  <c r="AAK153"/>
  <c r="B153" s="1"/>
  <c r="AAE153"/>
  <c r="AAK94"/>
  <c r="B94" s="1"/>
  <c r="AAK274"/>
  <c r="AAK303"/>
  <c r="AAK280"/>
  <c r="AAK257"/>
  <c r="AAK234"/>
  <c r="AAK228"/>
  <c r="B199"/>
  <c r="AAE201"/>
  <c r="AAE199"/>
  <c r="AAK165"/>
  <c r="B147"/>
  <c r="AAE147"/>
  <c r="AAK161"/>
  <c r="B748"/>
  <c r="AAK591"/>
  <c r="B591" s="1"/>
  <c r="AAK489" l="1"/>
  <c r="AAK491"/>
  <c r="AAK485"/>
  <c r="AAK482"/>
  <c r="B482" s="1"/>
  <c r="B324"/>
  <c r="B5"/>
  <c r="B621"/>
  <c r="B85"/>
  <c r="AAE747"/>
  <c r="B28" l="1"/>
  <c r="B398"/>
  <c r="B653"/>
  <c r="B670"/>
  <c r="B654"/>
  <c r="B620"/>
  <c r="B622"/>
  <c r="B619"/>
  <c r="G398"/>
  <c r="B414"/>
  <c r="B33"/>
  <c r="B105"/>
  <c r="B104"/>
  <c r="AAE105"/>
  <c r="AAE104"/>
  <c r="AAE167"/>
  <c r="AAE166"/>
  <c r="AAE163"/>
  <c r="AAE162"/>
  <c r="AAE161"/>
  <c r="AAE159"/>
  <c r="AAE155"/>
  <c r="AAE154"/>
  <c r="AAE152"/>
  <c r="AAE118"/>
  <c r="AAE107"/>
  <c r="AAE106"/>
  <c r="AAE102"/>
  <c r="B48" l="1"/>
  <c r="AAK3"/>
  <c r="AAK112" l="1"/>
  <c r="B112" s="1"/>
  <c r="B747" l="1"/>
  <c r="AAK756"/>
  <c r="B756" s="1"/>
  <c r="B751"/>
  <c r="AAK720"/>
  <c r="B720" s="1"/>
  <c r="B713"/>
  <c r="B712"/>
  <c r="B711"/>
  <c r="B692"/>
  <c r="B376"/>
  <c r="AAK582" s="1"/>
  <c r="B582" s="1"/>
  <c r="B375"/>
  <c r="AAK580" s="1"/>
  <c r="B580" s="1"/>
  <c r="B374"/>
  <c r="AAK578" s="1"/>
  <c r="B578" s="1"/>
  <c r="B373"/>
  <c r="AAK576" s="1"/>
  <c r="B576" s="1"/>
  <c r="B372"/>
  <c r="AAK574" s="1"/>
  <c r="B574" s="1"/>
  <c r="B371"/>
  <c r="AAK572" s="1"/>
  <c r="B572" s="1"/>
  <c r="B544"/>
  <c r="B166"/>
  <c r="B360"/>
  <c r="B708"/>
  <c r="B707"/>
  <c r="AAK709"/>
  <c r="B709" s="1"/>
  <c r="B340"/>
  <c r="B636"/>
  <c r="B625"/>
  <c r="B623"/>
  <c r="B586"/>
  <c r="B569"/>
  <c r="AAK553"/>
  <c r="B553" s="1"/>
  <c r="AAK358"/>
  <c r="B358" s="1"/>
  <c r="AAK352"/>
  <c r="B352" s="1"/>
  <c r="B353"/>
  <c r="AAK347"/>
  <c r="B347" s="1"/>
  <c r="B303"/>
  <c r="B280"/>
  <c r="B274"/>
  <c r="B257"/>
  <c r="B234"/>
  <c r="B228"/>
  <c r="B211"/>
  <c r="B185"/>
  <c r="AAK204"/>
  <c r="B204" s="1"/>
  <c r="B197"/>
  <c r="AAK63"/>
  <c r="B63" s="1"/>
  <c r="B90"/>
  <c r="B100"/>
  <c r="AAK86"/>
  <c r="AAK62"/>
  <c r="B165"/>
  <c r="AAK163"/>
  <c r="B163" s="1"/>
  <c r="B161"/>
  <c r="AAK162"/>
  <c r="B162" s="1"/>
  <c r="B107" l="1"/>
  <c r="B106"/>
  <c r="B102"/>
  <c r="B86"/>
  <c r="AAK92"/>
  <c r="B92" s="1"/>
  <c r="B91"/>
  <c r="AAK68"/>
  <c r="B68" s="1"/>
  <c r="AAK69"/>
  <c r="B69" s="1"/>
  <c r="AAK66"/>
  <c r="B66" s="1"/>
  <c r="B64"/>
  <c r="B62"/>
  <c r="AAK61"/>
  <c r="B61" s="1"/>
  <c r="AAK60"/>
  <c r="B60" s="1"/>
  <c r="AAK59"/>
  <c r="B59" s="1"/>
  <c r="B379"/>
  <c r="B543"/>
  <c r="B534"/>
  <c r="B489" l="1"/>
  <c r="B485"/>
  <c r="B477"/>
  <c r="B474"/>
  <c r="B448"/>
  <c r="B447"/>
  <c r="B445"/>
  <c r="B446"/>
  <c r="B420"/>
  <c r="B419"/>
  <c r="B418"/>
  <c r="B417"/>
  <c r="B647" l="1"/>
  <c r="J7" l="1"/>
  <c r="J4" s="1"/>
  <c r="B40"/>
  <c r="AAH377"/>
  <c r="H377" s="1"/>
  <c r="AAH376"/>
  <c r="H376" s="1"/>
  <c r="AAH375"/>
  <c r="H375" s="1"/>
  <c r="AAH374"/>
  <c r="H374" s="1"/>
  <c r="AAH373"/>
  <c r="H373" s="1"/>
  <c r="AAH372"/>
  <c r="H372" s="1"/>
  <c r="AAH371"/>
  <c r="H371" s="1"/>
  <c r="AAG55" l="1"/>
  <c r="G55"/>
  <c r="K7"/>
  <c r="B169"/>
  <c r="B21"/>
  <c r="D15" i="84"/>
  <c r="E15" s="1"/>
  <c r="D16"/>
  <c r="E16" s="1"/>
  <c r="D17"/>
  <c r="E17" s="1"/>
  <c r="D18"/>
  <c r="E18" s="1"/>
  <c r="D19"/>
  <c r="E19" s="1"/>
  <c r="C10"/>
  <c r="C11"/>
  <c r="C12"/>
  <c r="C13"/>
  <c r="C14"/>
  <c r="C15"/>
  <c r="C16"/>
  <c r="C17"/>
  <c r="C18"/>
  <c r="C19"/>
  <c r="C20"/>
  <c r="C9"/>
  <c r="B10"/>
  <c r="B11"/>
  <c r="B12"/>
  <c r="B13"/>
  <c r="B14"/>
  <c r="B15"/>
  <c r="B16"/>
  <c r="B17"/>
  <c r="B18"/>
  <c r="B19"/>
  <c r="B20"/>
  <c r="B9"/>
  <c r="D5"/>
  <c r="E5" s="1"/>
  <c r="D6"/>
  <c r="F7" s="1"/>
  <c r="D7"/>
  <c r="E7" s="1"/>
  <c r="D8"/>
  <c r="E8" s="1"/>
  <c r="D9"/>
  <c r="E9" s="1"/>
  <c r="D10"/>
  <c r="E10" s="1"/>
  <c r="D11"/>
  <c r="E11" s="1"/>
  <c r="D12"/>
  <c r="E12" s="1"/>
  <c r="D13"/>
  <c r="E13" s="1"/>
  <c r="D14"/>
  <c r="F15" s="1"/>
  <c r="D4"/>
  <c r="F5" s="1"/>
  <c r="B547" i="94"/>
  <c r="B35"/>
  <c r="B30"/>
  <c r="B363"/>
  <c r="AAG65" l="1"/>
  <c r="G65" s="1"/>
  <c r="AAH65" s="1"/>
  <c r="H65" s="1"/>
  <c r="AAG166"/>
  <c r="AAG63"/>
  <c r="G63" s="1"/>
  <c r="E14" i="84"/>
  <c r="E6"/>
  <c r="F14"/>
  <c r="F6"/>
  <c r="F13"/>
  <c r="E4"/>
  <c r="F12"/>
  <c r="F19"/>
  <c r="F11"/>
  <c r="F18"/>
  <c r="F10"/>
  <c r="F17"/>
  <c r="F9"/>
  <c r="F16"/>
  <c r="F8"/>
  <c r="B718" i="94"/>
  <c r="B719"/>
  <c r="B717"/>
  <c r="B716"/>
  <c r="B338"/>
  <c r="B339"/>
  <c r="B336"/>
  <c r="B337"/>
  <c r="AAG62"/>
  <c r="G62" s="1"/>
  <c r="AAH62" s="1"/>
  <c r="H62" s="1"/>
  <c r="AAG64"/>
  <c r="G64" s="1"/>
  <c r="AAH64" s="1"/>
  <c r="H64" s="1"/>
  <c r="AAG61"/>
  <c r="G61" s="1"/>
  <c r="AAK327"/>
  <c r="B327" s="1"/>
  <c r="K4"/>
  <c r="L7"/>
  <c r="D20" i="84"/>
  <c r="B37" i="94"/>
  <c r="B29"/>
  <c r="B50"/>
  <c r="B19"/>
  <c r="B31"/>
  <c r="B25"/>
  <c r="B369"/>
  <c r="B34"/>
  <c r="AAH67" l="1"/>
  <c r="AAH68"/>
  <c r="AAH63"/>
  <c r="H63" s="1"/>
  <c r="AAH61"/>
  <c r="H61" s="1"/>
  <c r="L4"/>
  <c r="M7"/>
  <c r="C75" i="84"/>
  <c r="B16" i="94"/>
  <c r="F61" l="1"/>
  <c r="E61"/>
  <c r="N7"/>
  <c r="M4"/>
  <c r="B18"/>
  <c r="F62" l="1"/>
  <c r="E62"/>
  <c r="O7"/>
  <c r="N4"/>
  <c r="B449"/>
  <c r="B393"/>
  <c r="B392"/>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E63" i="94" l="1"/>
  <c r="H67"/>
  <c r="F63"/>
  <c r="P7"/>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F65" i="94" l="1"/>
  <c r="E65"/>
  <c r="F64"/>
  <c r="H68"/>
  <c r="E64"/>
  <c r="Q7"/>
  <c r="P4"/>
  <c r="AAH70" l="1"/>
  <c r="H70" s="1"/>
  <c r="F70" s="1"/>
  <c r="G391"/>
  <c r="R7"/>
  <c r="Q4"/>
  <c r="AAG379"/>
  <c r="G379" l="1"/>
  <c r="S7"/>
  <c r="R4"/>
  <c r="T7" l="1"/>
  <c r="S4"/>
  <c r="U7" l="1"/>
  <c r="T4"/>
  <c r="V7" l="1"/>
  <c r="U4"/>
  <c r="W7" l="1"/>
  <c r="V4"/>
  <c r="X7" l="1"/>
  <c r="W4"/>
  <c r="Y7" l="1"/>
  <c r="X4"/>
  <c r="Z7" l="1"/>
  <c r="Y4"/>
  <c r="AA7" l="1"/>
  <c r="Z4"/>
  <c r="AB7" l="1"/>
  <c r="AA4"/>
  <c r="AC7" l="1"/>
  <c r="AB4"/>
  <c r="AD7" l="1"/>
  <c r="AC4"/>
  <c r="AE7" l="1"/>
  <c r="AD4"/>
  <c r="AF7" l="1"/>
  <c r="AE4"/>
  <c r="AG7" l="1"/>
  <c r="AF4"/>
  <c r="AH7" l="1"/>
  <c r="AG4"/>
  <c r="AI7" l="1"/>
  <c r="AH4"/>
  <c r="AJ7" l="1"/>
  <c r="AI4"/>
  <c r="AK7" l="1"/>
  <c r="AJ4"/>
  <c r="AL7" l="1"/>
  <c r="AK4"/>
  <c r="AM7" l="1"/>
  <c r="AL4"/>
  <c r="AN7" l="1"/>
  <c r="AM4"/>
  <c r="AO7" l="1"/>
  <c r="AN4"/>
  <c r="AP7" l="1"/>
  <c r="AO4"/>
  <c r="AQ7" l="1"/>
  <c r="AP4"/>
  <c r="AR7" l="1"/>
  <c r="AQ4"/>
  <c r="AS7" l="1"/>
  <c r="AR4"/>
  <c r="AT7" l="1"/>
  <c r="AS4"/>
  <c r="AU7" l="1"/>
  <c r="AT4"/>
  <c r="AV7" l="1"/>
  <c r="AU4"/>
  <c r="AW7" l="1"/>
  <c r="AV4"/>
  <c r="AX7" l="1"/>
  <c r="AW4"/>
  <c r="AY7" l="1"/>
  <c r="AX4"/>
  <c r="AZ7" l="1"/>
  <c r="AY4"/>
  <c r="BA7" l="1"/>
  <c r="AZ4"/>
  <c r="BB7" l="1"/>
  <c r="BA4"/>
  <c r="BC7" l="1"/>
  <c r="BB4"/>
  <c r="BD7" l="1"/>
  <c r="BC4"/>
  <c r="BE7" l="1"/>
  <c r="BD4"/>
  <c r="BF7" l="1"/>
  <c r="BE4"/>
  <c r="BG7" l="1"/>
  <c r="BF4"/>
  <c r="BH7" l="1"/>
  <c r="BG4"/>
  <c r="BI7" l="1"/>
  <c r="BH4"/>
  <c r="BJ7" l="1"/>
  <c r="BI4"/>
  <c r="BK7" l="1"/>
  <c r="BJ4"/>
  <c r="BL7" l="1"/>
  <c r="BK4"/>
  <c r="BM7" l="1"/>
  <c r="BL4"/>
  <c r="BN7" l="1"/>
  <c r="BM4"/>
  <c r="BO7" l="1"/>
  <c r="BN4"/>
  <c r="BP7" l="1"/>
  <c r="BO4"/>
  <c r="BQ7" l="1"/>
  <c r="BP4"/>
  <c r="BR7" l="1"/>
  <c r="BQ4"/>
  <c r="BS7" l="1"/>
  <c r="BR4"/>
  <c r="BT7" l="1"/>
  <c r="BS4"/>
  <c r="BU7" l="1"/>
  <c r="BT4"/>
  <c r="BV7" l="1"/>
  <c r="BU4"/>
  <c r="BW7" l="1"/>
  <c r="BV4"/>
  <c r="BX7" l="1"/>
  <c r="BW4"/>
  <c r="BY7" l="1"/>
  <c r="BX4"/>
  <c r="BZ7" l="1"/>
  <c r="BY4"/>
  <c r="CA7" l="1"/>
  <c r="BZ4"/>
  <c r="CB7" l="1"/>
  <c r="CA4"/>
  <c r="CC7" l="1"/>
  <c r="CB4"/>
  <c r="CD7" l="1"/>
  <c r="CC4"/>
  <c r="CE7" l="1"/>
  <c r="CD4"/>
  <c r="CF7" l="1"/>
  <c r="CE4"/>
  <c r="CG7" l="1"/>
  <c r="CF4"/>
  <c r="CH7" l="1"/>
  <c r="CG4"/>
  <c r="CI7" l="1"/>
  <c r="CH4"/>
  <c r="CJ7" l="1"/>
  <c r="CI4"/>
  <c r="CK7" l="1"/>
  <c r="CJ4"/>
  <c r="CL7" l="1"/>
  <c r="CK4"/>
  <c r="CM7" l="1"/>
  <c r="CL4"/>
  <c r="CN7" l="1"/>
  <c r="CM4"/>
  <c r="CO7" l="1"/>
  <c r="CN4"/>
  <c r="CP7" l="1"/>
  <c r="CO4"/>
  <c r="CQ7" l="1"/>
  <c r="CP4"/>
  <c r="CR7" l="1"/>
  <c r="CQ4"/>
  <c r="CS7" l="1"/>
  <c r="CR4"/>
  <c r="CT7" l="1"/>
  <c r="CS4"/>
  <c r="CU7" l="1"/>
  <c r="CT4"/>
  <c r="CV7" l="1"/>
  <c r="CU4"/>
  <c r="CW7" l="1"/>
  <c r="CV4"/>
  <c r="CX7" l="1"/>
  <c r="CW4"/>
  <c r="CY7" l="1"/>
  <c r="CX4"/>
  <c r="CZ7" l="1"/>
  <c r="CY4"/>
  <c r="DA7" l="1"/>
  <c r="CZ4"/>
  <c r="DB7" l="1"/>
  <c r="DA4"/>
  <c r="DC7" l="1"/>
  <c r="DB4"/>
  <c r="DD7" l="1"/>
  <c r="DC4"/>
  <c r="DE7" l="1"/>
  <c r="DD4"/>
  <c r="DF7" l="1"/>
  <c r="DE4"/>
  <c r="DG7" l="1"/>
  <c r="DF4"/>
  <c r="DH7" l="1"/>
  <c r="DG4"/>
  <c r="DI7" l="1"/>
  <c r="DH4"/>
  <c r="DJ7" l="1"/>
  <c r="DI4"/>
  <c r="DK7" l="1"/>
  <c r="DJ4"/>
  <c r="DL7" l="1"/>
  <c r="DK4"/>
  <c r="DM7" l="1"/>
  <c r="DL4"/>
  <c r="DN7" l="1"/>
  <c r="DM4"/>
  <c r="DO7" l="1"/>
  <c r="DN4"/>
  <c r="DP7" l="1"/>
  <c r="DO4"/>
  <c r="DP4" l="1"/>
  <c r="AAG87" l="1"/>
  <c r="G87" s="1"/>
  <c r="AAH87" s="1"/>
  <c r="H87" s="1"/>
  <c r="AAG88"/>
  <c r="G88" s="1"/>
  <c r="AAH88" s="1"/>
  <c r="AAG89"/>
  <c r="G89" s="1"/>
  <c r="AAH89" s="1"/>
  <c r="E87" l="1"/>
  <c r="F87" l="1"/>
  <c r="H89"/>
  <c r="H88"/>
  <c r="F88" l="1"/>
  <c r="E88"/>
  <c r="AAG90"/>
  <c r="G90" s="1"/>
  <c r="AAH90" s="1"/>
  <c r="H90" s="1"/>
  <c r="F89"/>
  <c r="E89"/>
  <c r="F90" l="1"/>
  <c r="AAG91"/>
  <c r="G91" s="1"/>
  <c r="AAG93" s="1"/>
  <c r="G93" s="1"/>
  <c r="E90"/>
  <c r="AAH93" l="1"/>
  <c r="H93" s="1"/>
  <c r="F93" s="1"/>
  <c r="AAG95"/>
  <c r="G95" s="1"/>
  <c r="AAH91"/>
  <c r="H91" s="1"/>
  <c r="E91" s="1"/>
  <c r="AAH97" l="1"/>
  <c r="H97" s="1"/>
  <c r="AAH95"/>
  <c r="H95" s="1"/>
  <c r="F95" s="1"/>
  <c r="AAH96"/>
  <c r="H96" s="1"/>
  <c r="E93"/>
  <c r="F91"/>
  <c r="AAG102" l="1"/>
  <c r="G102" s="1"/>
  <c r="AAG120"/>
  <c r="G120" s="1"/>
  <c r="AAG118"/>
  <c r="G118" s="1"/>
  <c r="AAG115"/>
  <c r="G115" s="1"/>
  <c r="AAG113"/>
  <c r="G113" s="1"/>
  <c r="AAG121"/>
  <c r="G121" s="1"/>
  <c r="AAG119"/>
  <c r="G119" s="1"/>
  <c r="AAG114"/>
  <c r="G114" s="1"/>
  <c r="AAG111"/>
  <c r="AAG165"/>
  <c r="AAG116"/>
  <c r="G116" s="1"/>
  <c r="AAH154"/>
  <c r="AAG16"/>
  <c r="AAG149"/>
  <c r="G149" s="1"/>
  <c r="AAH149" s="1"/>
  <c r="H149" s="1"/>
  <c r="AAG150"/>
  <c r="G150" s="1"/>
  <c r="AAG148"/>
  <c r="G148" s="1"/>
  <c r="AAH148" s="1"/>
  <c r="H148" s="1"/>
  <c r="F148" s="1"/>
  <c r="E95"/>
  <c r="AAH99"/>
  <c r="F96"/>
  <c r="H99" l="1"/>
  <c r="F99" s="1"/>
  <c r="AAH102"/>
  <c r="H102" s="1"/>
  <c r="F149"/>
  <c r="E149"/>
  <c r="AAH150"/>
  <c r="H150" s="1"/>
  <c r="F150" s="1"/>
  <c r="E148"/>
  <c r="F97" l="1"/>
  <c r="E102"/>
  <c r="F102"/>
  <c r="AAH111"/>
  <c r="E150"/>
  <c r="G111" l="1"/>
  <c r="H111" l="1"/>
  <c r="E111" s="1"/>
  <c r="F111" l="1"/>
  <c r="G16" l="1"/>
  <c r="AAG187" s="1"/>
  <c r="G187" s="1"/>
  <c r="G18"/>
  <c r="AAH187" l="1"/>
  <c r="H187" s="1"/>
  <c r="F187" s="1"/>
  <c r="AAG176"/>
  <c r="G176" s="1"/>
  <c r="AAG177"/>
  <c r="G177" s="1"/>
  <c r="AAG144"/>
  <c r="G144" s="1"/>
  <c r="AAG143"/>
  <c r="G143" s="1"/>
  <c r="AAH143" s="1"/>
  <c r="AAG145"/>
  <c r="G145" s="1"/>
  <c r="AAH145" s="1"/>
  <c r="AAG182"/>
  <c r="G182" s="1"/>
  <c r="AAH182" s="1"/>
  <c r="H182" s="1"/>
  <c r="F182" s="1"/>
  <c r="AAG197"/>
  <c r="AAG198"/>
  <c r="AAG324"/>
  <c r="G324" s="1"/>
  <c r="AAG195"/>
  <c r="AAG194"/>
  <c r="AAG186"/>
  <c r="AAG178"/>
  <c r="AAG180"/>
  <c r="AAG183"/>
  <c r="AAG196"/>
  <c r="AAG193"/>
  <c r="AAG179"/>
  <c r="AAG181"/>
  <c r="AAG184"/>
  <c r="AAG208"/>
  <c r="AAG207"/>
  <c r="AAG205"/>
  <c r="G205" s="1"/>
  <c r="AAH205" s="1"/>
  <c r="H205" s="1"/>
  <c r="F205" s="1"/>
  <c r="AAG206"/>
  <c r="G206" s="1"/>
  <c r="AAG172"/>
  <c r="G172"/>
  <c r="AAG330"/>
  <c r="G330" s="1"/>
  <c r="E187" l="1"/>
  <c r="AAH176"/>
  <c r="H176" s="1"/>
  <c r="F176" s="1"/>
  <c r="AAH177"/>
  <c r="H177" s="1"/>
  <c r="F177" s="1"/>
  <c r="AAH114"/>
  <c r="H114" s="1"/>
  <c r="AAH113"/>
  <c r="H113" s="1"/>
  <c r="E113" s="1"/>
  <c r="H598"/>
  <c r="AAH144"/>
  <c r="H144" s="1"/>
  <c r="F144" s="1"/>
  <c r="E182"/>
  <c r="AAG334"/>
  <c r="G334" s="1"/>
  <c r="AAH334" s="1"/>
  <c r="H334" s="1"/>
  <c r="F334" s="1"/>
  <c r="AAG340"/>
  <c r="AAG337"/>
  <c r="G337" s="1"/>
  <c r="AAG338"/>
  <c r="G338" s="1"/>
  <c r="AAG339"/>
  <c r="G339" s="1"/>
  <c r="AAG336"/>
  <c r="G336" s="1"/>
  <c r="E176" l="1"/>
  <c r="E177"/>
  <c r="AAH115"/>
  <c r="H115" s="1"/>
  <c r="F115" s="1"/>
  <c r="E114"/>
  <c r="F114"/>
  <c r="F113"/>
  <c r="G437"/>
  <c r="G429"/>
  <c r="G435"/>
  <c r="G434"/>
  <c r="G433"/>
  <c r="G439"/>
  <c r="G431"/>
  <c r="G438"/>
  <c r="G430"/>
  <c r="E144"/>
  <c r="H145"/>
  <c r="H143"/>
  <c r="AAG371"/>
  <c r="G371" s="1"/>
  <c r="AAG372" s="1"/>
  <c r="E334"/>
  <c r="G340"/>
  <c r="E115" l="1"/>
  <c r="AAH116"/>
  <c r="H116" s="1"/>
  <c r="E116" s="1"/>
  <c r="F145"/>
  <c r="E145"/>
  <c r="F143"/>
  <c r="E143"/>
  <c r="G372"/>
  <c r="AAH572"/>
  <c r="H572" s="1"/>
  <c r="G184"/>
  <c r="G178"/>
  <c r="AAH178" s="1"/>
  <c r="F116" l="1"/>
  <c r="F572"/>
  <c r="AAH574"/>
  <c r="H574" s="1"/>
  <c r="AAG373"/>
  <c r="G373" s="1"/>
  <c r="AAG374" s="1"/>
  <c r="G374" s="1"/>
  <c r="AAH184"/>
  <c r="H178"/>
  <c r="G196"/>
  <c r="AAH196" s="1"/>
  <c r="H196" s="1"/>
  <c r="F196" s="1"/>
  <c r="AAH118" l="1"/>
  <c r="H118" s="1"/>
  <c r="E118" s="1"/>
  <c r="H154"/>
  <c r="F574"/>
  <c r="AAH576"/>
  <c r="H576" s="1"/>
  <c r="AAH578"/>
  <c r="H578" s="1"/>
  <c r="AAG375"/>
  <c r="E178"/>
  <c r="F178"/>
  <c r="H184"/>
  <c r="G186"/>
  <c r="AAH186" s="1"/>
  <c r="H186" s="1"/>
  <c r="G193"/>
  <c r="AAH193" s="1"/>
  <c r="H193" s="1"/>
  <c r="F193" s="1"/>
  <c r="G181"/>
  <c r="G179"/>
  <c r="G183"/>
  <c r="G180"/>
  <c r="E196"/>
  <c r="F154" l="1"/>
  <c r="AAG159"/>
  <c r="F118"/>
  <c r="G159"/>
  <c r="F576"/>
  <c r="F578"/>
  <c r="E186"/>
  <c r="F186"/>
  <c r="E184"/>
  <c r="F184"/>
  <c r="E193"/>
  <c r="AAH183"/>
  <c r="AAH181"/>
  <c r="G342"/>
  <c r="AAH119" l="1"/>
  <c r="H119" s="1"/>
  <c r="AAG161"/>
  <c r="G161" s="1"/>
  <c r="AAH159"/>
  <c r="H159" s="1"/>
  <c r="F159" s="1"/>
  <c r="H183"/>
  <c r="H181"/>
  <c r="H342"/>
  <c r="E159" l="1"/>
  <c r="F119"/>
  <c r="AAG123"/>
  <c r="G123" s="1"/>
  <c r="AAG162"/>
  <c r="G162" s="1"/>
  <c r="AAH161"/>
  <c r="H161" s="1"/>
  <c r="F161" s="1"/>
  <c r="E119"/>
  <c r="E342"/>
  <c r="F342"/>
  <c r="E183"/>
  <c r="F183"/>
  <c r="E181"/>
  <c r="F181"/>
  <c r="G194"/>
  <c r="G343"/>
  <c r="H343" s="1"/>
  <c r="E161" l="1"/>
  <c r="AAH120"/>
  <c r="H120" s="1"/>
  <c r="E120" s="1"/>
  <c r="AAG151"/>
  <c r="G151" s="1"/>
  <c r="AAG163"/>
  <c r="G163" s="1"/>
  <c r="AAH162"/>
  <c r="H162" s="1"/>
  <c r="F162" s="1"/>
  <c r="F343"/>
  <c r="AAG344"/>
  <c r="G344" s="1"/>
  <c r="G355"/>
  <c r="AAH355" s="1"/>
  <c r="H355" s="1"/>
  <c r="AAH194"/>
  <c r="H194" s="1"/>
  <c r="F194" s="1"/>
  <c r="E343"/>
  <c r="E162" l="1"/>
  <c r="F120"/>
  <c r="AAH151"/>
  <c r="H151" s="1"/>
  <c r="F151" s="1"/>
  <c r="AAH163"/>
  <c r="H163" s="1"/>
  <c r="E355"/>
  <c r="F355"/>
  <c r="G195"/>
  <c r="E194"/>
  <c r="G356"/>
  <c r="H344"/>
  <c r="F344" s="1"/>
  <c r="E151" l="1"/>
  <c r="AAH121"/>
  <c r="H121" s="1"/>
  <c r="E121" s="1"/>
  <c r="AAH123"/>
  <c r="H123" s="1"/>
  <c r="G166"/>
  <c r="AAH166" s="1"/>
  <c r="H166" s="1"/>
  <c r="F163"/>
  <c r="E163"/>
  <c r="AAH195"/>
  <c r="H195" s="1"/>
  <c r="AAH356"/>
  <c r="H356" s="1"/>
  <c r="E344"/>
  <c r="G165" l="1"/>
  <c r="AAH165" s="1"/>
  <c r="H165" s="1"/>
  <c r="F165" s="1"/>
  <c r="F123"/>
  <c r="AAG131"/>
  <c r="G131" s="1"/>
  <c r="F121"/>
  <c r="E123"/>
  <c r="F166"/>
  <c r="E195"/>
  <c r="F195"/>
  <c r="F356"/>
  <c r="G357"/>
  <c r="E356"/>
  <c r="E166" l="1"/>
  <c r="AAG132"/>
  <c r="G132" s="1"/>
  <c r="AAH131"/>
  <c r="H131" s="1"/>
  <c r="E131" s="1"/>
  <c r="E165"/>
  <c r="AAH357"/>
  <c r="H357" s="1"/>
  <c r="F357" s="1"/>
  <c r="AAH179"/>
  <c r="H179" s="1"/>
  <c r="F179" s="1"/>
  <c r="F131" l="1"/>
  <c r="AAH132"/>
  <c r="H132" s="1"/>
  <c r="F132" s="1"/>
  <c r="AAG133"/>
  <c r="G133" s="1"/>
  <c r="E357"/>
  <c r="AAH133" l="1"/>
  <c r="H133" s="1"/>
  <c r="E133" s="1"/>
  <c r="AAG134"/>
  <c r="G134" s="1"/>
  <c r="E132"/>
  <c r="G197"/>
  <c r="AAH197" s="1"/>
  <c r="H197" s="1"/>
  <c r="F197" s="1"/>
  <c r="AAH180"/>
  <c r="F133" l="1"/>
  <c r="AAG135"/>
  <c r="G135" s="1"/>
  <c r="AAH134"/>
  <c r="H134" s="1"/>
  <c r="F134" s="1"/>
  <c r="E197"/>
  <c r="AAG200"/>
  <c r="G200" s="1"/>
  <c r="H180"/>
  <c r="F180" s="1"/>
  <c r="E134" l="1"/>
  <c r="AAH135"/>
  <c r="H135" s="1"/>
  <c r="E135" s="1"/>
  <c r="E180"/>
  <c r="AAH200"/>
  <c r="AAG137" l="1"/>
  <c r="G137" s="1"/>
  <c r="F135"/>
  <c r="H200"/>
  <c r="F200" l="1"/>
  <c r="AAG202"/>
  <c r="AAH137"/>
  <c r="H137" s="1"/>
  <c r="E200"/>
  <c r="G198"/>
  <c r="E205"/>
  <c r="AAG138" l="1"/>
  <c r="G138" s="1"/>
  <c r="F137"/>
  <c r="E137"/>
  <c r="AAH198"/>
  <c r="H198" s="1"/>
  <c r="AAH138" l="1"/>
  <c r="H138" s="1"/>
  <c r="E138" s="1"/>
  <c r="E198"/>
  <c r="F198"/>
  <c r="G139" l="1"/>
  <c r="F138"/>
  <c r="G202"/>
  <c r="AAH139" l="1"/>
  <c r="H139" s="1"/>
  <c r="E139" s="1"/>
  <c r="AAH202"/>
  <c r="H202" s="1"/>
  <c r="F202" l="1"/>
  <c r="AAG203"/>
  <c r="G203" s="1"/>
  <c r="G140"/>
  <c r="F139"/>
  <c r="E202"/>
  <c r="AAH140" l="1"/>
  <c r="H140" s="1"/>
  <c r="E140" s="1"/>
  <c r="AAH203"/>
  <c r="H203" s="1"/>
  <c r="G141" l="1"/>
  <c r="F140"/>
  <c r="E203"/>
  <c r="F203"/>
  <c r="G207"/>
  <c r="AAH141" l="1"/>
  <c r="H141" s="1"/>
  <c r="E141" s="1"/>
  <c r="AAH207"/>
  <c r="H207" s="1"/>
  <c r="F141" l="1"/>
  <c r="AAI55"/>
  <c r="AAG209"/>
  <c r="G209" s="1"/>
  <c r="F207"/>
  <c r="E207"/>
  <c r="G208"/>
  <c r="AAG230" l="1"/>
  <c r="G230" s="1"/>
  <c r="AAH230" s="1"/>
  <c r="AAG232"/>
  <c r="G232" s="1"/>
  <c r="AAH229"/>
  <c r="AAG231"/>
  <c r="G231" s="1"/>
  <c r="AAH231" s="1"/>
  <c r="AAG210"/>
  <c r="G210" s="1"/>
  <c r="AAG212" s="1"/>
  <c r="G212" s="1"/>
  <c r="AAK314"/>
  <c r="B314" s="1"/>
  <c r="AAK322"/>
  <c r="B322" s="1"/>
  <c r="AAK268"/>
  <c r="B268" s="1"/>
  <c r="AAK291"/>
  <c r="B291" s="1"/>
  <c r="AAK299"/>
  <c r="B299" s="1"/>
  <c r="AAK253"/>
  <c r="B253" s="1"/>
  <c r="AAK245"/>
  <c r="B245" s="1"/>
  <c r="AAK230"/>
  <c r="B230" s="1"/>
  <c r="AAK305"/>
  <c r="B305" s="1"/>
  <c r="AAK304"/>
  <c r="B304" s="1"/>
  <c r="AAK282"/>
  <c r="B282" s="1"/>
  <c r="AAK281"/>
  <c r="B281" s="1"/>
  <c r="AAK259"/>
  <c r="B259" s="1"/>
  <c r="AAK258"/>
  <c r="B258" s="1"/>
  <c r="AAK236"/>
  <c r="B236" s="1"/>
  <c r="AAK235"/>
  <c r="B235" s="1"/>
  <c r="AAK212"/>
  <c r="B212" s="1"/>
  <c r="AAK213"/>
  <c r="B213" s="1"/>
  <c r="AAK276"/>
  <c r="B276" s="1"/>
  <c r="G277"/>
  <c r="G276"/>
  <c r="AAH276" s="1"/>
  <c r="AAK222"/>
  <c r="B222" s="1"/>
  <c r="AAG213" l="1"/>
  <c r="G213" s="1"/>
  <c r="AAG214" s="1"/>
  <c r="G214" s="1"/>
  <c r="AAH212"/>
  <c r="H212" s="1"/>
  <c r="F212" s="1"/>
  <c r="AAH210"/>
  <c r="H210" s="1"/>
  <c r="F210" s="1"/>
  <c r="AAG233"/>
  <c r="G233" s="1"/>
  <c r="AAG255"/>
  <c r="G255" s="1"/>
  <c r="AAH252"/>
  <c r="AAG254"/>
  <c r="G254" s="1"/>
  <c r="AAH254" s="1"/>
  <c r="H254" s="1"/>
  <c r="F254" s="1"/>
  <c r="AAG253"/>
  <c r="G253" s="1"/>
  <c r="AAH253" s="1"/>
  <c r="H253" s="1"/>
  <c r="F253" s="1"/>
  <c r="AAH277"/>
  <c r="H277" s="1"/>
  <c r="F277" s="1"/>
  <c r="H276"/>
  <c r="E210"/>
  <c r="E212" l="1"/>
  <c r="AAG215"/>
  <c r="G215" s="1"/>
  <c r="AAG216" s="1"/>
  <c r="AAH214"/>
  <c r="H214" s="1"/>
  <c r="AAG235"/>
  <c r="G235" s="1"/>
  <c r="AAH233"/>
  <c r="H233" s="1"/>
  <c r="AAG276"/>
  <c r="AAH275"/>
  <c r="H275" s="1"/>
  <c r="AAG277"/>
  <c r="AAG256"/>
  <c r="G256" s="1"/>
  <c r="AAG278"/>
  <c r="G278" s="1"/>
  <c r="E254"/>
  <c r="E253"/>
  <c r="E276"/>
  <c r="F276"/>
  <c r="E277"/>
  <c r="AAH215" l="1"/>
  <c r="H215" s="1"/>
  <c r="F214"/>
  <c r="E214"/>
  <c r="AAG279"/>
  <c r="G279" s="1"/>
  <c r="AAG281" s="1"/>
  <c r="G281" s="1"/>
  <c r="AAH298"/>
  <c r="AAG299"/>
  <c r="G299" s="1"/>
  <c r="AAH299" s="1"/>
  <c r="H299" s="1"/>
  <c r="AAG300"/>
  <c r="G300" s="1"/>
  <c r="AAG301"/>
  <c r="G301" s="1"/>
  <c r="AAG302" s="1"/>
  <c r="G302" s="1"/>
  <c r="AAG304" s="1"/>
  <c r="G304" s="1"/>
  <c r="AAG305" s="1"/>
  <c r="G305" s="1"/>
  <c r="AAG306" s="1"/>
  <c r="G306" s="1"/>
  <c r="AAG307" s="1"/>
  <c r="AAG258"/>
  <c r="G258" s="1"/>
  <c r="AAH256"/>
  <c r="H256" s="1"/>
  <c r="F256" s="1"/>
  <c r="AAG236"/>
  <c r="G236" s="1"/>
  <c r="AAH235"/>
  <c r="H235" s="1"/>
  <c r="F233"/>
  <c r="E233"/>
  <c r="G216"/>
  <c r="AAH216" s="1"/>
  <c r="H216" s="1"/>
  <c r="F216" s="1"/>
  <c r="AAG323"/>
  <c r="G323" s="1"/>
  <c r="H252"/>
  <c r="E215" l="1"/>
  <c r="F215"/>
  <c r="AAG322"/>
  <c r="G322" s="1"/>
  <c r="AAH322" s="1"/>
  <c r="H322" s="1"/>
  <c r="F322" s="1"/>
  <c r="AAH279"/>
  <c r="H279" s="1"/>
  <c r="AAH321"/>
  <c r="H321" s="1"/>
  <c r="AAG237"/>
  <c r="G237" s="1"/>
  <c r="AAH236"/>
  <c r="H236" s="1"/>
  <c r="F236" s="1"/>
  <c r="E299"/>
  <c r="F299"/>
  <c r="AAG282"/>
  <c r="G282" s="1"/>
  <c r="AAH281"/>
  <c r="H281" s="1"/>
  <c r="F281" s="1"/>
  <c r="F235"/>
  <c r="E235"/>
  <c r="AAG259"/>
  <c r="G259" s="1"/>
  <c r="AAH258"/>
  <c r="H258" s="1"/>
  <c r="F258" s="1"/>
  <c r="AAH300"/>
  <c r="H300" s="1"/>
  <c r="F300" s="1"/>
  <c r="E216"/>
  <c r="E256"/>
  <c r="G307"/>
  <c r="AAG308" s="1"/>
  <c r="G308" s="1"/>
  <c r="AAG217"/>
  <c r="G217" s="1"/>
  <c r="AAH306"/>
  <c r="H306" s="1"/>
  <c r="F306" s="1"/>
  <c r="AAH302"/>
  <c r="H302" s="1"/>
  <c r="F302" s="1"/>
  <c r="AAH323"/>
  <c r="H323" s="1"/>
  <c r="F323" s="1"/>
  <c r="AAH304"/>
  <c r="H304" s="1"/>
  <c r="F304" s="1"/>
  <c r="AAH305"/>
  <c r="H305" s="1"/>
  <c r="H298"/>
  <c r="E236" l="1"/>
  <c r="E281"/>
  <c r="AAH307"/>
  <c r="H307" s="1"/>
  <c r="F307" s="1"/>
  <c r="AAG309"/>
  <c r="G309" s="1"/>
  <c r="AAH309" s="1"/>
  <c r="H309" s="1"/>
  <c r="F309" s="1"/>
  <c r="AAH308"/>
  <c r="H308" s="1"/>
  <c r="F308" s="1"/>
  <c r="F279"/>
  <c r="E279"/>
  <c r="E300"/>
  <c r="E258"/>
  <c r="AAG260"/>
  <c r="G260" s="1"/>
  <c r="AAH259"/>
  <c r="AAG238"/>
  <c r="G238" s="1"/>
  <c r="AAH237"/>
  <c r="H237" s="1"/>
  <c r="F237" s="1"/>
  <c r="AAG283"/>
  <c r="G283" s="1"/>
  <c r="AAH282"/>
  <c r="H282" s="1"/>
  <c r="F282" s="1"/>
  <c r="E306"/>
  <c r="AAG218"/>
  <c r="G218" s="1"/>
  <c r="AAH217"/>
  <c r="H217" s="1"/>
  <c r="F305"/>
  <c r="E305"/>
  <c r="E304"/>
  <c r="E323"/>
  <c r="E302"/>
  <c r="E322"/>
  <c r="E307" l="1"/>
  <c r="E308"/>
  <c r="E309"/>
  <c r="E282"/>
  <c r="E237"/>
  <c r="AAG284"/>
  <c r="G284" s="1"/>
  <c r="AAH283"/>
  <c r="H283" s="1"/>
  <c r="F283" s="1"/>
  <c r="AAG261"/>
  <c r="G261" s="1"/>
  <c r="AAH260"/>
  <c r="H260" s="1"/>
  <c r="F260" s="1"/>
  <c r="AAG239"/>
  <c r="G239" s="1"/>
  <c r="AAH238"/>
  <c r="H238" s="1"/>
  <c r="F238" s="1"/>
  <c r="H259"/>
  <c r="E259" s="1"/>
  <c r="AAG310"/>
  <c r="AAG219"/>
  <c r="G219" s="1"/>
  <c r="AAH218"/>
  <c r="H218" s="1"/>
  <c r="F218" s="1"/>
  <c r="E217"/>
  <c r="F217"/>
  <c r="E218" l="1"/>
  <c r="F259"/>
  <c r="E260"/>
  <c r="E238"/>
  <c r="E283"/>
  <c r="AAH239"/>
  <c r="H239" s="1"/>
  <c r="F239" s="1"/>
  <c r="AAG240"/>
  <c r="G240" s="1"/>
  <c r="AAG285"/>
  <c r="G285" s="1"/>
  <c r="AAH284"/>
  <c r="H284" s="1"/>
  <c r="F284" s="1"/>
  <c r="AAG262"/>
  <c r="G262" s="1"/>
  <c r="AAH261"/>
  <c r="H261" s="1"/>
  <c r="F261" s="1"/>
  <c r="G310"/>
  <c r="AAG311" s="1"/>
  <c r="G311" s="1"/>
  <c r="AAG222"/>
  <c r="G222" s="1"/>
  <c r="AAH219"/>
  <c r="H219" s="1"/>
  <c r="F219" s="1"/>
  <c r="E239" l="1"/>
  <c r="E219"/>
  <c r="E261"/>
  <c r="AAG263"/>
  <c r="G263" s="1"/>
  <c r="AAH262"/>
  <c r="H262" s="1"/>
  <c r="F262" s="1"/>
  <c r="AAG241"/>
  <c r="G241" s="1"/>
  <c r="AAH240"/>
  <c r="H240" s="1"/>
  <c r="F240" s="1"/>
  <c r="AAG286"/>
  <c r="G286" s="1"/>
  <c r="AAH285"/>
  <c r="H285" s="1"/>
  <c r="F285" s="1"/>
  <c r="E284"/>
  <c r="AAH311"/>
  <c r="H311" s="1"/>
  <c r="F311" s="1"/>
  <c r="AAG314"/>
  <c r="G314" s="1"/>
  <c r="AAH310"/>
  <c r="H310" s="1"/>
  <c r="F310" s="1"/>
  <c r="AAG224"/>
  <c r="G224" s="1"/>
  <c r="AAH222"/>
  <c r="H222" s="1"/>
  <c r="F222" s="1"/>
  <c r="E311" l="1"/>
  <c r="E240"/>
  <c r="E222"/>
  <c r="E285"/>
  <c r="E262"/>
  <c r="AAG287"/>
  <c r="G287" s="1"/>
  <c r="AAH286"/>
  <c r="H286" s="1"/>
  <c r="F286" s="1"/>
  <c r="AAG264"/>
  <c r="G264" s="1"/>
  <c r="AAH263"/>
  <c r="H263" s="1"/>
  <c r="F263" s="1"/>
  <c r="E310"/>
  <c r="AAG242"/>
  <c r="G242" s="1"/>
  <c r="AAH241"/>
  <c r="H241" s="1"/>
  <c r="F241" s="1"/>
  <c r="AAG316"/>
  <c r="G316" s="1"/>
  <c r="AAH314"/>
  <c r="H314" s="1"/>
  <c r="F314" s="1"/>
  <c r="AAG225"/>
  <c r="G225" s="1"/>
  <c r="AAH224"/>
  <c r="H224" s="1"/>
  <c r="F224" s="1"/>
  <c r="AAH213"/>
  <c r="E263" l="1"/>
  <c r="E224"/>
  <c r="E286"/>
  <c r="AAG288"/>
  <c r="G288" s="1"/>
  <c r="AAH287"/>
  <c r="H287" s="1"/>
  <c r="F287" s="1"/>
  <c r="AAG245"/>
  <c r="G245" s="1"/>
  <c r="AAH242"/>
  <c r="H242" s="1"/>
  <c r="F242" s="1"/>
  <c r="AAG265"/>
  <c r="G265" s="1"/>
  <c r="AAH264"/>
  <c r="H264" s="1"/>
  <c r="F264" s="1"/>
  <c r="E314"/>
  <c r="E241"/>
  <c r="AAH316"/>
  <c r="H316" s="1"/>
  <c r="F316" s="1"/>
  <c r="AAG317"/>
  <c r="G317" s="1"/>
  <c r="AAG226"/>
  <c r="G226" s="1"/>
  <c r="AAH225"/>
  <c r="H225" s="1"/>
  <c r="F225" s="1"/>
  <c r="H213"/>
  <c r="F213" s="1"/>
  <c r="E316" l="1"/>
  <c r="E287"/>
  <c r="AAG268"/>
  <c r="G268" s="1"/>
  <c r="AAH265"/>
  <c r="H265" s="1"/>
  <c r="F265" s="1"/>
  <c r="AAG291"/>
  <c r="G291" s="1"/>
  <c r="AAH288"/>
  <c r="H288" s="1"/>
  <c r="F288" s="1"/>
  <c r="E225"/>
  <c r="E264"/>
  <c r="E242"/>
  <c r="AAH245"/>
  <c r="H245" s="1"/>
  <c r="F245" s="1"/>
  <c r="AAG247"/>
  <c r="G247" s="1"/>
  <c r="AAH317"/>
  <c r="H317" s="1"/>
  <c r="F317" s="1"/>
  <c r="AAG318"/>
  <c r="G318" s="1"/>
  <c r="AAG227"/>
  <c r="G227" s="1"/>
  <c r="AAH226"/>
  <c r="H226" s="1"/>
  <c r="E213"/>
  <c r="E245" l="1"/>
  <c r="E317"/>
  <c r="E288"/>
  <c r="E265"/>
  <c r="AAH247"/>
  <c r="H247" s="1"/>
  <c r="F247" s="1"/>
  <c r="AAG248"/>
  <c r="G248" s="1"/>
  <c r="AAG270"/>
  <c r="G270" s="1"/>
  <c r="AAH268"/>
  <c r="H268" s="1"/>
  <c r="F268" s="1"/>
  <c r="AAG293"/>
  <c r="G293" s="1"/>
  <c r="AAH291"/>
  <c r="H291" s="1"/>
  <c r="F291" s="1"/>
  <c r="AAG319"/>
  <c r="G319" s="1"/>
  <c r="AAH318"/>
  <c r="H318" s="1"/>
  <c r="F318" s="1"/>
  <c r="AAG228"/>
  <c r="AAH227"/>
  <c r="H227" s="1"/>
  <c r="E226"/>
  <c r="F226"/>
  <c r="E247" l="1"/>
  <c r="E291"/>
  <c r="AAG294"/>
  <c r="G294" s="1"/>
  <c r="AAH293"/>
  <c r="H293" s="1"/>
  <c r="F293" s="1"/>
  <c r="AAG271"/>
  <c r="G271" s="1"/>
  <c r="AAH270"/>
  <c r="H270" s="1"/>
  <c r="F270" s="1"/>
  <c r="AAH248"/>
  <c r="H248" s="1"/>
  <c r="F248" s="1"/>
  <c r="AAG249"/>
  <c r="G249" s="1"/>
  <c r="E318"/>
  <c r="E268"/>
  <c r="AAG320"/>
  <c r="G320" s="1"/>
  <c r="AAH319"/>
  <c r="H319" s="1"/>
  <c r="F319" s="1"/>
  <c r="G228"/>
  <c r="AAH228" s="1"/>
  <c r="H228" s="1"/>
  <c r="F228" s="1"/>
  <c r="F227"/>
  <c r="E227"/>
  <c r="H229"/>
  <c r="E248" l="1"/>
  <c r="E319"/>
  <c r="E270"/>
  <c r="E293"/>
  <c r="AAG295"/>
  <c r="G295" s="1"/>
  <c r="AAH294"/>
  <c r="H294" s="1"/>
  <c r="AAG250"/>
  <c r="G250" s="1"/>
  <c r="AAH249"/>
  <c r="H249" s="1"/>
  <c r="F249" s="1"/>
  <c r="AAG272"/>
  <c r="G272" s="1"/>
  <c r="AAH271"/>
  <c r="H271" s="1"/>
  <c r="AAH320"/>
  <c r="H320" s="1"/>
  <c r="F320" s="1"/>
  <c r="E228"/>
  <c r="H230"/>
  <c r="E249" l="1"/>
  <c r="E320"/>
  <c r="E271"/>
  <c r="F271"/>
  <c r="AAH250"/>
  <c r="H250" s="1"/>
  <c r="F250" s="1"/>
  <c r="AAG251"/>
  <c r="G251" s="1"/>
  <c r="AAG296"/>
  <c r="G296" s="1"/>
  <c r="AAH295"/>
  <c r="H295" s="1"/>
  <c r="F295" s="1"/>
  <c r="AAG273"/>
  <c r="G273" s="1"/>
  <c r="AAH272"/>
  <c r="H272" s="1"/>
  <c r="F272" s="1"/>
  <c r="E294"/>
  <c r="F294"/>
  <c r="E230"/>
  <c r="F230"/>
  <c r="H231"/>
  <c r="E250" l="1"/>
  <c r="E272"/>
  <c r="AAG274"/>
  <c r="G274" s="1"/>
  <c r="AAH273"/>
  <c r="H273" s="1"/>
  <c r="F273" s="1"/>
  <c r="AAG297"/>
  <c r="G297" s="1"/>
  <c r="AAH296"/>
  <c r="H296" s="1"/>
  <c r="F296" s="1"/>
  <c r="AAH251"/>
  <c r="H251" s="1"/>
  <c r="F251" s="1"/>
  <c r="E295"/>
  <c r="E231"/>
  <c r="F231"/>
  <c r="E251" l="1"/>
  <c r="E296"/>
  <c r="E273"/>
  <c r="AAH274"/>
  <c r="H274" s="1"/>
  <c r="F274" s="1"/>
  <c r="AAH297"/>
  <c r="H297" s="1"/>
  <c r="F297" s="1"/>
  <c r="B706"/>
  <c r="E274" l="1"/>
  <c r="E297"/>
  <c r="AAH550" l="1"/>
  <c r="H550" s="1"/>
  <c r="G375"/>
  <c r="AAG376" s="1"/>
  <c r="G377" s="1"/>
  <c r="G376" l="1"/>
  <c r="AAH580"/>
  <c r="H580" s="1"/>
  <c r="AAH584" l="1"/>
  <c r="H584" s="1"/>
  <c r="AAH582"/>
  <c r="H582" s="1"/>
  <c r="F580"/>
  <c r="F584" l="1"/>
  <c r="F582"/>
  <c r="G428" l="1"/>
  <c r="G432"/>
  <c r="G436" l="1"/>
  <c r="G447" l="1"/>
  <c r="H447" l="1"/>
  <c r="G448" l="1"/>
  <c r="F447"/>
  <c r="E447"/>
  <c r="H448" l="1"/>
  <c r="F448" s="1"/>
  <c r="E448" l="1"/>
  <c r="D45" l="1"/>
  <c r="E44" s="1"/>
  <c r="E45" l="1"/>
  <c r="AAH7"/>
  <c r="H7" s="1"/>
  <c r="AAH43"/>
  <c r="AAH47" l="1"/>
  <c r="H47" s="1"/>
  <c r="AAH50"/>
  <c r="H50" s="1"/>
  <c r="F50" s="1"/>
  <c r="AAG40"/>
  <c r="G40" s="1"/>
  <c r="AAH40" s="1"/>
  <c r="AAH691"/>
  <c r="H691" s="1"/>
  <c r="AAG692" s="1"/>
  <c r="G692" s="1"/>
  <c r="AAH30"/>
  <c r="H30" s="1"/>
  <c r="AAG38"/>
  <c r="AAG39"/>
  <c r="G39" s="1"/>
  <c r="AAH39" s="1"/>
  <c r="AAH16"/>
  <c r="H16" s="1"/>
  <c r="F7"/>
  <c r="AAH690"/>
  <c r="H690" s="1"/>
  <c r="F690" s="1"/>
  <c r="AAG691"/>
  <c r="G691" s="1"/>
  <c r="F43"/>
  <c r="AAH684"/>
  <c r="H684" s="1"/>
  <c r="F684" s="1"/>
  <c r="AAI49"/>
  <c r="AAH687"/>
  <c r="H687" s="1"/>
  <c r="F687" s="1"/>
  <c r="AAH688"/>
  <c r="H688" s="1"/>
  <c r="F688" s="1"/>
  <c r="AAK705"/>
  <c r="B705" s="1"/>
  <c r="AAH48"/>
  <c r="H48" s="1"/>
  <c r="F48" s="1"/>
  <c r="AAH616"/>
  <c r="H616" s="1"/>
  <c r="AAH689"/>
  <c r="H689" s="1"/>
  <c r="F689" s="1"/>
  <c r="AAH748"/>
  <c r="H748" s="1"/>
  <c r="F748" s="1"/>
  <c r="AAG748"/>
  <c r="G748" s="1"/>
  <c r="AAH686"/>
  <c r="H686" s="1"/>
  <c r="F686" s="1"/>
  <c r="AAH42"/>
  <c r="H42" s="1"/>
  <c r="AAH671" s="1"/>
  <c r="AAI38"/>
  <c r="AAG698"/>
  <c r="G698" s="1"/>
  <c r="AAH685"/>
  <c r="H685" s="1"/>
  <c r="F685" s="1"/>
  <c r="AAH714" l="1"/>
  <c r="AAH712"/>
  <c r="AAH710"/>
  <c r="H710" s="1"/>
  <c r="F710" s="1"/>
  <c r="AAH708"/>
  <c r="AAH706"/>
  <c r="AAH704"/>
  <c r="AAH713"/>
  <c r="AAH711"/>
  <c r="AAH709"/>
  <c r="AAH707"/>
  <c r="AAH705"/>
  <c r="AAH703"/>
  <c r="AAH718"/>
  <c r="AAH719"/>
  <c r="AAH716"/>
  <c r="AAH717"/>
  <c r="AAH741"/>
  <c r="H741" s="1"/>
  <c r="F741" s="1"/>
  <c r="AAH721"/>
  <c r="H721" s="1"/>
  <c r="F721" s="1"/>
  <c r="AAH49"/>
  <c r="H49" s="1"/>
  <c r="AAH727" s="1"/>
  <c r="H727" s="1"/>
  <c r="F727" s="1"/>
  <c r="AAI40"/>
  <c r="AAI39"/>
  <c r="AAH692"/>
  <c r="H692" s="1"/>
  <c r="F692" s="1"/>
  <c r="AAH324"/>
  <c r="H324" s="1"/>
  <c r="E324" s="1"/>
  <c r="AAH208"/>
  <c r="H208" s="1"/>
  <c r="F16"/>
  <c r="AAH206"/>
  <c r="H206" s="1"/>
  <c r="H172"/>
  <c r="F172"/>
  <c r="AAH172"/>
  <c r="AAH643"/>
  <c r="H643" s="1"/>
  <c r="F643" s="1"/>
  <c r="AAH649"/>
  <c r="H649" s="1"/>
  <c r="F649" s="1"/>
  <c r="AAH621"/>
  <c r="H621" s="1"/>
  <c r="F621" s="1"/>
  <c r="AAH654"/>
  <c r="H654" s="1"/>
  <c r="F654" s="1"/>
  <c r="AAH619"/>
  <c r="H619" s="1"/>
  <c r="F619" s="1"/>
  <c r="AAH568"/>
  <c r="H568" s="1"/>
  <c r="F568" s="1"/>
  <c r="AAH634"/>
  <c r="H634" s="1"/>
  <c r="F634" s="1"/>
  <c r="AAH624"/>
  <c r="H624" s="1"/>
  <c r="F624" s="1"/>
  <c r="AAH620"/>
  <c r="H620" s="1"/>
  <c r="F620" s="1"/>
  <c r="F42"/>
  <c r="AAH589"/>
  <c r="H589" s="1"/>
  <c r="F589" s="1"/>
  <c r="AAH567"/>
  <c r="H567" s="1"/>
  <c r="F567" s="1"/>
  <c r="AAH655"/>
  <c r="H655" s="1"/>
  <c r="F655" s="1"/>
  <c r="AAH645"/>
  <c r="H645" s="1"/>
  <c r="F645" s="1"/>
  <c r="AAH657"/>
  <c r="H657" s="1"/>
  <c r="F657" s="1"/>
  <c r="AAH622"/>
  <c r="H622" s="1"/>
  <c r="F622" s="1"/>
  <c r="AAH642"/>
  <c r="H642" s="1"/>
  <c r="F642" s="1"/>
  <c r="H671"/>
  <c r="F671" s="1"/>
  <c r="AAH653"/>
  <c r="H653" s="1"/>
  <c r="F653" s="1"/>
  <c r="AAH647"/>
  <c r="H647" s="1"/>
  <c r="AAG658" s="1"/>
  <c r="AAH648"/>
  <c r="H648" s="1"/>
  <c r="F648" s="1"/>
  <c r="AAH625"/>
  <c r="H625" s="1"/>
  <c r="F625" s="1"/>
  <c r="AAH641"/>
  <c r="H641" s="1"/>
  <c r="F641" s="1"/>
  <c r="AAH652"/>
  <c r="H652" s="1"/>
  <c r="F652" s="1"/>
  <c r="AAH656"/>
  <c r="H656" s="1"/>
  <c r="F656" s="1"/>
  <c r="AAH639"/>
  <c r="H639" s="1"/>
  <c r="F639" s="1"/>
  <c r="AAH623"/>
  <c r="H623" s="1"/>
  <c r="F623" s="1"/>
  <c r="AAH638"/>
  <c r="H638" s="1"/>
  <c r="F638" s="1"/>
  <c r="AAH675"/>
  <c r="H675" s="1"/>
  <c r="AAH651"/>
  <c r="H651" s="1"/>
  <c r="AAH674"/>
  <c r="H674" s="1"/>
  <c r="F674" s="1"/>
  <c r="AAH640"/>
  <c r="H640" s="1"/>
  <c r="F640" s="1"/>
  <c r="AAH698"/>
  <c r="H698" s="1"/>
  <c r="F698" s="1"/>
  <c r="AAI30"/>
  <c r="AAG567"/>
  <c r="G567" s="1"/>
  <c r="AAG589"/>
  <c r="G589" s="1"/>
  <c r="F30"/>
  <c r="AAG568"/>
  <c r="G568" s="1"/>
  <c r="AAH29"/>
  <c r="H29" s="1"/>
  <c r="AAH733"/>
  <c r="H733" s="1"/>
  <c r="F733" s="1"/>
  <c r="AAH728"/>
  <c r="H728" s="1"/>
  <c r="F728" s="1"/>
  <c r="F47"/>
  <c r="AAG749"/>
  <c r="G749" s="1"/>
  <c r="AAG744"/>
  <c r="G744" s="1"/>
  <c r="AAH746"/>
  <c r="E748"/>
  <c r="E567" l="1"/>
  <c r="E589"/>
  <c r="AAG541"/>
  <c r="G541" s="1"/>
  <c r="AAH541" s="1"/>
  <c r="AAG539"/>
  <c r="G539" s="1"/>
  <c r="AAH539" s="1"/>
  <c r="AAG540"/>
  <c r="G540" s="1"/>
  <c r="AAH540" s="1"/>
  <c r="F651"/>
  <c r="E568"/>
  <c r="E692"/>
  <c r="H717"/>
  <c r="F717" s="1"/>
  <c r="H703"/>
  <c r="F703" s="1"/>
  <c r="G658"/>
  <c r="F647"/>
  <c r="H712"/>
  <c r="F712" s="1"/>
  <c r="H713"/>
  <c r="F713" s="1"/>
  <c r="AAH744"/>
  <c r="H744" s="1"/>
  <c r="F744" s="1"/>
  <c r="F324"/>
  <c r="E208"/>
  <c r="F208"/>
  <c r="AAH749"/>
  <c r="AAH330"/>
  <c r="H330" s="1"/>
  <c r="F29"/>
  <c r="AAH33"/>
  <c r="AAH466" s="1"/>
  <c r="AAG616"/>
  <c r="G616" s="1"/>
  <c r="H705"/>
  <c r="F705" s="1"/>
  <c r="H718"/>
  <c r="F718" s="1"/>
  <c r="F49"/>
  <c r="H714"/>
  <c r="F714" s="1"/>
  <c r="H709"/>
  <c r="F709" s="1"/>
  <c r="AAG746"/>
  <c r="G746" s="1"/>
  <c r="H746"/>
  <c r="H708"/>
  <c r="F708" s="1"/>
  <c r="H716"/>
  <c r="F716" s="1"/>
  <c r="H704"/>
  <c r="F704" s="1"/>
  <c r="AAH676"/>
  <c r="H676" s="1"/>
  <c r="F675"/>
  <c r="H707"/>
  <c r="F707" s="1"/>
  <c r="E206"/>
  <c r="F206"/>
  <c r="H711"/>
  <c r="F711" s="1"/>
  <c r="AAH754"/>
  <c r="H754" s="1"/>
  <c r="AAH755"/>
  <c r="H755" s="1"/>
  <c r="AAH753"/>
  <c r="H753" s="1"/>
  <c r="F753" s="1"/>
  <c r="AAH760"/>
  <c r="H760" s="1"/>
  <c r="F760" s="1"/>
  <c r="H706"/>
  <c r="F706" s="1"/>
  <c r="H719"/>
  <c r="F719" s="1"/>
  <c r="AAG686" l="1"/>
  <c r="G686" s="1"/>
  <c r="E686" s="1"/>
  <c r="AAG625"/>
  <c r="G625" s="1"/>
  <c r="E625" s="1"/>
  <c r="AAH22"/>
  <c r="H22" s="1"/>
  <c r="F22" s="1"/>
  <c r="AAH461"/>
  <c r="H461" s="1"/>
  <c r="AAH465"/>
  <c r="H465" s="1"/>
  <c r="AAG525"/>
  <c r="AAG527"/>
  <c r="AAG533"/>
  <c r="AAH453"/>
  <c r="H453" s="1"/>
  <c r="C17" i="99" s="1"/>
  <c r="AAH457" i="94"/>
  <c r="H457" s="1"/>
  <c r="C21" i="99" s="1"/>
  <c r="AAH523" i="94"/>
  <c r="H523" s="1"/>
  <c r="AAH460"/>
  <c r="H460" s="1"/>
  <c r="AAH462"/>
  <c r="AAH471"/>
  <c r="H471" s="1"/>
  <c r="AAH473"/>
  <c r="H473" s="1"/>
  <c r="AAG528"/>
  <c r="AAH454"/>
  <c r="H454" s="1"/>
  <c r="C18" i="99" s="1"/>
  <c r="AAH458" i="94"/>
  <c r="H458" s="1"/>
  <c r="C22" i="99" s="1"/>
  <c r="AAH450" i="94"/>
  <c r="H450" s="1"/>
  <c r="AAH470"/>
  <c r="H470" s="1"/>
  <c r="AAH472"/>
  <c r="H472" s="1"/>
  <c r="AAG543"/>
  <c r="AAH455"/>
  <c r="H455" s="1"/>
  <c r="C19" i="99" s="1"/>
  <c r="AAH459" i="94"/>
  <c r="AAH464"/>
  <c r="H464" s="1"/>
  <c r="AAG524"/>
  <c r="AAG526"/>
  <c r="AAH452"/>
  <c r="H452" s="1"/>
  <c r="C16" i="99" s="1"/>
  <c r="AAH456" i="94"/>
  <c r="H456" s="1"/>
  <c r="C20" i="99" s="1"/>
  <c r="AAH451" i="94"/>
  <c r="H451" s="1"/>
  <c r="AAH501"/>
  <c r="H501" s="1"/>
  <c r="AAG685"/>
  <c r="G685" s="1"/>
  <c r="E685" s="1"/>
  <c r="AAG653"/>
  <c r="G653" s="1"/>
  <c r="E653" s="1"/>
  <c r="AAI366"/>
  <c r="AAH449"/>
  <c r="H449" s="1"/>
  <c r="AAG657"/>
  <c r="G657" s="1"/>
  <c r="E657" s="1"/>
  <c r="AAG655"/>
  <c r="G655" s="1"/>
  <c r="E655" s="1"/>
  <c r="AAG634"/>
  <c r="G634" s="1"/>
  <c r="E634" s="1"/>
  <c r="AAG642"/>
  <c r="G642" s="1"/>
  <c r="E642" s="1"/>
  <c r="AAG640"/>
  <c r="G640" s="1"/>
  <c r="E640" s="1"/>
  <c r="AAG638"/>
  <c r="G638" s="1"/>
  <c r="E638" s="1"/>
  <c r="AAG649"/>
  <c r="G649" s="1"/>
  <c r="E649" s="1"/>
  <c r="AAG647"/>
  <c r="G647" s="1"/>
  <c r="E647" s="1"/>
  <c r="AAG651"/>
  <c r="G651" s="1"/>
  <c r="E651" s="1"/>
  <c r="AAG656"/>
  <c r="G656" s="1"/>
  <c r="E656" s="1"/>
  <c r="AAG654"/>
  <c r="AAG643"/>
  <c r="G643" s="1"/>
  <c r="E643" s="1"/>
  <c r="AAG641"/>
  <c r="AAG639"/>
  <c r="G639" s="1"/>
  <c r="E639" s="1"/>
  <c r="AAG645"/>
  <c r="G645" s="1"/>
  <c r="E645" s="1"/>
  <c r="AAG648"/>
  <c r="G648" s="1"/>
  <c r="E648" s="1"/>
  <c r="AAG652"/>
  <c r="G652" s="1"/>
  <c r="E652" s="1"/>
  <c r="AAH669"/>
  <c r="H669" s="1"/>
  <c r="F669" s="1"/>
  <c r="AAH667"/>
  <c r="H667" s="1"/>
  <c r="F667" s="1"/>
  <c r="AAH665"/>
  <c r="H665" s="1"/>
  <c r="F665" s="1"/>
  <c r="AAH663"/>
  <c r="H663" s="1"/>
  <c r="F663" s="1"/>
  <c r="AAH661"/>
  <c r="H661" s="1"/>
  <c r="F661" s="1"/>
  <c r="AAH659"/>
  <c r="H659" s="1"/>
  <c r="F659" s="1"/>
  <c r="AAG660"/>
  <c r="G660" s="1"/>
  <c r="AAH668"/>
  <c r="H668" s="1"/>
  <c r="F668" s="1"/>
  <c r="AAH666"/>
  <c r="AAH664"/>
  <c r="H664" s="1"/>
  <c r="F664" s="1"/>
  <c r="AAH662"/>
  <c r="AAH660"/>
  <c r="H660" s="1"/>
  <c r="F660" s="1"/>
  <c r="AAH658"/>
  <c r="H658" s="1"/>
  <c r="AAG661"/>
  <c r="G661" s="1"/>
  <c r="AAG659"/>
  <c r="G659" s="1"/>
  <c r="AAH28"/>
  <c r="H28" s="1"/>
  <c r="F28" s="1"/>
  <c r="AAH23"/>
  <c r="H23" s="1"/>
  <c r="F23" s="1"/>
  <c r="AAH55"/>
  <c r="H55" s="1"/>
  <c r="F55" s="1"/>
  <c r="AAH345"/>
  <c r="H345" s="1"/>
  <c r="F746"/>
  <c r="AAG747"/>
  <c r="G747" s="1"/>
  <c r="F755"/>
  <c r="AAG756"/>
  <c r="G756" s="1"/>
  <c r="AAG753"/>
  <c r="G753" s="1"/>
  <c r="E753" s="1"/>
  <c r="H749"/>
  <c r="AAG760"/>
  <c r="G760" s="1"/>
  <c r="E760" s="1"/>
  <c r="H462"/>
  <c r="AAH463" s="1"/>
  <c r="G533"/>
  <c r="AAH533" s="1"/>
  <c r="AAH31"/>
  <c r="H31" s="1"/>
  <c r="H466"/>
  <c r="G543"/>
  <c r="AAH34"/>
  <c r="H459"/>
  <c r="C23" i="99" s="1"/>
  <c r="F33" i="94"/>
  <c r="H540"/>
  <c r="F540" s="1"/>
  <c r="E744"/>
  <c r="H539"/>
  <c r="F539" s="1"/>
  <c r="AAG624"/>
  <c r="G624" s="1"/>
  <c r="E624" s="1"/>
  <c r="AAG622"/>
  <c r="G622" s="1"/>
  <c r="E622" s="1"/>
  <c r="AAG621"/>
  <c r="G621" s="1"/>
  <c r="E621" s="1"/>
  <c r="AAG619"/>
  <c r="G619" s="1"/>
  <c r="E619" s="1"/>
  <c r="G654"/>
  <c r="E654" s="1"/>
  <c r="AAG620"/>
  <c r="G620" s="1"/>
  <c r="E620" s="1"/>
  <c r="AAG674"/>
  <c r="G674" s="1"/>
  <c r="E674" s="1"/>
  <c r="AAG623"/>
  <c r="G623" s="1"/>
  <c r="E623" s="1"/>
  <c r="AAG688"/>
  <c r="G688" s="1"/>
  <c r="AAG675"/>
  <c r="G675" s="1"/>
  <c r="E675" s="1"/>
  <c r="AAG687"/>
  <c r="G687" s="1"/>
  <c r="E687" s="1"/>
  <c r="G641"/>
  <c r="E641" s="1"/>
  <c r="AAG684"/>
  <c r="G684" s="1"/>
  <c r="E684" s="1"/>
  <c r="F616"/>
  <c r="F754"/>
  <c r="H541"/>
  <c r="F541" s="1"/>
  <c r="AAH341"/>
  <c r="H341" s="1"/>
  <c r="F341" s="1"/>
  <c r="AAH337"/>
  <c r="H337" s="1"/>
  <c r="AAH340"/>
  <c r="H340" s="1"/>
  <c r="F330"/>
  <c r="AAH339"/>
  <c r="H339" s="1"/>
  <c r="AAH338"/>
  <c r="H338" s="1"/>
  <c r="AAH18"/>
  <c r="H18" s="1"/>
  <c r="F18" s="1"/>
  <c r="AAH336"/>
  <c r="H336" s="1"/>
  <c r="E746"/>
  <c r="E661" l="1"/>
  <c r="E659"/>
  <c r="E660"/>
  <c r="AAH521"/>
  <c r="H521" s="1"/>
  <c r="F521" s="1"/>
  <c r="AAH484"/>
  <c r="AAH486"/>
  <c r="H486" s="1"/>
  <c r="AAH498"/>
  <c r="H498" s="1"/>
  <c r="AAH487"/>
  <c r="H487" s="1"/>
  <c r="AAH495"/>
  <c r="H495" s="1"/>
  <c r="AAH488"/>
  <c r="H488" s="1"/>
  <c r="AAH520"/>
  <c r="H520" s="1"/>
  <c r="F520" s="1"/>
  <c r="AAH485"/>
  <c r="H485" s="1"/>
  <c r="AAH489"/>
  <c r="H489" s="1"/>
  <c r="AAH493"/>
  <c r="H493" s="1"/>
  <c r="AAH475"/>
  <c r="H475" s="1"/>
  <c r="AAH410" s="1"/>
  <c r="E658"/>
  <c r="AAG662"/>
  <c r="G662" s="1"/>
  <c r="AAK23"/>
  <c r="B23" s="1"/>
  <c r="AAK22"/>
  <c r="B22" s="1"/>
  <c r="AAG28"/>
  <c r="G28" s="1"/>
  <c r="E541"/>
  <c r="F658"/>
  <c r="F473"/>
  <c r="E473"/>
  <c r="F466"/>
  <c r="E466"/>
  <c r="G528"/>
  <c r="AAH528" s="1"/>
  <c r="H528"/>
  <c r="F528" s="1"/>
  <c r="AAH553"/>
  <c r="H553" s="1"/>
  <c r="F553" s="1"/>
  <c r="AAG370"/>
  <c r="G370" s="1"/>
  <c r="AAG378" s="1"/>
  <c r="G378" s="1"/>
  <c r="AAG594"/>
  <c r="G594" s="1"/>
  <c r="AAG596"/>
  <c r="G596" s="1"/>
  <c r="AAG595"/>
  <c r="G595" s="1"/>
  <c r="F34"/>
  <c r="C4" i="99"/>
  <c r="AAH570" i="94"/>
  <c r="H570" s="1"/>
  <c r="F570" s="1"/>
  <c r="AAG377"/>
  <c r="F449"/>
  <c r="E449"/>
  <c r="E471"/>
  <c r="F471"/>
  <c r="AAH747"/>
  <c r="H747" s="1"/>
  <c r="F747" s="1"/>
  <c r="E451"/>
  <c r="F451"/>
  <c r="G527"/>
  <c r="AAH527" s="1"/>
  <c r="H527"/>
  <c r="F527" s="1"/>
  <c r="E337"/>
  <c r="F337"/>
  <c r="F472"/>
  <c r="E472"/>
  <c r="E464"/>
  <c r="F464"/>
  <c r="G526"/>
  <c r="AAH526" s="1"/>
  <c r="H526"/>
  <c r="F526" s="1"/>
  <c r="E539"/>
  <c r="AAG341"/>
  <c r="G341" s="1"/>
  <c r="E341" s="1"/>
  <c r="F340"/>
  <c r="E340"/>
  <c r="E450"/>
  <c r="F450"/>
  <c r="E465"/>
  <c r="F465"/>
  <c r="F462"/>
  <c r="H463"/>
  <c r="E462"/>
  <c r="AAH756"/>
  <c r="H756" s="1"/>
  <c r="F756" s="1"/>
  <c r="E336"/>
  <c r="F336"/>
  <c r="AAG689"/>
  <c r="G689" s="1"/>
  <c r="E688"/>
  <c r="E460"/>
  <c r="F460"/>
  <c r="E470"/>
  <c r="F470"/>
  <c r="E461"/>
  <c r="F461"/>
  <c r="E540"/>
  <c r="H533"/>
  <c r="F533" s="1"/>
  <c r="F749"/>
  <c r="E749"/>
  <c r="F339"/>
  <c r="E339"/>
  <c r="E338"/>
  <c r="F338"/>
  <c r="H524"/>
  <c r="F524" s="1"/>
  <c r="G524"/>
  <c r="AAH524" s="1"/>
  <c r="G525"/>
  <c r="AAH525" s="1"/>
  <c r="H525"/>
  <c r="F525" s="1"/>
  <c r="F31"/>
  <c r="AAH348"/>
  <c r="H348" s="1"/>
  <c r="F348" s="1"/>
  <c r="AAG348"/>
  <c r="G348" s="1"/>
  <c r="AAH491" l="1"/>
  <c r="H491" s="1"/>
  <c r="AAH413"/>
  <c r="AAH415"/>
  <c r="H415" s="1"/>
  <c r="AAH419"/>
  <c r="AAH421"/>
  <c r="H421" s="1"/>
  <c r="AAH423"/>
  <c r="AAH425"/>
  <c r="H425" s="1"/>
  <c r="AAH444"/>
  <c r="AAH443"/>
  <c r="H443" s="1"/>
  <c r="AAH417"/>
  <c r="AAH414"/>
  <c r="H414" s="1"/>
  <c r="AAH442"/>
  <c r="AAH411"/>
  <c r="H411" s="1"/>
  <c r="AAH478"/>
  <c r="H478" s="1"/>
  <c r="AAH416"/>
  <c r="H416" s="1"/>
  <c r="AAH418"/>
  <c r="H418" s="1"/>
  <c r="AAH420"/>
  <c r="H420" s="1"/>
  <c r="AAH422"/>
  <c r="H422" s="1"/>
  <c r="AAH424"/>
  <c r="H424" s="1"/>
  <c r="H410"/>
  <c r="AAG665"/>
  <c r="G665" s="1"/>
  <c r="E665" s="1"/>
  <c r="AAG663"/>
  <c r="G663" s="1"/>
  <c r="E663" s="1"/>
  <c r="AAG664"/>
  <c r="G664" s="1"/>
  <c r="E664" s="1"/>
  <c r="AAH382"/>
  <c r="H382" s="1"/>
  <c r="F382" s="1"/>
  <c r="AAH385"/>
  <c r="H385" s="1"/>
  <c r="F385" s="1"/>
  <c r="AAH383"/>
  <c r="H383" s="1"/>
  <c r="F383" s="1"/>
  <c r="AAH384"/>
  <c r="H384" s="1"/>
  <c r="F384" s="1"/>
  <c r="H413"/>
  <c r="H435"/>
  <c r="H433"/>
  <c r="H419"/>
  <c r="H417"/>
  <c r="H434"/>
  <c r="H432"/>
  <c r="H438"/>
  <c r="H444"/>
  <c r="AAG445" s="1"/>
  <c r="H428"/>
  <c r="H437"/>
  <c r="H442"/>
  <c r="AAG444" s="1"/>
  <c r="H439"/>
  <c r="H429"/>
  <c r="H423"/>
  <c r="H436"/>
  <c r="H431"/>
  <c r="H430"/>
  <c r="E747"/>
  <c r="E756"/>
  <c r="E533"/>
  <c r="AAH595"/>
  <c r="H595" s="1"/>
  <c r="F595" s="1"/>
  <c r="H662"/>
  <c r="E528"/>
  <c r="E526"/>
  <c r="E524"/>
  <c r="E348"/>
  <c r="AAG351"/>
  <c r="G351" s="1"/>
  <c r="E525"/>
  <c r="F488"/>
  <c r="H484"/>
  <c r="F484" s="1"/>
  <c r="F485"/>
  <c r="E527"/>
  <c r="AAG588"/>
  <c r="G588" s="1"/>
  <c r="AAH35"/>
  <c r="H35" s="1"/>
  <c r="AAG592"/>
  <c r="G592" s="1"/>
  <c r="AAG587"/>
  <c r="G587" s="1"/>
  <c r="AAH379"/>
  <c r="H379" s="1"/>
  <c r="AAG690"/>
  <c r="G690" s="1"/>
  <c r="E690" s="1"/>
  <c r="E689"/>
  <c r="AAH594"/>
  <c r="H594" s="1"/>
  <c r="F594" s="1"/>
  <c r="AAH596"/>
  <c r="H596" s="1"/>
  <c r="AAH398" l="1"/>
  <c r="H398" s="1"/>
  <c r="F398" s="1"/>
  <c r="AAG412"/>
  <c r="AAH467"/>
  <c r="H467" s="1"/>
  <c r="AAH481"/>
  <c r="H481" s="1"/>
  <c r="AAH483"/>
  <c r="H483" s="1"/>
  <c r="F483" s="1"/>
  <c r="E662"/>
  <c r="AAG666"/>
  <c r="G666" s="1"/>
  <c r="AAG26"/>
  <c r="G26" s="1"/>
  <c r="AAH406"/>
  <c r="H406" s="1"/>
  <c r="E436"/>
  <c r="F436"/>
  <c r="E416"/>
  <c r="F416"/>
  <c r="E434"/>
  <c r="F434"/>
  <c r="G489"/>
  <c r="AAH408"/>
  <c r="H408" s="1"/>
  <c r="G412"/>
  <c r="AAH396"/>
  <c r="H396" s="1"/>
  <c r="AAH392"/>
  <c r="H392" s="1"/>
  <c r="G488"/>
  <c r="E488" s="1"/>
  <c r="AAH400"/>
  <c r="H400" s="1"/>
  <c r="AAH407"/>
  <c r="H407" s="1"/>
  <c r="AAH399"/>
  <c r="H399" s="1"/>
  <c r="AAH395"/>
  <c r="H395" s="1"/>
  <c r="AAH403"/>
  <c r="H403" s="1"/>
  <c r="G484"/>
  <c r="E484" s="1"/>
  <c r="AAH402"/>
  <c r="H402" s="1"/>
  <c r="AAH391"/>
  <c r="H391" s="1"/>
  <c r="AAH405"/>
  <c r="H405" s="1"/>
  <c r="G485"/>
  <c r="G486"/>
  <c r="E486" s="1"/>
  <c r="AAH393"/>
  <c r="H393" s="1"/>
  <c r="F478"/>
  <c r="AAH404"/>
  <c r="H404" s="1"/>
  <c r="AAH397"/>
  <c r="H397" s="1"/>
  <c r="AAH401"/>
  <c r="H401" s="1"/>
  <c r="F431"/>
  <c r="E431"/>
  <c r="E437"/>
  <c r="F437"/>
  <c r="F414"/>
  <c r="E414"/>
  <c r="F413"/>
  <c r="E413"/>
  <c r="F415"/>
  <c r="E415"/>
  <c r="G444"/>
  <c r="E444" s="1"/>
  <c r="F442"/>
  <c r="E442"/>
  <c r="E432"/>
  <c r="F432"/>
  <c r="E435"/>
  <c r="F435"/>
  <c r="F424"/>
  <c r="E424"/>
  <c r="E438"/>
  <c r="F438"/>
  <c r="E430"/>
  <c r="F430"/>
  <c r="F439"/>
  <c r="E439"/>
  <c r="E425"/>
  <c r="F425"/>
  <c r="E433"/>
  <c r="F433"/>
  <c r="E429"/>
  <c r="F429"/>
  <c r="F444"/>
  <c r="G445"/>
  <c r="E419"/>
  <c r="F419"/>
  <c r="F418"/>
  <c r="E418"/>
  <c r="F423"/>
  <c r="E423"/>
  <c r="F421"/>
  <c r="E421"/>
  <c r="E422"/>
  <c r="F422"/>
  <c r="E420"/>
  <c r="F420"/>
  <c r="E428"/>
  <c r="F428"/>
  <c r="F417"/>
  <c r="E417"/>
  <c r="E594"/>
  <c r="E595"/>
  <c r="AAH351"/>
  <c r="H351" s="1"/>
  <c r="E351" s="1"/>
  <c r="F379"/>
  <c r="E379"/>
  <c r="F489"/>
  <c r="F493"/>
  <c r="F486"/>
  <c r="F596"/>
  <c r="AAG604"/>
  <c r="G604" s="1"/>
  <c r="AAH592"/>
  <c r="H592" s="1"/>
  <c r="AAH366"/>
  <c r="H366" s="1"/>
  <c r="AAH587"/>
  <c r="H587" s="1"/>
  <c r="F587" s="1"/>
  <c r="AAG550"/>
  <c r="G550" s="1"/>
  <c r="AAH588"/>
  <c r="H588" s="1"/>
  <c r="F588" s="1"/>
  <c r="AAG590"/>
  <c r="AAH590"/>
  <c r="H590" s="1"/>
  <c r="AAG610" s="1"/>
  <c r="G610" s="1"/>
  <c r="F35"/>
  <c r="AAG597"/>
  <c r="G597" s="1"/>
  <c r="F662"/>
  <c r="E596"/>
  <c r="E398" l="1"/>
  <c r="E489"/>
  <c r="AAG493"/>
  <c r="G493" s="1"/>
  <c r="E493" s="1"/>
  <c r="AAH543"/>
  <c r="H543" s="1"/>
  <c r="AAH544"/>
  <c r="H544" s="1"/>
  <c r="AAH445"/>
  <c r="H445" s="1"/>
  <c r="F445" s="1"/>
  <c r="AAH26"/>
  <c r="H26" s="1"/>
  <c r="F26" s="1"/>
  <c r="AAH412"/>
  <c r="H412" s="1"/>
  <c r="F412" s="1"/>
  <c r="AAG669"/>
  <c r="G669" s="1"/>
  <c r="E669" s="1"/>
  <c r="AAG667"/>
  <c r="G667" s="1"/>
  <c r="E667" s="1"/>
  <c r="AAG668"/>
  <c r="G668" s="1"/>
  <c r="E668" s="1"/>
  <c r="E406"/>
  <c r="F406"/>
  <c r="F405"/>
  <c r="E405"/>
  <c r="E399"/>
  <c r="F399"/>
  <c r="E467"/>
  <c r="F467"/>
  <c r="F481"/>
  <c r="E393"/>
  <c r="F393"/>
  <c r="E403"/>
  <c r="F403"/>
  <c r="F392"/>
  <c r="E392"/>
  <c r="E395"/>
  <c r="F395"/>
  <c r="E404"/>
  <c r="F404"/>
  <c r="E400"/>
  <c r="F400"/>
  <c r="F396"/>
  <c r="E396"/>
  <c r="F397"/>
  <c r="E397"/>
  <c r="E402"/>
  <c r="F402"/>
  <c r="E407"/>
  <c r="F407"/>
  <c r="E401"/>
  <c r="F401"/>
  <c r="F391"/>
  <c r="E391"/>
  <c r="F408"/>
  <c r="E408"/>
  <c r="F366"/>
  <c r="H666"/>
  <c r="AAG352"/>
  <c r="G352" s="1"/>
  <c r="F351"/>
  <c r="E588"/>
  <c r="E587"/>
  <c r="AAH597"/>
  <c r="H597" s="1"/>
  <c r="E597" s="1"/>
  <c r="AAG598"/>
  <c r="F592"/>
  <c r="AAH610"/>
  <c r="H610" s="1"/>
  <c r="F610" s="1"/>
  <c r="AAG557"/>
  <c r="G557" s="1"/>
  <c r="AAG553"/>
  <c r="G553" s="1"/>
  <c r="E553" s="1"/>
  <c r="AAG559"/>
  <c r="G559" s="1"/>
  <c r="AAG556"/>
  <c r="G556" s="1"/>
  <c r="AAG560"/>
  <c r="G560" s="1"/>
  <c r="F550"/>
  <c r="AAG558"/>
  <c r="G558" s="1"/>
  <c r="AAH604"/>
  <c r="H604" s="1"/>
  <c r="F604" s="1"/>
  <c r="E592"/>
  <c r="E445" l="1"/>
  <c r="AAG446"/>
  <c r="G446" s="1"/>
  <c r="E666"/>
  <c r="AAG671"/>
  <c r="G671" s="1"/>
  <c r="E671" s="1"/>
  <c r="E412"/>
  <c r="E604"/>
  <c r="E610"/>
  <c r="F543"/>
  <c r="E543"/>
  <c r="AAH558"/>
  <c r="H558" s="1"/>
  <c r="F558" s="1"/>
  <c r="F544"/>
  <c r="E544"/>
  <c r="AAH557"/>
  <c r="H557" s="1"/>
  <c r="F557" s="1"/>
  <c r="F597"/>
  <c r="AAG605"/>
  <c r="G605" s="1"/>
  <c r="AAH559"/>
  <c r="H559" s="1"/>
  <c r="F559" s="1"/>
  <c r="F666"/>
  <c r="AAH556"/>
  <c r="AAH560"/>
  <c r="H560" s="1"/>
  <c r="F560" s="1"/>
  <c r="AAH352"/>
  <c r="H352" s="1"/>
  <c r="AAH446" l="1"/>
  <c r="H446" s="1"/>
  <c r="AAG564"/>
  <c r="AAG563"/>
  <c r="AAG565"/>
  <c r="E558"/>
  <c r="E557"/>
  <c r="E560"/>
  <c r="AAH605"/>
  <c r="H605" s="1"/>
  <c r="E605" s="1"/>
  <c r="F352"/>
  <c r="AAG358"/>
  <c r="G358" s="1"/>
  <c r="AAG353"/>
  <c r="G353" s="1"/>
  <c r="E352"/>
  <c r="E559"/>
  <c r="AAG561"/>
  <c r="H556"/>
  <c r="F446" l="1"/>
  <c r="E446"/>
  <c r="AAH564"/>
  <c r="H564" s="1"/>
  <c r="F564" s="1"/>
  <c r="G564"/>
  <c r="AAH563"/>
  <c r="H563" s="1"/>
  <c r="F563" s="1"/>
  <c r="G563"/>
  <c r="AAH565"/>
  <c r="H565" s="1"/>
  <c r="F565" s="1"/>
  <c r="G565"/>
  <c r="G561"/>
  <c r="AAH561"/>
  <c r="H561" s="1"/>
  <c r="F556"/>
  <c r="E556"/>
  <c r="AAG606"/>
  <c r="G606" s="1"/>
  <c r="F605"/>
  <c r="AAH358"/>
  <c r="H358" s="1"/>
  <c r="F358" s="1"/>
  <c r="AAH353"/>
  <c r="H353" s="1"/>
  <c r="E353" s="1"/>
  <c r="E561" l="1"/>
  <c r="E564"/>
  <c r="E565"/>
  <c r="E563"/>
  <c r="E358"/>
  <c r="F353"/>
  <c r="AAG354"/>
  <c r="G354" s="1"/>
  <c r="AAG562"/>
  <c r="F561"/>
  <c r="AAH606"/>
  <c r="H606" s="1"/>
  <c r="E606" s="1"/>
  <c r="AAH354" l="1"/>
  <c r="H354" s="1"/>
  <c r="F354" s="1"/>
  <c r="G562"/>
  <c r="AAH562"/>
  <c r="H562" s="1"/>
  <c r="F562" s="1"/>
  <c r="F606"/>
  <c r="AAG607"/>
  <c r="G607" s="1"/>
  <c r="E354" l="1"/>
  <c r="E562"/>
  <c r="AAH607"/>
  <c r="H607" s="1"/>
  <c r="F607" l="1"/>
  <c r="AAG608"/>
  <c r="G608" s="1"/>
  <c r="E607"/>
  <c r="AAH608" l="1"/>
  <c r="H608" s="1"/>
  <c r="F608" s="1"/>
  <c r="E608" l="1"/>
</calcChain>
</file>

<file path=xl/sharedStrings.xml><?xml version="1.0" encoding="utf-8"?>
<sst xmlns="http://schemas.openxmlformats.org/spreadsheetml/2006/main" count="1995" uniqueCount="535">
  <si>
    <t xml:space="preserve"> </t>
  </si>
  <si>
    <t>Veterans</t>
  </si>
  <si>
    <t>Thanksgiving</t>
  </si>
  <si>
    <t>furlough</t>
  </si>
  <si>
    <t>Christmas</t>
  </si>
  <si>
    <t>New Year</t>
  </si>
  <si>
    <t xml:space="preserve">MLK Jr. </t>
  </si>
  <si>
    <t>Presidents</t>
  </si>
  <si>
    <t xml:space="preserve">Memorial </t>
  </si>
  <si>
    <t>Independence</t>
  </si>
  <si>
    <t>Labor</t>
  </si>
  <si>
    <t>DDL_EQCMeeting</t>
  </si>
  <si>
    <t>Task</t>
  </si>
  <si>
    <t>DDL_Bulletin</t>
  </si>
  <si>
    <t>VL_Bulletin</t>
  </si>
  <si>
    <t>EQCStaffRptDue</t>
  </si>
  <si>
    <t>EQCMaterialsDue</t>
  </si>
  <si>
    <t>Y</t>
  </si>
  <si>
    <t>Called from ScheduleTasks</t>
  </si>
  <si>
    <r>
      <t xml:space="preserve">DDLs called from </t>
    </r>
    <r>
      <rPr>
        <b/>
        <i/>
        <sz val="18"/>
        <color theme="1"/>
        <rFont val="Cambria"/>
        <family val="1"/>
        <scheme val="minor"/>
      </rPr>
      <t>ScheduleTasks</t>
    </r>
  </si>
  <si>
    <t>DEQClosed</t>
  </si>
  <si>
    <t>W</t>
  </si>
  <si>
    <t>T</t>
  </si>
  <si>
    <t>CLOSE PUBLIC COMMENT</t>
  </si>
  <si>
    <t>Meeting 3</t>
  </si>
  <si>
    <t>Meeting 2</t>
  </si>
  <si>
    <t>Meeting 1</t>
  </si>
  <si>
    <t>Closed</t>
  </si>
  <si>
    <t>Weekend</t>
  </si>
  <si>
    <t>Workday</t>
  </si>
  <si>
    <t>Fiscal staff</t>
  </si>
  <si>
    <t>Overview of Key Dates</t>
  </si>
  <si>
    <t>White on Teal</t>
  </si>
  <si>
    <t>Meeting 4</t>
  </si>
  <si>
    <t>Date has past</t>
  </si>
  <si>
    <t>Schedule of Tasks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</si>
  <si>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</si>
  <si>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</si>
  <si>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</si>
  <si>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</si>
  <si>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</si>
  <si>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</si>
  <si>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</si>
  <si>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Example</t>
  </si>
  <si>
    <t>Column I: Section Separator codes</t>
  </si>
  <si>
    <t xml:space="preserve">Office Closure </t>
  </si>
  <si>
    <t>Calculation</t>
  </si>
  <si>
    <t>"</t>
  </si>
  <si>
    <t>Section title</t>
  </si>
  <si>
    <t>See DDL worksheet</t>
  </si>
  <si>
    <t>S.DDL_DEQClosed  is the "holiday" table in WORKDAY function</t>
  </si>
  <si>
    <t>EFFECTIVE DATE</t>
  </si>
  <si>
    <t>X</t>
  </si>
  <si>
    <t>i</t>
  </si>
  <si>
    <t>6:00 p.m.</t>
  </si>
  <si>
    <t>=AND($J10&lt;&gt;"X",$G10&lt;=L$7,$H10&gt;=K$7)</t>
  </si>
  <si>
    <t>Gantt</t>
  </si>
  <si>
    <t>=IF(OR(WEEKDAY(K$7)=1,WEEKDAY(K$7)=7),TRUE)</t>
  </si>
  <si>
    <t>$K10:$AHC$450</t>
  </si>
  <si>
    <t>=IF(ISERROR(VLOOKUP(K$7,S.DDL_DEQClosed,1,FALSE)),0,1)</t>
  </si>
  <si>
    <t>Next</t>
  </si>
  <si>
    <t>Start</t>
  </si>
  <si>
    <t>SOS - file rules</t>
  </si>
  <si>
    <t>B</t>
  </si>
  <si>
    <t xml:space="preserve">                 </t>
  </si>
  <si>
    <t xml:space="preserve">Days to next </t>
  </si>
  <si>
    <t>Last row</t>
  </si>
  <si>
    <t>An 'X' in $J10 identifies the row as for Gantt to format</t>
  </si>
  <si>
    <t>S.LastCellGantt</t>
  </si>
  <si>
    <t>s.LastCellschedule</t>
  </si>
  <si>
    <t>Last</t>
  </si>
  <si>
    <t>5 p.m.</t>
  </si>
  <si>
    <t>Option 2 ↓</t>
  </si>
  <si>
    <t>Option 1 ↓</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</si>
  <si>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</si>
  <si>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</si>
  <si>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</si>
  <si>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</si>
  <si>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</si>
  <si>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</si>
  <si>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</si>
  <si>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</si>
  <si>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</si>
  <si>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</si>
  <si>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</si>
  <si>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r>
      <t>↓</t>
    </r>
    <r>
      <rPr>
        <sz val="9"/>
        <color theme="1"/>
        <rFont val="Calibri"/>
        <family val="2"/>
      </rPr>
      <t xml:space="preserve"> Adjust start date</t>
    </r>
  </si>
  <si>
    <t>=$B$4:$ZZ$474</t>
  </si>
  <si>
    <t>=IF($AAE4="Y",TRUE)</t>
  </si>
  <si>
    <t>=IF($AAE4="T",TRUE)</t>
  </si>
  <si>
    <t>=IF($AAE4="W",TRUE)</t>
  </si>
  <si>
    <t>=IF($AAE4=0,TRUE)</t>
  </si>
  <si>
    <t>Lead 
manager</t>
  </si>
  <si>
    <t>ê</t>
  </si>
  <si>
    <t>2 hours</t>
  </si>
  <si>
    <t>8 hours</t>
  </si>
  <si>
    <t>Draft</t>
  </si>
  <si>
    <t>Attend, learn, share</t>
  </si>
  <si>
    <t>Lead staff</t>
  </si>
  <si>
    <t>CONSIDERATIONS, RESOURCES, Overview of Key Dates</t>
  </si>
  <si>
    <t>Notify</t>
  </si>
  <si>
    <t>Train</t>
  </si>
  <si>
    <t xml:space="preserve">Add information you know </t>
  </si>
  <si>
    <t>Team Collaboration</t>
  </si>
  <si>
    <t>Approve</t>
  </si>
  <si>
    <t>Inform</t>
  </si>
  <si>
    <t>Prepare</t>
  </si>
  <si>
    <t>If division approves adding concept to DEQ Rulemaking Plan</t>
  </si>
  <si>
    <t xml:space="preserve">Noticing sequence </t>
  </si>
  <si>
    <t>Web Master</t>
  </si>
  <si>
    <t>EQC Assistant</t>
  </si>
  <si>
    <t>Division Administrator</t>
  </si>
  <si>
    <t>Maggie</t>
  </si>
  <si>
    <t>Stephanie</t>
  </si>
  <si>
    <t xml:space="preserve">FIRST hearing </t>
  </si>
  <si>
    <t xml:space="preserve">2nd hearing </t>
  </si>
  <si>
    <t xml:space="preserve">3rd hearing </t>
  </si>
  <si>
    <t xml:space="preserve">4th hearing </t>
  </si>
  <si>
    <t xml:space="preserve">5th hearing </t>
  </si>
  <si>
    <t xml:space="preserve">6th hearing </t>
  </si>
  <si>
    <t xml:space="preserve">7th hearing </t>
  </si>
  <si>
    <t>Assistant Attorney General</t>
  </si>
  <si>
    <t>Cc…to contributing and affected staff</t>
  </si>
  <si>
    <t>Enter first name</t>
  </si>
  <si>
    <t>OCO Communications</t>
  </si>
  <si>
    <t>Division Rules Coordinator</t>
  </si>
  <si>
    <t>Agency Rules Coordinator</t>
  </si>
  <si>
    <t>Lead manager</t>
  </si>
  <si>
    <t>Support staff</t>
  </si>
  <si>
    <t>SavvySupport</t>
  </si>
  <si>
    <t>Time Accounting</t>
  </si>
  <si>
    <t>* establishes SharePoint &amp; Rule_Development sites</t>
  </si>
  <si>
    <t>* RESOUCES workbook</t>
  </si>
  <si>
    <t>* CONSIDERATIONS workbook</t>
  </si>
  <si>
    <t>* maintaining rulemaking record</t>
  </si>
  <si>
    <t>* rulemaking SharePoint</t>
  </si>
  <si>
    <t>- INVITATION.TO.COMMENT (blank in folder 4)</t>
  </si>
  <si>
    <t>- RULES.REDLINE</t>
  </si>
  <si>
    <t>- NOTICE (blank in folder 4)</t>
  </si>
  <si>
    <t>- FEE.ANALYSIS (blank in folder 3)</t>
  </si>
  <si>
    <t>* shared Rule _Development drive</t>
  </si>
  <si>
    <t>- initial draft CONSIDERATIONS workbook</t>
  </si>
  <si>
    <t>- initial draft RESOURCES workbook</t>
  </si>
  <si>
    <t>* Overview of Key Dates at top of this SCHEDULE</t>
  </si>
  <si>
    <t>Director</t>
  </si>
  <si>
    <t>Dick</t>
  </si>
  <si>
    <t>CONCEPT DEVELOPMENT</t>
  </si>
  <si>
    <t>A</t>
  </si>
  <si>
    <t>Managers discuss adding concept to DEQ Rulemaking Plan</t>
  </si>
  <si>
    <t>* Public Meeting Laws</t>
  </si>
  <si>
    <t>* Meeting notice requirements</t>
  </si>
  <si>
    <t>* Potential committee members</t>
  </si>
  <si>
    <t>* Potential meeting dates and venues</t>
  </si>
  <si>
    <t>* sends invitation to potential committee members who agreed to serve</t>
  </si>
  <si>
    <t>* maintains advisory committee record</t>
  </si>
  <si>
    <t>Team identifies meeting roles</t>
  </si>
  <si>
    <t xml:space="preserve">Team assigns custom task here </t>
  </si>
  <si>
    <t>Enter staff name here</t>
  </si>
  <si>
    <t xml:space="preserve">Team facilitates/holds meeting </t>
  </si>
  <si>
    <t>Team holds debrief meeting</t>
  </si>
  <si>
    <t>Team practices presentation</t>
  </si>
  <si>
    <t>* sending EMAIL.DAS.APPROVAL with Fee Approval Packet attached</t>
  </si>
  <si>
    <t>- in Outlook, request delivery and read receipts</t>
  </si>
  <si>
    <t>Next step happens under 4-Public Notice section</t>
  </si>
  <si>
    <t>Hearings Officer</t>
  </si>
  <si>
    <t>RobertB</t>
  </si>
  <si>
    <t>* adds commenter and comment to COMMENTS</t>
  </si>
  <si>
    <t>* selecting EQC recommendation in staff report</t>
  </si>
  <si>
    <t>Team:</t>
  </si>
  <si>
    <t>- save receipts to Rule_Dev.|3-Fee.Approval|PROOF.DAS.REQUEST.pdf</t>
  </si>
  <si>
    <t>Rule_Development|3-FeesApproval|EMAILS.Fees.pdf</t>
  </si>
  <si>
    <t>Rule_Development|1-Planning|EMAILS.Planning.pdf</t>
  </si>
  <si>
    <t>Rule_Development|4-PublicNotice|EMAILS.Notice.pdf</t>
  </si>
  <si>
    <t>Rule_Development|6-EQCPreparation|EMAILS.EQC.Prep.pdf</t>
  </si>
  <si>
    <t>Rule_Development|7-PostEQC|EMAILS.PostEQC.pdf</t>
  </si>
  <si>
    <t>* prepares and e-files ADOPTED RULES with Secretary of State</t>
  </si>
  <si>
    <t>* saves proof as Rule_Development|7-PostEQC|PROOF.OF.FILING.pdf</t>
  </si>
  <si>
    <t>1 CERTIFICATE.pdf</t>
  </si>
  <si>
    <t>2 ADOPTED.RULES.pdf</t>
  </si>
  <si>
    <t>2a 340-### TABLES.pdf</t>
  </si>
  <si>
    <t>2b 340-### TABLES.pdf</t>
  </si>
  <si>
    <t>3 AUTHORIZATION.pdf</t>
  </si>
  <si>
    <t>4 ADOPTED.REDLINE.RULES.pdf</t>
  </si>
  <si>
    <t>5 LC-SHUTTLE.RECEIPT.pdf</t>
  </si>
  <si>
    <t>TEAM CELEBRATES</t>
  </si>
  <si>
    <t>* shuttles ADOPTED REDLINE.RULES to Legislative Counsel (return receipt)</t>
  </si>
  <si>
    <t>How a Division Administrator adds a new proposal to the rolling rulemaking plan</t>
  </si>
  <si>
    <t>Identify need
* legislation, court order, federal requirements, fees, easier to do business
* DEQ intitiated through environmental soultions</t>
  </si>
  <si>
    <t>If approved to develop concept for inclusion on DEQ Rulemaking Plan</t>
  </si>
  <si>
    <t>SharePoint, Rule_Development,  CONSIDERATIONS &amp; RESOURCES, records management</t>
  </si>
  <si>
    <t>Concept for inclusion on DEQ Rulemaking Plan</t>
  </si>
  <si>
    <t>Focusing on communication materials</t>
  </si>
  <si>
    <t>Complete 1st workbook drafts using what you know now</t>
  </si>
  <si>
    <t>Prepare DA communication to EMT/EQC assistant</t>
  </si>
  <si>
    <t>Discuss need with DA and program managers</t>
  </si>
  <si>
    <t>Assign staff to work with DRC/ARC on concept development</t>
  </si>
  <si>
    <t xml:space="preserve">Help prepare and approve DA communication </t>
  </si>
  <si>
    <t>Rules coordinators
(DRC, ARC)</t>
  </si>
  <si>
    <t>ARC
Establish SharePoint, Rule_Development sites 
schedule training</t>
  </si>
  <si>
    <t>Facilitate, learn, share</t>
  </si>
  <si>
    <t>Provided guidance and review</t>
  </si>
  <si>
    <t>ARC
Add to plan. Prepare summary pdf for DA communication</t>
  </si>
  <si>
    <t>Division administrator
(DA)</t>
  </si>
  <si>
    <t>Approve initial work to develop concept - discuss potential with EMT</t>
  </si>
  <si>
    <t>Notify DRC and ARC</t>
  </si>
  <si>
    <t>Approve/reject concept addition to plan. Inform lead staff, DRC, ARC</t>
  </si>
  <si>
    <t>EMT/EQC Assistant using communication materials adapted to personal style</t>
  </si>
  <si>
    <t>EMT</t>
  </si>
  <si>
    <t xml:space="preserve">Offer initial ideas about connections, cautions </t>
  </si>
  <si>
    <t>Offer advice, indicate interest</t>
  </si>
  <si>
    <t>EQC assistant</t>
  </si>
  <si>
    <t>Add to monthly Director's Report. Advise DRC/ARC re: EQC involvement</t>
  </si>
  <si>
    <t>Present RESOURCES &amp; CONSIDERATIONS summary to DA &amp; program managers</t>
  </si>
  <si>
    <r>
      <t xml:space="preserve">Program </t>
    </r>
    <r>
      <rPr>
        <b/>
        <sz val="13"/>
        <color theme="4" tint="-0.249977111117893"/>
        <rFont val="Wingdings"/>
        <charset val="2"/>
      </rPr>
      <t>è</t>
    </r>
  </si>
  <si>
    <r>
      <t xml:space="preserve">STARTS </t>
    </r>
    <r>
      <rPr>
        <sz val="10"/>
        <color theme="4" tint="-0.499984740745262"/>
        <rFont val="Cambria"/>
        <family val="1"/>
        <scheme val="minor"/>
      </rPr>
      <t>preview period for</t>
    </r>
    <r>
      <rPr>
        <b/>
        <sz val="10"/>
        <color theme="4" tint="-0.499984740745262"/>
        <rFont val="Cambria"/>
        <family val="1"/>
        <scheme val="minor"/>
      </rPr>
      <t xml:space="preserve"> </t>
    </r>
    <r>
      <rPr>
        <sz val="10"/>
        <color rgb="FF396950"/>
        <rFont val="Cambria"/>
        <family val="1"/>
        <scheme val="minor"/>
      </rPr>
      <t>Notice Packet by</t>
    </r>
  </si>
  <si>
    <r>
      <t xml:space="preserve">END </t>
    </r>
    <r>
      <rPr>
        <sz val="10"/>
        <color theme="4" tint="-0.499984740745262"/>
        <rFont val="Cambria"/>
        <family val="1"/>
        <scheme val="minor"/>
      </rPr>
      <t>preview period for</t>
    </r>
    <r>
      <rPr>
        <sz val="10"/>
        <color rgb="FF396950"/>
        <rFont val="Cambria"/>
        <family val="1"/>
        <scheme val="minor"/>
      </rPr>
      <t xml:space="preserve"> Notice Packet</t>
    </r>
  </si>
  <si>
    <r>
      <t xml:space="preserve">- </t>
    </r>
    <r>
      <rPr>
        <i/>
        <sz val="10"/>
        <color theme="4" tint="-0.499984740745262"/>
        <rFont val="Cambria"/>
        <family val="1"/>
        <scheme val="minor"/>
      </rPr>
      <t>Overview of Key Dates</t>
    </r>
    <r>
      <rPr>
        <sz val="10"/>
        <color theme="4" tint="-0.499984740745262"/>
        <rFont val="Cambria"/>
        <family val="1"/>
        <scheme val="minor"/>
      </rPr>
      <t xml:space="preserve"> at top of this SCHEDULE</t>
    </r>
  </si>
  <si>
    <r>
      <rPr>
        <b/>
        <sz val="10"/>
        <color theme="4" tint="-0.499984740745262"/>
        <rFont val="Cambria"/>
        <family val="1"/>
        <scheme val="minor"/>
      </rPr>
      <t>START OPTION</t>
    </r>
    <r>
      <rPr>
        <sz val="10"/>
        <color theme="4" tint="-0.499984740745262"/>
        <rFont val="Cambria"/>
        <family val="1"/>
        <scheme val="minor"/>
      </rPr>
      <t xml:space="preserve"> - Presentation                                     Select option &gt;</t>
    </r>
  </si>
  <si>
    <t>Fill</t>
  </si>
  <si>
    <t>- CERTIFICATE.pdf</t>
  </si>
  <si>
    <t>- ADOPTED.RULES.pdf</t>
  </si>
  <si>
    <t>- AUTHORIZATION.pdf</t>
  </si>
  <si>
    <t>- 340-### TABLES.pdf</t>
  </si>
  <si>
    <t>- ADOPTED.REDLINE.RULES.pdf</t>
  </si>
  <si>
    <t xml:space="preserve">Meeting 5 </t>
  </si>
  <si>
    <t>EQC Preparation</t>
  </si>
  <si>
    <t>Networkdays</t>
  </si>
  <si>
    <t>From today</t>
  </si>
  <si>
    <t>End</t>
  </si>
  <si>
    <t>For Task</t>
  </si>
  <si>
    <t>Budget analyst</t>
  </si>
  <si>
    <t>- Enter custom resource here</t>
  </si>
  <si>
    <t>- develop category titles to bundle similar comments</t>
  </si>
  <si>
    <t>- organize comments into categories</t>
  </si>
  <si>
    <t>- draft DEQ responses to each categories of comments</t>
  </si>
  <si>
    <t>* saves online public comment information to COMMENTS</t>
  </si>
  <si>
    <t>* coordinates with team to:</t>
  </si>
  <si>
    <t>Post EQC Activities</t>
  </si>
  <si>
    <t>- GovDelivery</t>
  </si>
  <si>
    <t xml:space="preserve">* makes initial voice contact with potential committee members </t>
  </si>
  <si>
    <t>Team addresses any concerns and validates accuracy of how addressed</t>
  </si>
  <si>
    <t>* involves stakeholder presenters, if any</t>
  </si>
  <si>
    <t>* releases unneeded venues</t>
  </si>
  <si>
    <t>* submits Web Request to initiate optional Committee Web page</t>
  </si>
  <si>
    <t>* submits Web Request at anytime when Web page needs updating</t>
  </si>
  <si>
    <t>* reviews materials on SharePoint"</t>
  </si>
  <si>
    <t>* decides whether to add concept to DEQ Rulemaking Plan</t>
  </si>
  <si>
    <t>* obtains starting rules from Oregon State Archives</t>
  </si>
  <si>
    <t xml:space="preserve">Planning </t>
  </si>
  <si>
    <t>Fee Approval Packet includes:</t>
  </si>
  <si>
    <t>* submits rules and notice to EPA</t>
  </si>
  <si>
    <t>- advisory committee</t>
  </si>
  <si>
    <t>- program-specific list</t>
  </si>
  <si>
    <t>- Implementation - draft</t>
  </si>
  <si>
    <t xml:space="preserve">- Public Involvement - update to reflect actual </t>
  </si>
  <si>
    <t>- Summary of comments and DEQ responses</t>
  </si>
  <si>
    <t>- Commenters</t>
  </si>
  <si>
    <t>* finalizes draft of EQC Packet:</t>
  </si>
  <si>
    <t>- PROPOSED.RULES</t>
  </si>
  <si>
    <t>- SUPPORTING.DOCUMENTS</t>
  </si>
  <si>
    <t>Presentation team ATTENDS EQC MEETING</t>
  </si>
  <si>
    <t>* prepares/saves documents to Rule_Development|7-PostEQC</t>
  </si>
  <si>
    <t>- ADDENDUM.TO.STAFF.RPT (if presented to EQC)</t>
  </si>
  <si>
    <t xml:space="preserve">- CERTIFICATE.pdf </t>
  </si>
  <si>
    <t>- self-addressed envelope, fold underside of flap over a 2nd certificate"</t>
  </si>
  <si>
    <t>write "Please date stamp certificate and return." on underside of flap</t>
  </si>
  <si>
    <t>* verifies accuracy of rules published in Oregon Bulletin</t>
  </si>
  <si>
    <t>* submits Web Request to post program Web page</t>
  </si>
  <si>
    <t>- optional section, Background as part of the story</t>
  </si>
  <si>
    <t xml:space="preserve">- section, Overview tells rulemaking story </t>
  </si>
  <si>
    <t xml:space="preserve">- section, Statement of Need </t>
  </si>
  <si>
    <t>- section, Federal Relationship</t>
  </si>
  <si>
    <t>- section, Rules affected, authorities…</t>
  </si>
  <si>
    <t>- section, Statement of fiscal and economic impact</t>
  </si>
  <si>
    <t xml:space="preserve">- section, Land use </t>
  </si>
  <si>
    <t>d. SUPPORTING.DOCS - optional</t>
  </si>
  <si>
    <t>* broad overview of work products for future phases</t>
  </si>
  <si>
    <t xml:space="preserve">Post EQC </t>
  </si>
  <si>
    <t xml:space="preserve">Team participates in kickoff training/work session (future iLearn) about: </t>
  </si>
  <si>
    <r>
      <t xml:space="preserve">PREPARE TO DRAFT RULES </t>
    </r>
    <r>
      <rPr>
        <sz val="10"/>
        <color theme="4" tint="-0.499984740745262"/>
        <rFont val="Cambria"/>
        <family val="1"/>
        <scheme val="minor"/>
      </rPr>
      <t>(future iLearn)</t>
    </r>
  </si>
  <si>
    <t>* reviews responsibilities of hearings officer</t>
  </si>
  <si>
    <t xml:space="preserve">- Rulemaking Activities Web page </t>
  </si>
  <si>
    <t>WilliamK</t>
  </si>
  <si>
    <t>- Affected staff for contributions</t>
  </si>
  <si>
    <t>- Contributing staff for validation</t>
  </si>
  <si>
    <t>sending email To...EMT &amp; EQC assistant with</t>
  </si>
  <si>
    <t>* modifies documents as needed</t>
  </si>
  <si>
    <t>PROOF.OF.KEY.LEG.NOTICE.pdf</t>
  </si>
  <si>
    <t>* verifies newspaper advertisements are correct</t>
  </si>
  <si>
    <t>- integrates FEE.ANALYSIS section</t>
  </si>
  <si>
    <t>c. NOTICE preloaded in SharePoint folder 4</t>
  </si>
  <si>
    <t>* identifies hearings officer(s)</t>
  </si>
  <si>
    <t xml:space="preserve">* requests Outlook Receipt </t>
  </si>
  <si>
    <t>* saves combined emails/receipts under Rule_Development|4-Notice as:</t>
  </si>
  <si>
    <t>* opens public comment by notifying agency rulemaking list that includes:</t>
  </si>
  <si>
    <t>Set under Overview of Key Dates</t>
  </si>
  <si>
    <t>- Fees</t>
  </si>
  <si>
    <t>- Land use</t>
  </si>
  <si>
    <t xml:space="preserve">* asks RESOURCES for input, especially: </t>
  </si>
  <si>
    <t>- reviews ORS 183.335(5), determines key legislators to notice</t>
  </si>
  <si>
    <t>* prepares for key legislator notification</t>
  </si>
  <si>
    <t xml:space="preserve">* adapts Notice packet to address input from RESOURCES </t>
  </si>
  <si>
    <t>* finalizes Notice packet</t>
  </si>
  <si>
    <t>* develops introductory and logistics script</t>
  </si>
  <si>
    <t>N</t>
  </si>
  <si>
    <t>* emails optional STAKEHOLDER.NOTIFICATION of EQC action</t>
  </si>
  <si>
    <t>- statutes implemented are correct for each rules</t>
  </si>
  <si>
    <t>* reviews workbook summaries and key dates on SharePoint</t>
  </si>
  <si>
    <t>* provides managers with scope of work to potentially add to work plans</t>
  </si>
  <si>
    <t>* saves rules as Rule_Development|1-Planning|STARTING.RULES</t>
  </si>
  <si>
    <t>* uploads STARTING.RULES to SharePoint|1-Planning</t>
  </si>
  <si>
    <t>* Oregon Transparency law (not required for Advisory Committees)</t>
  </si>
  <si>
    <t xml:space="preserve">* finalizes AC.ROSTER based on responses </t>
  </si>
  <si>
    <t>* develop AC.ROSTER (blank in folder 4)</t>
  </si>
  <si>
    <t>* reserve potential meeting dates and venues</t>
  </si>
  <si>
    <t>* draft committee AC.INVITATION (links to GovDelivery/Web pages)</t>
  </si>
  <si>
    <t>* draft optional AC.CHARTER</t>
  </si>
  <si>
    <t>* EQC quorum notification requirements (ORS 192.630)</t>
  </si>
  <si>
    <t>May be required in future</t>
  </si>
  <si>
    <t>* adds meeting to DEQ Online Calendar (password = dudeman)</t>
  </si>
  <si>
    <t>Team approves presentation materials</t>
  </si>
  <si>
    <t>Set above at Meeting 4 title</t>
  </si>
  <si>
    <t>Set above at Meeting 5 title</t>
  </si>
  <si>
    <t>Set above at Meeting 3 title</t>
  </si>
  <si>
    <t>Set above at Meeting 2 title</t>
  </si>
  <si>
    <t>Set above at Meeting 1 title</t>
  </si>
  <si>
    <t>- statutory authorities are correct for each rule</t>
  </si>
  <si>
    <t>(The rolling plan/process takes the place of the old annual plan/process.)</t>
  </si>
  <si>
    <t>* following up on status about 15 days after sending</t>
  </si>
  <si>
    <t>8th hearing</t>
  </si>
  <si>
    <t>LAST</t>
  </si>
  <si>
    <t>- time on DA calendar to review Notice during Preview week</t>
  </si>
  <si>
    <t>- establishing Rulemaking Activities Web page for proposed rule</t>
  </si>
  <si>
    <t>- establishing online public comment form</t>
  </si>
  <si>
    <t>- adding hearings to DEQ online calendar</t>
  </si>
  <si>
    <t>- saving proof on Rule_development|4.Notice|NOTICE.WITH.PROOF.pdf</t>
  </si>
  <si>
    <t>- emailing DAS notification of fees that don't require DAS approval</t>
  </si>
  <si>
    <t>- saving Rule_Development|4.Notice|PROOF.DAS.NOTIFICATION</t>
  </si>
  <si>
    <t>* relaxes while RulePublications does its work that includes:</t>
  </si>
  <si>
    <t>- CONTENT.pdf</t>
  </si>
  <si>
    <t>- LIST.pdf</t>
  </si>
  <si>
    <t>* develops INFO.MEETING.TEXT</t>
  </si>
  <si>
    <t>* develops INFO.PRESENTATION</t>
  </si>
  <si>
    <t>* practices presentation</t>
  </si>
  <si>
    <t>* makes presentation adjustments</t>
  </si>
  <si>
    <t>* stamps DEQ receipt date on mailed comments</t>
  </si>
  <si>
    <t>* scans and links comments by ID###.pdf - optional</t>
  </si>
  <si>
    <t>Robin</t>
  </si>
  <si>
    <t>Carol</t>
  </si>
  <si>
    <t>* file naming conventions for common rulemaking documents and emails</t>
  </si>
  <si>
    <t>CodeName</t>
  </si>
  <si>
    <t>* work products for this phase (templates preloaded to SharePoint folder 1):</t>
  </si>
  <si>
    <t>* ensures core team members have approval from their managers</t>
  </si>
  <si>
    <t>Enter publication date &gt;</t>
  </si>
  <si>
    <t>`</t>
  </si>
  <si>
    <t>- identifies publications and publication dates</t>
  </si>
  <si>
    <t>Newspaper Advertisements</t>
  </si>
  <si>
    <t>Hearings</t>
  </si>
  <si>
    <t>Notes</t>
  </si>
  <si>
    <t>S.RulemakingTitle</t>
  </si>
  <si>
    <t>- follows instructions in template</t>
  </si>
  <si>
    <t>* verifies PROPOSED.RULES based on current compilation</t>
  </si>
  <si>
    <t>* saves EMAIL.PREVIEW.pdf to Rule_Development|4-Notice</t>
  </si>
  <si>
    <t>* obtains copy of affidavit of publication from Accounting</t>
  </si>
  <si>
    <t>* saves them as Rule_Development|5-PublicComment...|EMAIL.Comment.pdf</t>
  </si>
  <si>
    <t xml:space="preserve"> * gathers emails about post EQC activities for the Rule Record and saves as:</t>
  </si>
  <si>
    <t>- PROOF.OF.NOTICE.pdf  (includes delivery confirmations)</t>
  </si>
  <si>
    <t xml:space="preserve">* completes preview EMAIL.PREVIEW </t>
  </si>
  <si>
    <t xml:space="preserve">- adapts EMAIL.NOTICE.TO.KEY.LEGISLATORS </t>
  </si>
  <si>
    <t>* obtains EMAIL.BUDGET.SIGNOFF</t>
  </si>
  <si>
    <t>* emails RulePublications@deq.state.or.us that EQC Packet is ready</t>
  </si>
  <si>
    <t xml:space="preserve">* leads team development of EQC presentation </t>
  </si>
  <si>
    <t>* makes any presentation adjustments</t>
  </si>
  <si>
    <t>* coordinates presentation practices</t>
  </si>
  <si>
    <t>* submits draft EQC Packet review to:</t>
  </si>
  <si>
    <t>- Enter custom reviewer and perspective</t>
  </si>
  <si>
    <t>- Enter custom reviewer and action</t>
  </si>
  <si>
    <t xml:space="preserve">* enter custom action word and reviewer </t>
  </si>
  <si>
    <t>* obtains final EQC Packet approval from:</t>
  </si>
  <si>
    <t>Enter custom review loop 1</t>
  </si>
  <si>
    <t xml:space="preserve">Name initiator and subject for custom review loop 2 </t>
  </si>
  <si>
    <t>Name initiator and subject for custom review loop 3</t>
  </si>
  <si>
    <t xml:space="preserve">        Enter staff who will brief each commissioner individually </t>
  </si>
  <si>
    <t xml:space="preserve">- key stakeholders </t>
  </si>
  <si>
    <t xml:space="preserve">- advisory committee members </t>
  </si>
  <si>
    <t>- commenters</t>
  </si>
  <si>
    <t>- interested parties (optional)</t>
  </si>
  <si>
    <t>- Robin for sufficiency of fiscal analysis</t>
  </si>
  <si>
    <t>[ENTER NAME OF PERSON SUBMITTING AD]:</t>
  </si>
  <si>
    <t>[ENTER NAME OF STAFF PERSON HERE]:</t>
  </si>
  <si>
    <t>AFFIDAVIT.AD01, AFFIDAVIT.AD02, etc.</t>
  </si>
  <si>
    <r>
      <t xml:space="preserve">          </t>
    </r>
    <r>
      <rPr>
        <b/>
        <sz val="10"/>
        <color theme="4" tint="-0.499984740745262"/>
        <rFont val="Cambria"/>
        <family val="1"/>
        <scheme val="minor"/>
      </rPr>
      <t xml:space="preserve">ONLY </t>
    </r>
    <r>
      <rPr>
        <sz val="10"/>
        <color theme="4" tint="-0.499984740745262"/>
        <rFont val="Cambria"/>
        <family val="1"/>
        <scheme val="minor"/>
      </rPr>
      <t xml:space="preserve">the rule writer works on rules at this location to ensure the </t>
    </r>
  </si>
  <si>
    <t xml:space="preserve">         from other locations or turned off track changes</t>
  </si>
  <si>
    <t xml:space="preserve">         redline/strikethrough remains consitent and that no reviewer copied test from</t>
  </si>
  <si>
    <t>EQC quorum notification requirements (ORS 192.630)</t>
  </si>
  <si>
    <t>* draft content for optional committee Web page</t>
  </si>
  <si>
    <t xml:space="preserve">* coordinates optional discussion on project evaluation, lessons learned </t>
  </si>
  <si>
    <t>- save audio as Rule_Development|5-PublicComment|HEARING.1.mp3</t>
  </si>
  <si>
    <t>- save audio as Rule_Development|5-PublicComment|HEARING.2.mp3</t>
  </si>
  <si>
    <t>- save audio as Rule_Development|5-PublicComment|HEARING.3.mp3</t>
  </si>
  <si>
    <t>- save audio as Rule_Development|5-PublicComment|HEARING.4.mp3</t>
  </si>
  <si>
    <t>- save audio as Rule_Development|5-PublicComment|HEARING.5.mp3</t>
  </si>
  <si>
    <t>- save audio as Rule_Development|5-PublicComment|HEARING.6.mp3</t>
  </si>
  <si>
    <t>- save audio as Rule_Development|5-PublicComment|HEARING.7.mp3</t>
  </si>
  <si>
    <t>- save audio as Rule_Development|5-PublicComment|HEARING.8.mp3</t>
  </si>
  <si>
    <t>* saves proof of delivery under Rule_Development|4-Notice</t>
  </si>
  <si>
    <t>- NONDELIVERABLE.Notice.pdf (combined into 1 .pdf, scanned envelopes)</t>
  </si>
  <si>
    <t>* saves email as Rule_Development|4-Notice|MGR.APPROVAL.Notice.pdf</t>
  </si>
  <si>
    <t>* saves Budget response as Rule_Development|4.Notice|BUDGET.SIGNOFF</t>
  </si>
  <si>
    <t xml:space="preserve">* submits AD to contractor </t>
  </si>
  <si>
    <t>- saves as NOTICE.AD.Hearing1, etc. in SharePoint folder 4</t>
  </si>
  <si>
    <t xml:space="preserve">* emails approval to RulePublications@deq.state.or.us </t>
  </si>
  <si>
    <t>URL to online public comment form</t>
  </si>
  <si>
    <t>URL for Outlook Comment box</t>
  </si>
  <si>
    <t xml:space="preserve">- inserting URLs into Invitation to Comment </t>
  </si>
  <si>
    <t>DA briefing meeting</t>
  </si>
  <si>
    <t>Rule publication</t>
  </si>
  <si>
    <t>* saves affidavit under Rule_Development|4-Notice as:</t>
  </si>
  <si>
    <t>- determines when ADs need to be submitted to contractor</t>
  </si>
  <si>
    <t>Submit to Ad contractor &gt;</t>
  </si>
  <si>
    <t>Set above</t>
  </si>
  <si>
    <t xml:space="preserve">          All contributors/reviewers work on draft rules on SharePoint</t>
  </si>
  <si>
    <t>* identify land use rules</t>
  </si>
  <si>
    <t>* Need for optional committee charter</t>
  </si>
  <si>
    <t>* Need for optional committee Web page</t>
  </si>
  <si>
    <t>* emails RulePublications@deq.state.or.us for plain English, style guide</t>
  </si>
  <si>
    <t xml:space="preserve">START COMMUNICATIONS OPTION </t>
  </si>
  <si>
    <t>* leads communication option review/approval loops</t>
  </si>
  <si>
    <t>1st loop - team modifies content to get to approval</t>
  </si>
  <si>
    <t>2nd loop - team modifies content to get to approval</t>
  </si>
  <si>
    <t>3rd loop - team modifies content to get to approval</t>
  </si>
  <si>
    <t>* verifies Web content meets team expectations</t>
  </si>
  <si>
    <t xml:space="preserve">* soliciting communications content </t>
  </si>
  <si>
    <t>Final loop - team modifies content to get to approval</t>
  </si>
  <si>
    <t>JoanieS</t>
  </si>
  <si>
    <t>* modifies MESSAGE.MAP</t>
  </si>
  <si>
    <t>- Message Map                                                                                               'Y' to develop</t>
  </si>
  <si>
    <t>- Program Web page                                                                                   'Y' to develop</t>
  </si>
  <si>
    <t>- Communications Plan                                                                             'Y' to develop</t>
  </si>
  <si>
    <t>* leads team work finalizing DEQ responses to public comment</t>
  </si>
  <si>
    <t xml:space="preserve">* emails comment/responses link to RulePublications@deq.state.or.us </t>
  </si>
  <si>
    <t>since this will become part of the EQC Packet</t>
  </si>
  <si>
    <t>Rule Publications:</t>
  </si>
  <si>
    <t xml:space="preserve">* edits for plain English, style guide and tone </t>
  </si>
  <si>
    <t>Management notice approval</t>
  </si>
  <si>
    <t>1st loop - team modifies responses to get to approval</t>
  </si>
  <si>
    <t>2nd loop - team modifies responses to get to approval</t>
  </si>
  <si>
    <t>3rd loop - team modifies responses to get to approval</t>
  </si>
  <si>
    <t>Final loop - team modifies responses to get to approval</t>
  </si>
  <si>
    <t>* gathers emails ABOUT comments, not actual comments, for Rule Record</t>
  </si>
  <si>
    <t xml:space="preserve">- Statement of need                                           </t>
  </si>
  <si>
    <t xml:space="preserve">- Federal relationships                                                </t>
  </si>
  <si>
    <t xml:space="preserve">- Fiscal impact statement                                        </t>
  </si>
  <si>
    <t>- NAME OTHER SECTION UNCHANGED SINCE PUBLIC NOTICE REVIEW</t>
  </si>
  <si>
    <t xml:space="preserve">&gt; Overview - update as needed to tell current story or insert message above </t>
  </si>
  <si>
    <t>&gt; Background (optional) - update as needed to tell current story</t>
  </si>
  <si>
    <t>&gt; Rules affected, authorities, supporting docs- update as needed</t>
  </si>
  <si>
    <t>- updates to current story, inserts message above if unchanged since notice:</t>
  </si>
  <si>
    <t>Rule Publications inserts Web page &amp; online public comment URLs later</t>
  </si>
  <si>
    <t>* reach consensus with communication plan</t>
  </si>
  <si>
    <t>* reach consensus with Message Map</t>
  </si>
  <si>
    <t>- Information Meetings before hearing                                               'Y' to develop</t>
  </si>
  <si>
    <t>TEAM REFINEMENT CONSENSUS</t>
  </si>
  <si>
    <t>COMMUNICATIONS PLANNING</t>
  </si>
  <si>
    <t>START RULEMAKING</t>
  </si>
  <si>
    <t xml:space="preserve">* RESOURCES workbook to identify rulemaking and implementation needs </t>
  </si>
  <si>
    <t xml:space="preserve">* CONSIDERATIONS workbook to expand understanding of scope of work </t>
  </si>
  <si>
    <t>* CONSIDERATIONS workbook to expand understanding of potential risks</t>
  </si>
  <si>
    <t>* SCHEDULE workbook to reach consensus on timeline</t>
  </si>
  <si>
    <t>Name initiator and subject for custom review loop 1</t>
  </si>
  <si>
    <t>* labels the box by SOS certificate and order number "DEQ ##-yyyy"</t>
  </si>
  <si>
    <r>
      <t xml:space="preserve">Start
 </t>
    </r>
    <r>
      <rPr>
        <b/>
        <sz val="12"/>
        <color theme="0"/>
        <rFont val="Courier New"/>
        <family val="3"/>
      </rPr>
      <t>↓</t>
    </r>
  </si>
  <si>
    <t>* obtains Q-Time number unique to this rulemaking</t>
  </si>
  <si>
    <t xml:space="preserve">  </t>
  </si>
  <si>
    <t>Days added</t>
  </si>
  <si>
    <t xml:space="preserve"> calendar days added &gt;      </t>
  </si>
  <si>
    <r>
      <rPr>
        <b/>
        <sz val="10"/>
        <color theme="4" tint="-0.499984740745262"/>
        <rFont val="Cambria"/>
        <family val="1"/>
        <scheme val="minor"/>
      </rPr>
      <t>Rule proposal complexity</t>
    </r>
    <r>
      <rPr>
        <sz val="10"/>
        <color theme="4" tint="-0.499984740745262"/>
        <rFont val="Cambria"/>
        <family val="1"/>
        <scheme val="minor"/>
      </rPr>
      <t xml:space="preserve">                       (1=Minimal, 2= Moderate, 3=Complex)</t>
    </r>
  </si>
  <si>
    <t>P</t>
  </si>
  <si>
    <t xml:space="preserve"> calendar days adjustment +/-   &gt;      </t>
  </si>
  <si>
    <t>* notifies the following  according to division's best practice</t>
  </si>
  <si>
    <t>Title</t>
  </si>
  <si>
    <t>&lt;&lt;&lt;&lt;&lt;&lt;&lt;&lt;</t>
  </si>
  <si>
    <t>If support staff is not available, include Lead staff's name</t>
  </si>
  <si>
    <t>Identify EQC facilitated hearing, coordinate with commissioner:</t>
  </si>
  <si>
    <t>* creates an autoreply to Outlook comment box for University students</t>
  </si>
  <si>
    <t>- develops an AD.STANDARD for each hearing if required</t>
  </si>
  <si>
    <t>- develops AD.LEGAL for each hearing if required</t>
  </si>
  <si>
    <t>Chief Public Affairs Officer</t>
  </si>
  <si>
    <t>* places all physical records in archival box - do not print electronic records</t>
  </si>
  <si>
    <r>
      <t xml:space="preserve">Rules become </t>
    </r>
    <r>
      <rPr>
        <b/>
        <sz val="10"/>
        <color theme="4" tint="-0.499984740745262"/>
        <rFont val="Cambria"/>
        <family val="1"/>
        <scheme val="minor"/>
      </rPr>
      <t xml:space="preserve">effective                                     </t>
    </r>
    <r>
      <rPr>
        <sz val="10"/>
        <color theme="4" tint="-0.499984740745262"/>
        <rFont val="Cambria"/>
        <family val="1"/>
        <scheme val="minor"/>
      </rPr>
      <t>select 'Y'  if effective upon filing &gt;</t>
    </r>
  </si>
  <si>
    <t>* retires SharePoint to Rule_Development|SharePointAtClose</t>
  </si>
  <si>
    <t>FROM: \\deqhq1\Rule_Development</t>
  </si>
  <si>
    <t>TO:        \\deqhq1\Rule_Archives</t>
  </si>
  <si>
    <t xml:space="preserve">inserting message into header of each reviewed and noticed section:                 </t>
  </si>
  <si>
    <t>* Review advisory committee Q-Card                                                                    &gt;</t>
  </si>
  <si>
    <t>- drafted rules are current compared to Oregon State Archives</t>
  </si>
  <si>
    <t xml:space="preserve">   compared to Oregon State Archives</t>
  </si>
  <si>
    <t>* verifies PROPOSED.RULES use latest compilation compared</t>
  </si>
  <si>
    <t>organized by SOS certificate and order number "DEQ ##-yyyy"</t>
  </si>
  <si>
    <t>and tone review since this will become part of Notice and EQC packets</t>
  </si>
  <si>
    <t>- sending you a confirmation email that includes:</t>
  </si>
  <si>
    <t>URL to Rulemaking Activities Web page for this proposal</t>
  </si>
  <si>
    <t>&gt; inserts message above to indicate previous reviews</t>
  </si>
  <si>
    <t>Michele</t>
  </si>
  <si>
    <t>Work shifts from SharePoint to Rule_Development</t>
  </si>
  <si>
    <t>&lt;</t>
  </si>
  <si>
    <t>LarryK</t>
  </si>
  <si>
    <t>Review version history and maintaining the rulemaking record                 &gt;</t>
  </si>
  <si>
    <t xml:space="preserve">Bill@WRB-consulting.com                                      </t>
  </si>
  <si>
    <t>JoKRanch@hotmail.com</t>
  </si>
  <si>
    <t xml:space="preserve">EdArmstrong2@gmail.com                              </t>
  </si>
  <si>
    <t>MorganRider@gmail.com</t>
  </si>
  <si>
    <t>cjohnson@eou.edu</t>
  </si>
  <si>
    <r>
      <t xml:space="preserve">* add EQC members to Cc. list for </t>
    </r>
    <r>
      <rPr>
        <b/>
        <sz val="10"/>
        <color theme="4" tint="-0.499984740745262"/>
        <rFont val="Cambria"/>
        <family val="1"/>
        <scheme val="minor"/>
      </rPr>
      <t xml:space="preserve">ALL </t>
    </r>
    <r>
      <rPr>
        <sz val="10"/>
        <color theme="4" tint="-0.499984740745262"/>
        <rFont val="Cambria"/>
        <family val="1"/>
        <scheme val="minor"/>
      </rPr>
      <t>committee communications</t>
    </r>
  </si>
  <si>
    <t>ONBOARD TEAM RESOURCES</t>
  </si>
  <si>
    <t>Review version history and maintaining the rulemaking record                      &gt;</t>
  </si>
  <si>
    <t>Andy</t>
  </si>
  <si>
    <t>AndreaRW</t>
  </si>
  <si>
    <t>AndreaDRC</t>
  </si>
  <si>
    <t>AndreaSIP</t>
  </si>
  <si>
    <t>MargaretMGR</t>
  </si>
  <si>
    <t>MargaretBGT</t>
  </si>
  <si>
    <t>MargaretLEG</t>
  </si>
  <si>
    <t>CarrieAnn</t>
  </si>
  <si>
    <t>DA Assistant</t>
  </si>
  <si>
    <t>Names entered on this worksheet will become part of the Schedule of Tasks</t>
  </si>
  <si>
    <t>State Implementation Plan Coordinator</t>
  </si>
  <si>
    <t xml:space="preserve">Legislative liaison </t>
  </si>
  <si>
    <t>LRAPA</t>
  </si>
  <si>
    <t>Incorporate Lane Regional Air Protection Agency Rules into State Implementation Plan</t>
  </si>
  <si>
    <t>NOTICE.AD01.OREGONIAN</t>
  </si>
  <si>
    <t>NOTICE.AD02.REGISTERGUARD</t>
  </si>
  <si>
    <t>\\deqhq1\Rule_Development\2013 Plan\AQ-RM-IncorporateLRAPArulesIntoSIP-Andrea Curtis</t>
  </si>
  <si>
    <t>NOTICE.AD04.[Beacon]</t>
  </si>
  <si>
    <t>NOTICE.AD03.[Cottage Grove Sentinel]</t>
  </si>
  <si>
    <t>5:30pm</t>
  </si>
</sst>
</file>

<file path=xl/styles.xml><?xml version="1.0" encoding="utf-8"?>
<styleSheet xmlns="http://schemas.openxmlformats.org/spreadsheetml/2006/main">
  <numFmts count="9">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dd"/>
    <numFmt numFmtId="172" formatCode="yy"/>
  </numFmts>
  <fonts count="148">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rgb="FFC00000"/>
      <name val="Tahoma"/>
      <family val="2"/>
    </font>
    <font>
      <sz val="10"/>
      <color theme="0"/>
      <name val="Arial"/>
      <family val="2"/>
    </font>
    <font>
      <b/>
      <sz val="16"/>
      <color theme="0"/>
      <name val="Arial"/>
      <family val="2"/>
    </font>
    <font>
      <sz val="10"/>
      <color theme="4" tint="-0.499984740745262"/>
      <name val="Arial"/>
      <family val="2"/>
    </font>
    <font>
      <sz val="11"/>
      <color theme="4" tint="-0.499984740745262"/>
      <name val="Arial"/>
      <family val="2"/>
    </font>
    <font>
      <sz val="9"/>
      <color theme="4" tint="-0.499984740745262"/>
      <name val="Arial"/>
      <family val="2"/>
    </font>
    <font>
      <sz val="11"/>
      <color theme="1"/>
      <name val="Arial"/>
      <family val="2"/>
    </font>
    <font>
      <sz val="10"/>
      <color theme="1"/>
      <name val="Arial"/>
      <family val="2"/>
    </font>
    <font>
      <b/>
      <sz val="10"/>
      <color theme="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8"/>
      <color theme="0"/>
      <name val="Arial"/>
      <family val="2"/>
    </font>
    <font>
      <sz val="8"/>
      <color theme="1"/>
      <name val="Arial"/>
      <family val="2"/>
    </font>
    <font>
      <sz val="8"/>
      <name val="Arial"/>
      <family val="2"/>
    </font>
    <font>
      <sz val="8"/>
      <color theme="4" tint="-0.499984740745262"/>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1"/>
      <color rgb="FFFFFFFF"/>
      <name val="Arial"/>
      <family val="2"/>
    </font>
    <font>
      <b/>
      <sz val="10"/>
      <color theme="8" tint="-0.499984740745262"/>
      <name val="Arial"/>
      <family val="2"/>
    </font>
    <font>
      <sz val="10"/>
      <color theme="8" tint="-0.499984740745262"/>
      <name val="Arial"/>
      <family val="2"/>
    </font>
    <font>
      <sz val="10"/>
      <name val="Arial"/>
      <family val="2"/>
    </font>
    <font>
      <b/>
      <sz val="9"/>
      <color theme="0"/>
      <name val="Arial"/>
      <family val="2"/>
    </font>
    <font>
      <vertAlign val="superscript"/>
      <sz val="9"/>
      <color theme="4" tint="-0.499984740745262"/>
      <name val="Cambria"/>
      <family val="1"/>
      <scheme val="minor"/>
    </font>
    <font>
      <b/>
      <sz val="11"/>
      <color theme="0"/>
      <name val="Cambria"/>
      <family val="1"/>
      <scheme val="minor"/>
    </font>
    <font>
      <sz val="11"/>
      <color theme="1"/>
      <name val="Calibri"/>
      <family val="2"/>
    </font>
    <font>
      <sz val="9"/>
      <color theme="1"/>
      <name val="Calibri"/>
      <family val="2"/>
    </font>
    <font>
      <b/>
      <u/>
      <sz val="18"/>
      <color rgb="FFC00000"/>
      <name val="Cambria"/>
      <family val="1"/>
      <scheme val="minor"/>
    </font>
    <font>
      <sz val="12"/>
      <color theme="1"/>
      <name val="Cambria"/>
      <family val="2"/>
      <scheme val="minor"/>
    </font>
    <font>
      <sz val="14"/>
      <color theme="1"/>
      <name val="Cambria"/>
      <family val="2"/>
      <scheme val="minor"/>
    </font>
    <font>
      <b/>
      <sz val="12"/>
      <color theme="1"/>
      <name val="Cambria"/>
      <family val="1"/>
      <scheme val="minor"/>
    </font>
    <font>
      <sz val="11"/>
      <color theme="1"/>
      <name val="Wingdings"/>
      <charset val="2"/>
    </font>
    <font>
      <sz val="11"/>
      <color theme="7" tint="-0.499984740745262"/>
      <name val="Wingdings"/>
      <charset val="2"/>
    </font>
    <font>
      <sz val="16"/>
      <color theme="1"/>
      <name val="Cambria"/>
      <family val="2"/>
      <scheme val="minor"/>
    </font>
    <font>
      <sz val="11"/>
      <color theme="7" tint="-0.499984740745262"/>
      <name val="Cambria"/>
      <family val="2"/>
      <scheme val="minor"/>
    </font>
    <font>
      <sz val="10"/>
      <color theme="4" tint="-0.499984740745262"/>
      <name val="Calibri"/>
      <family val="2"/>
      <scheme val="major"/>
    </font>
    <font>
      <sz val="9"/>
      <color theme="4" tint="-0.499984740745262"/>
      <name val="Calibri"/>
      <family val="2"/>
      <scheme val="major"/>
    </font>
    <font>
      <sz val="11"/>
      <color theme="1"/>
      <name val="Calibri"/>
      <family val="2"/>
      <scheme val="major"/>
    </font>
    <font>
      <sz val="11"/>
      <color theme="7" tint="-0.249977111117893"/>
      <name val="Calibri"/>
      <family val="2"/>
      <scheme val="major"/>
    </font>
    <font>
      <sz val="11"/>
      <color theme="4" tint="-0.499984740745262"/>
      <name val="Calibri"/>
      <family val="2"/>
      <scheme val="major"/>
    </font>
    <font>
      <b/>
      <sz val="11"/>
      <color theme="4" tint="-0.499984740745262"/>
      <name val="Calibri"/>
      <family val="2"/>
      <scheme val="major"/>
    </font>
    <font>
      <b/>
      <sz val="9"/>
      <color theme="4" tint="-0.499984740745262"/>
      <name val="Cambria"/>
      <family val="1"/>
      <scheme val="minor"/>
    </font>
    <font>
      <sz val="10"/>
      <color theme="4" tint="-0.499984740745262"/>
      <name val="Cambria"/>
      <family val="1"/>
      <scheme val="minor"/>
    </font>
    <font>
      <sz val="11"/>
      <color rgb="FF504938"/>
      <name val="Cambria"/>
      <family val="1"/>
      <scheme val="minor"/>
    </font>
    <font>
      <sz val="14"/>
      <color theme="1"/>
      <name val="Times New Roman"/>
      <family val="1"/>
    </font>
    <font>
      <sz val="18"/>
      <color theme="0"/>
      <name val="Cambria"/>
      <family val="2"/>
      <scheme val="minor"/>
    </font>
    <font>
      <sz val="8"/>
      <color theme="4" tint="-0.249977111117893"/>
      <name val="Tahoma"/>
      <family val="2"/>
    </font>
    <font>
      <sz val="9"/>
      <color theme="4" tint="-0.249977111117893"/>
      <name val="Cambria"/>
      <family val="1"/>
      <scheme val="minor"/>
    </font>
    <font>
      <sz val="8"/>
      <color theme="4" tint="-0.249977111117893"/>
      <name val="Cambria"/>
      <family val="1"/>
      <scheme val="minor"/>
    </font>
    <font>
      <b/>
      <sz val="10"/>
      <color theme="4" tint="-0.499984740745262"/>
      <name val="Cambria"/>
      <family val="1"/>
      <scheme val="minor"/>
    </font>
    <font>
      <b/>
      <i/>
      <sz val="11"/>
      <color rgb="FFA24200"/>
      <name val="Century"/>
      <family val="1"/>
    </font>
    <font>
      <sz val="20"/>
      <color theme="0"/>
      <name val="Cambria"/>
      <family val="2"/>
      <scheme val="minor"/>
    </font>
    <font>
      <b/>
      <sz val="13"/>
      <color theme="4" tint="-0.249977111117893"/>
      <name val="Cambria"/>
      <family val="1"/>
      <scheme val="minor"/>
    </font>
    <font>
      <b/>
      <sz val="13"/>
      <color theme="4" tint="-0.249977111117893"/>
      <name val="Wingdings"/>
      <charset val="2"/>
    </font>
    <font>
      <sz val="13"/>
      <color theme="4" tint="-0.249977111117893"/>
      <name val="Cambria"/>
      <family val="1"/>
      <scheme val="minor"/>
    </font>
    <font>
      <b/>
      <sz val="16"/>
      <color theme="4" tint="-0.249977111117893"/>
      <name val="Cambria"/>
      <family val="1"/>
      <scheme val="minor"/>
    </font>
    <font>
      <sz val="11"/>
      <color theme="4" tint="-0.249977111117893"/>
      <name val="Cambria"/>
      <family val="1"/>
      <scheme val="minor"/>
    </font>
    <font>
      <sz val="10"/>
      <color rgb="FF32525C"/>
      <name val="Cambria"/>
      <family val="1"/>
      <scheme val="minor"/>
    </font>
    <font>
      <sz val="10"/>
      <color theme="1"/>
      <name val="Cambria"/>
      <family val="1"/>
      <scheme val="minor"/>
    </font>
    <font>
      <b/>
      <sz val="10"/>
      <color rgb="FFCC6600"/>
      <name val="Cambria"/>
      <family val="1"/>
      <scheme val="minor"/>
    </font>
    <font>
      <sz val="10"/>
      <color theme="0"/>
      <name val="Cambria"/>
      <family val="1"/>
      <scheme val="minor"/>
    </font>
    <font>
      <b/>
      <sz val="10"/>
      <color theme="5" tint="-0.499984740745262"/>
      <name val="Cambria"/>
      <family val="1"/>
      <scheme val="minor"/>
    </font>
    <font>
      <b/>
      <sz val="10"/>
      <color rgb="FFA24200"/>
      <name val="Cambria"/>
      <family val="1"/>
      <scheme val="minor"/>
    </font>
    <font>
      <sz val="10"/>
      <color theme="5" tint="-0.499984740745262"/>
      <name val="Cambria"/>
      <family val="1"/>
      <scheme val="minor"/>
    </font>
    <font>
      <b/>
      <i/>
      <sz val="10"/>
      <color rgb="FFA24200"/>
      <name val="Cambria"/>
      <family val="1"/>
      <scheme val="minor"/>
    </font>
    <font>
      <sz val="10"/>
      <color rgb="FF396950"/>
      <name val="Cambria"/>
      <family val="1"/>
      <scheme val="minor"/>
    </font>
    <font>
      <sz val="10"/>
      <name val="Cambria"/>
      <family val="1"/>
      <scheme val="minor"/>
    </font>
    <font>
      <sz val="10"/>
      <color theme="7" tint="-0.249977111117893"/>
      <name val="Cambria"/>
      <family val="1"/>
      <scheme val="minor"/>
    </font>
    <font>
      <u/>
      <sz val="10"/>
      <color theme="4" tint="-0.499984740745262"/>
      <name val="Cambria"/>
      <family val="1"/>
      <scheme val="minor"/>
    </font>
    <font>
      <sz val="10"/>
      <color rgb="FFC00000"/>
      <name val="Cambria"/>
      <family val="1"/>
      <scheme val="minor"/>
    </font>
    <font>
      <b/>
      <sz val="10"/>
      <color rgb="FFC46A08"/>
      <name val="Cambria"/>
      <family val="1"/>
      <scheme val="minor"/>
    </font>
    <font>
      <b/>
      <sz val="10"/>
      <color rgb="FFC00000"/>
      <name val="Cambria"/>
      <family val="1"/>
      <scheme val="minor"/>
    </font>
    <font>
      <sz val="10"/>
      <color theme="0" tint="-4.9989318521683403E-2"/>
      <name val="Cambria"/>
      <family val="1"/>
      <scheme val="minor"/>
    </font>
    <font>
      <i/>
      <sz val="10"/>
      <color theme="4" tint="-0.499984740745262"/>
      <name val="Cambria"/>
      <family val="1"/>
      <scheme val="minor"/>
    </font>
    <font>
      <sz val="10"/>
      <color theme="1"/>
      <name val="Cambria"/>
      <family val="2"/>
      <scheme val="minor"/>
    </font>
    <font>
      <sz val="10"/>
      <color theme="1"/>
      <name val="Calibri"/>
      <family val="2"/>
      <scheme val="major"/>
    </font>
    <font>
      <sz val="10"/>
      <color theme="7" tint="-0.249977111117893"/>
      <name val="Arial"/>
      <family val="2"/>
    </font>
    <font>
      <sz val="10"/>
      <color theme="7" tint="-0.249977111117893"/>
      <name val="Calibri"/>
      <family val="2"/>
      <scheme val="major"/>
    </font>
    <font>
      <sz val="12"/>
      <color theme="0"/>
      <name val="Arial"/>
      <family val="2"/>
    </font>
    <font>
      <sz val="14"/>
      <color theme="4" tint="-0.499984740745262"/>
      <name val="Wingdings"/>
      <charset val="2"/>
    </font>
    <font>
      <i/>
      <sz val="9"/>
      <color theme="4" tint="-0.499984740745262"/>
      <name val="Cambria"/>
      <family val="1"/>
      <scheme val="minor"/>
    </font>
    <font>
      <b/>
      <sz val="14"/>
      <color theme="4" tint="-0.499984740745262"/>
      <name val="Cambria"/>
      <family val="1"/>
      <scheme val="minor"/>
    </font>
    <font>
      <sz val="20"/>
      <color theme="1"/>
      <name val="Cambria"/>
      <family val="2"/>
      <scheme val="minor"/>
    </font>
    <font>
      <b/>
      <i/>
      <sz val="11"/>
      <color rgb="FFC00000"/>
      <name val="Calibri"/>
      <family val="2"/>
    </font>
    <font>
      <sz val="10"/>
      <color rgb="FF663300"/>
      <name val="Cambria"/>
      <family val="1"/>
      <scheme val="minor"/>
    </font>
    <font>
      <b/>
      <sz val="12"/>
      <color theme="0"/>
      <name val="Courier New"/>
      <family val="3"/>
    </font>
    <font>
      <b/>
      <sz val="6"/>
      <color theme="3" tint="-0.499984740745262"/>
      <name val="Cambria"/>
      <family val="1"/>
      <scheme val="minor"/>
    </font>
    <font>
      <sz val="6"/>
      <color theme="1"/>
      <name val="Cambria"/>
      <family val="2"/>
      <scheme val="minor"/>
    </font>
    <font>
      <sz val="6"/>
      <color theme="3" tint="-0.499984740745262"/>
      <name val="Tahoma"/>
      <family val="2"/>
    </font>
    <font>
      <b/>
      <sz val="6"/>
      <color theme="1"/>
      <name val="Cambria"/>
      <family val="1"/>
      <scheme val="minor"/>
    </font>
    <font>
      <sz val="7"/>
      <color theme="3" tint="-0.499984740745262"/>
      <name val="Cambria"/>
      <family val="1"/>
      <scheme val="minor"/>
    </font>
    <font>
      <sz val="7"/>
      <color theme="1"/>
      <name val="Cambria"/>
      <family val="1"/>
      <scheme val="minor"/>
    </font>
    <font>
      <b/>
      <i/>
      <u/>
      <sz val="11"/>
      <color rgb="FFC00000"/>
      <name val="Calibri"/>
      <family val="2"/>
      <scheme val="major"/>
    </font>
    <font>
      <b/>
      <i/>
      <sz val="11"/>
      <color rgb="FFC00000"/>
      <name val="Calibri"/>
      <family val="2"/>
      <scheme val="major"/>
    </font>
    <font>
      <sz val="10"/>
      <color rgb="FFCC6600"/>
      <name val="Cambria"/>
      <family val="1"/>
      <scheme val="minor"/>
    </font>
    <font>
      <b/>
      <sz val="9"/>
      <color theme="4" tint="-0.499984740745262"/>
      <name val="Cambria"/>
      <family val="2"/>
      <scheme val="minor"/>
    </font>
    <font>
      <sz val="9"/>
      <color rgb="FFC00000"/>
      <name val="Cambria"/>
      <family val="2"/>
      <scheme val="minor"/>
    </font>
    <font>
      <sz val="9"/>
      <color rgb="FF32525C"/>
      <name val="Cambria"/>
      <family val="2"/>
      <scheme val="minor"/>
    </font>
    <font>
      <strike/>
      <sz val="10"/>
      <color theme="4" tint="-0.499984740745262"/>
      <name val="Cambria"/>
      <family val="1"/>
      <scheme val="minor"/>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4" tint="0.59999389629810485"/>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4506668294322"/>
        <bgColor indexed="64"/>
      </patternFill>
    </fill>
    <fill>
      <patternFill patternType="solid">
        <fgColor rgb="FFFFFF00"/>
        <bgColor theme="5" tint="0.39994506668294322"/>
      </patternFill>
    </fill>
    <fill>
      <patternFill patternType="solid">
        <fgColor theme="5" tint="0.39997558519241921"/>
        <bgColor theme="5" tint="0.39994506668294322"/>
      </patternFill>
    </fill>
    <fill>
      <patternFill patternType="solid">
        <fgColor theme="0"/>
        <bgColor theme="5" tint="0.39994506668294322"/>
      </patternFill>
    </fill>
    <fill>
      <patternFill patternType="solid">
        <fgColor theme="7" tint="0.39997558519241921"/>
        <bgColor indexed="64"/>
      </patternFill>
    </fill>
    <fill>
      <patternFill patternType="solid">
        <fgColor theme="5" tint="0.59999389629810485"/>
        <bgColor theme="5" tint="0.39994506668294322"/>
      </patternFill>
    </fill>
  </fills>
  <borders count="5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0" tint="-0.249977111117893"/>
      </left>
      <right style="thin">
        <color indexed="64"/>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right style="thin">
        <color theme="0" tint="-0.34998626667073579"/>
      </right>
      <top/>
      <bottom/>
      <diagonal/>
    </border>
    <border>
      <left/>
      <right/>
      <top style="thin">
        <color theme="0" tint="-0.249977111117893"/>
      </top>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thin">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249977111117893"/>
      </bottom>
      <diagonal/>
    </border>
    <border>
      <left/>
      <right style="hair">
        <color theme="0" tint="-0.249977111117893"/>
      </right>
      <top style="hair">
        <color theme="0" tint="-0.249977111117893"/>
      </top>
      <bottom/>
      <diagonal/>
    </border>
    <border>
      <left/>
      <right style="hair">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right/>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style="medium">
        <color theme="4" tint="-0.499984740745262"/>
      </bottom>
      <diagonal/>
    </border>
    <border>
      <left/>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top/>
      <bottom/>
      <diagonal/>
    </border>
    <border>
      <left style="medium">
        <color theme="4" tint="-0.499984740745262"/>
      </left>
      <right/>
      <top/>
      <bottom/>
      <diagonal/>
    </border>
    <border>
      <left/>
      <right/>
      <top/>
      <bottom style="thick">
        <color theme="0" tint="-0.249977111117893"/>
      </bottom>
      <diagonal/>
    </border>
    <border>
      <left/>
      <right/>
      <top style="double">
        <color theme="0" tint="-0.249977111117893"/>
      </top>
      <bottom/>
      <diagonal/>
    </border>
    <border>
      <left/>
      <right/>
      <top style="thin">
        <color theme="0" tint="-0.249977111117893"/>
      </top>
      <bottom style="double">
        <color theme="0"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11">
    <xf numFmtId="164" fontId="0" fillId="0" borderId="0"/>
    <xf numFmtId="0" fontId="141" fillId="38" borderId="52" applyNumberFormat="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7" fillId="0" borderId="0" applyNumberFormat="0" applyFill="0" applyBorder="0" applyAlignment="0" applyProtection="0">
      <alignment vertical="top"/>
      <protection locked="0"/>
    </xf>
    <xf numFmtId="0" fontId="5" fillId="0" borderId="0"/>
  </cellStyleXfs>
  <cellXfs count="914">
    <xf numFmtId="164" fontId="0" fillId="0" borderId="0" xfId="0"/>
    <xf numFmtId="164" fontId="14" fillId="0" borderId="0" xfId="0" applyFont="1"/>
    <xf numFmtId="164" fontId="14" fillId="12" borderId="0" xfId="0" applyFont="1" applyFill="1"/>
    <xf numFmtId="164" fontId="14" fillId="12" borderId="0" xfId="0" applyFont="1" applyFill="1" applyBorder="1"/>
    <xf numFmtId="164" fontId="18" fillId="7" borderId="0" xfId="0" applyFont="1" applyFill="1" applyBorder="1" applyAlignment="1"/>
    <xf numFmtId="167" fontId="21" fillId="19" borderId="0" xfId="4" applyNumberFormat="1" applyFont="1" applyFill="1" applyBorder="1" applyAlignment="1">
      <alignment horizontal="right"/>
    </xf>
    <xf numFmtId="167" fontId="21" fillId="13" borderId="0" xfId="4" applyNumberFormat="1" applyFont="1" applyFill="1" applyBorder="1" applyAlignment="1">
      <alignment horizontal="right"/>
    </xf>
    <xf numFmtId="164" fontId="23" fillId="13" borderId="0" xfId="4" applyFont="1" applyFill="1" applyBorder="1" applyAlignment="1">
      <alignment horizontal="right"/>
    </xf>
    <xf numFmtId="167" fontId="22" fillId="13" borderId="0" xfId="4" applyNumberFormat="1" applyFont="1" applyFill="1" applyBorder="1" applyAlignment="1">
      <alignment vertical="top" wrapText="1"/>
    </xf>
    <xf numFmtId="0" fontId="24" fillId="12" borderId="0" xfId="0" applyNumberFormat="1" applyFont="1" applyFill="1" applyBorder="1" applyProtection="1">
      <protection locked="0"/>
    </xf>
    <xf numFmtId="167" fontId="18" fillId="15" borderId="0" xfId="4" applyNumberFormat="1" applyFont="1" applyFill="1" applyBorder="1" applyAlignment="1">
      <alignment vertical="center"/>
    </xf>
    <xf numFmtId="167" fontId="16" fillId="13" borderId="0" xfId="4" applyNumberFormat="1" applyFont="1" applyFill="1" applyBorder="1"/>
    <xf numFmtId="164" fontId="25" fillId="13" borderId="0" xfId="4" applyFont="1" applyFill="1" applyBorder="1"/>
    <xf numFmtId="1" fontId="14" fillId="12" borderId="0" xfId="0" applyNumberFormat="1" applyFont="1" applyFill="1"/>
    <xf numFmtId="167" fontId="21" fillId="13" borderId="0" xfId="4" applyNumberFormat="1" applyFont="1" applyFill="1" applyBorder="1"/>
    <xf numFmtId="164" fontId="23" fillId="13" borderId="0" xfId="4" applyFont="1" applyFill="1" applyBorder="1"/>
    <xf numFmtId="164" fontId="19" fillId="12" borderId="0" xfId="0" applyFont="1" applyFill="1" applyBorder="1"/>
    <xf numFmtId="164" fontId="14" fillId="0" borderId="0" xfId="0" applyFont="1" applyBorder="1"/>
    <xf numFmtId="167" fontId="24" fillId="19" borderId="0" xfId="4" applyNumberFormat="1" applyFont="1" applyFill="1" applyBorder="1" applyAlignment="1">
      <alignment horizontal="right"/>
    </xf>
    <xf numFmtId="167" fontId="24" fillId="13" borderId="0" xfId="4" applyNumberFormat="1" applyFont="1" applyFill="1" applyBorder="1" applyAlignment="1">
      <alignment horizontal="right"/>
    </xf>
    <xf numFmtId="167" fontId="24" fillId="18" borderId="0" xfId="4" applyNumberFormat="1" applyFont="1" applyFill="1" applyBorder="1" applyAlignment="1">
      <alignment horizontal="left" vertical="top"/>
    </xf>
    <xf numFmtId="167" fontId="18" fillId="15" borderId="0" xfId="3" applyNumberFormat="1" applyFont="1" applyFill="1" applyBorder="1" applyAlignment="1" applyProtection="1">
      <alignment vertical="top"/>
    </xf>
    <xf numFmtId="166" fontId="24" fillId="16" borderId="0" xfId="4" applyNumberFormat="1" applyFont="1" applyFill="1" applyBorder="1" applyAlignment="1">
      <alignment horizontal="left"/>
    </xf>
    <xf numFmtId="164" fontId="0" fillId="0" borderId="0" xfId="0"/>
    <xf numFmtId="168" fontId="29" fillId="21" borderId="3" xfId="0" applyNumberFormat="1" applyFont="1" applyFill="1" applyBorder="1" applyAlignment="1" applyProtection="1">
      <alignment horizontal="center" vertical="center"/>
    </xf>
    <xf numFmtId="168" fontId="29" fillId="22"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4" fillId="18" borderId="0" xfId="4" applyNumberFormat="1" applyFont="1" applyFill="1" applyBorder="1" applyAlignment="1">
      <alignment horizontal="left"/>
    </xf>
    <xf numFmtId="166" fontId="24" fillId="10" borderId="0" xfId="0" applyNumberFormat="1" applyFont="1" applyFill="1" applyBorder="1" applyAlignment="1" applyProtection="1">
      <alignment horizontal="left"/>
      <protection locked="0"/>
    </xf>
    <xf numFmtId="164" fontId="0" fillId="0" borderId="0" xfId="0" applyAlignment="1">
      <alignment horizontal="center"/>
    </xf>
    <xf numFmtId="167" fontId="14" fillId="12" borderId="0" xfId="0" applyNumberFormat="1" applyFont="1" applyFill="1"/>
    <xf numFmtId="164" fontId="0" fillId="9" borderId="0" xfId="0" applyFill="1" applyBorder="1" applyProtection="1"/>
    <xf numFmtId="167" fontId="24" fillId="12" borderId="0" xfId="0" applyNumberFormat="1" applyFont="1" applyFill="1" applyBorder="1" applyProtection="1">
      <protection locked="0"/>
    </xf>
    <xf numFmtId="0" fontId="36" fillId="12" borderId="52" xfId="1" applyFont="1" applyFill="1" applyAlignment="1" applyProtection="1"/>
    <xf numFmtId="0" fontId="30" fillId="2" borderId="0" xfId="0" applyNumberFormat="1" applyFont="1" applyFill="1" applyBorder="1" applyProtection="1"/>
    <xf numFmtId="169" fontId="11" fillId="0" borderId="0" xfId="0" applyNumberFormat="1" applyFont="1" applyFill="1" applyBorder="1" applyAlignment="1" applyProtection="1">
      <alignment vertical="top" wrapText="1"/>
    </xf>
    <xf numFmtId="167" fontId="23" fillId="13" borderId="0" xfId="4" applyNumberFormat="1" applyFont="1" applyFill="1" applyBorder="1" applyAlignment="1">
      <alignment horizontal="right"/>
    </xf>
    <xf numFmtId="164" fontId="37" fillId="0" borderId="8" xfId="0" applyFont="1" applyBorder="1"/>
    <xf numFmtId="164" fontId="12" fillId="13" borderId="0" xfId="4" applyFont="1" applyFill="1" applyBorder="1" applyAlignment="1" applyProtection="1">
      <alignment horizontal="center" vertical="center"/>
    </xf>
    <xf numFmtId="164" fontId="10" fillId="13" borderId="0" xfId="4" applyFont="1" applyFill="1" applyBorder="1" applyAlignment="1" applyProtection="1">
      <alignment horizontal="center" vertical="center"/>
    </xf>
    <xf numFmtId="164" fontId="26"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28" fillId="0" borderId="7" xfId="0" applyNumberFormat="1" applyFont="1" applyFill="1" applyBorder="1" applyAlignment="1" applyProtection="1">
      <alignment vertical="top" wrapText="1"/>
    </xf>
    <xf numFmtId="164" fontId="0" fillId="7" borderId="7" xfId="0" applyFill="1" applyBorder="1" applyProtection="1"/>
    <xf numFmtId="169" fontId="13"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horizontal="left" vertical="top" wrapText="1"/>
    </xf>
    <xf numFmtId="169" fontId="11" fillId="0" borderId="7" xfId="0" applyNumberFormat="1" applyFont="1" applyFill="1" applyBorder="1" applyAlignment="1" applyProtection="1">
      <alignment horizontal="left" vertical="top" wrapText="1" indent="2"/>
    </xf>
    <xf numFmtId="164" fontId="0" fillId="0" borderId="0" xfId="0" applyBorder="1"/>
    <xf numFmtId="164" fontId="27" fillId="13" borderId="0" xfId="4" applyFont="1" applyFill="1" applyBorder="1" applyAlignment="1" applyProtection="1">
      <alignment horizontal="center" vertical="center"/>
    </xf>
    <xf numFmtId="166" fontId="12" fillId="13" borderId="0" xfId="4" applyNumberFormat="1" applyFont="1" applyFill="1" applyBorder="1" applyAlignment="1" applyProtection="1">
      <alignment horizontal="left" vertical="center"/>
    </xf>
    <xf numFmtId="164" fontId="12" fillId="13" borderId="0" xfId="4" applyFont="1" applyFill="1" applyBorder="1" applyAlignment="1" applyProtection="1">
      <alignment horizontal="left" vertical="center"/>
    </xf>
    <xf numFmtId="164" fontId="10" fillId="13" borderId="0" xfId="4"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164" fontId="26" fillId="13" borderId="0" xfId="4" applyFont="1" applyFill="1" applyBorder="1" applyAlignment="1" applyProtection="1">
      <alignment horizontal="left" vertical="center"/>
    </xf>
    <xf numFmtId="167" fontId="12" fillId="13" borderId="0" xfId="4" applyNumberFormat="1" applyFont="1" applyFill="1" applyBorder="1" applyProtection="1"/>
    <xf numFmtId="167" fontId="12" fillId="13"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4" fillId="8" borderId="0" xfId="0" applyNumberFormat="1" applyFont="1" applyFill="1" applyBorder="1" applyAlignment="1">
      <alignment horizontal="center"/>
    </xf>
    <xf numFmtId="164" fontId="14" fillId="12" borderId="0" xfId="0" applyFont="1" applyFill="1" applyAlignment="1">
      <alignment horizontal="left"/>
    </xf>
    <xf numFmtId="164" fontId="14" fillId="0" borderId="0" xfId="0" applyFont="1" applyAlignment="1">
      <alignment horizontal="left"/>
    </xf>
    <xf numFmtId="164" fontId="14" fillId="12" borderId="0" xfId="0" applyFont="1" applyFill="1" applyAlignment="1">
      <alignment horizontal="left" indent="3"/>
    </xf>
    <xf numFmtId="164" fontId="14" fillId="0" borderId="0" xfId="0" applyFont="1" applyAlignment="1">
      <alignment horizontal="left" indent="3"/>
    </xf>
    <xf numFmtId="0" fontId="24" fillId="12" borderId="0" xfId="0" applyNumberFormat="1" applyFont="1" applyFill="1" applyBorder="1" applyAlignment="1" applyProtection="1">
      <alignment horizontal="left"/>
      <protection locked="0"/>
    </xf>
    <xf numFmtId="164" fontId="23" fillId="13" borderId="0" xfId="4" applyFont="1" applyFill="1" applyBorder="1" applyAlignment="1">
      <alignment horizontal="left"/>
    </xf>
    <xf numFmtId="164" fontId="25" fillId="13" borderId="0" xfId="4" applyFont="1" applyFill="1" applyBorder="1" applyAlignment="1">
      <alignment horizontal="left"/>
    </xf>
    <xf numFmtId="164" fontId="35" fillId="12" borderId="0" xfId="0" applyFont="1" applyFill="1" applyBorder="1" applyAlignment="1" applyProtection="1">
      <alignment horizontal="center" vertical="center"/>
    </xf>
    <xf numFmtId="164" fontId="0" fillId="12" borderId="0" xfId="0" applyFill="1" applyBorder="1"/>
    <xf numFmtId="166" fontId="12"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5" fillId="12" borderId="0" xfId="0" applyFont="1" applyFill="1" applyBorder="1" applyAlignment="1" applyProtection="1">
      <alignment horizontal="left" vertical="center"/>
    </xf>
    <xf numFmtId="164" fontId="12" fillId="11" borderId="0" xfId="4" applyFont="1" applyFill="1" applyBorder="1" applyAlignment="1" applyProtection="1">
      <alignment horizontal="left" vertical="center" wrapText="1"/>
    </xf>
    <xf numFmtId="164" fontId="0" fillId="12" borderId="0" xfId="0" applyFill="1" applyBorder="1" applyProtection="1"/>
    <xf numFmtId="1" fontId="12" fillId="11" borderId="0" xfId="4" applyNumberFormat="1" applyFont="1" applyFill="1" applyBorder="1" applyAlignment="1" applyProtection="1">
      <alignment horizontal="left" vertical="center" wrapText="1"/>
    </xf>
    <xf numFmtId="164" fontId="0" fillId="12" borderId="0" xfId="0" applyFill="1" applyBorder="1" applyAlignment="1" applyProtection="1">
      <alignment horizontal="left"/>
    </xf>
    <xf numFmtId="167" fontId="12" fillId="11" borderId="0" xfId="4" applyNumberFormat="1" applyFont="1" applyFill="1" applyBorder="1" applyAlignment="1" applyProtection="1">
      <alignment horizontal="left" vertical="center"/>
    </xf>
    <xf numFmtId="0" fontId="39" fillId="12" borderId="0" xfId="1" applyFont="1" applyFill="1" applyBorder="1" applyAlignment="1" applyProtection="1">
      <alignment horizontal="left" vertical="center"/>
    </xf>
    <xf numFmtId="164" fontId="35" fillId="12" borderId="0" xfId="0" quotePrefix="1" applyFont="1" applyFill="1" applyBorder="1" applyAlignment="1" applyProtection="1">
      <alignment horizontal="left" vertical="center"/>
    </xf>
    <xf numFmtId="164" fontId="40" fillId="12" borderId="0" xfId="0" applyFont="1" applyFill="1" applyBorder="1" applyProtection="1"/>
    <xf numFmtId="164" fontId="0" fillId="12" borderId="0" xfId="0" applyFill="1" applyBorder="1" applyAlignment="1" applyProtection="1">
      <alignment horizontal="center" vertical="center"/>
    </xf>
    <xf numFmtId="1" fontId="10" fillId="13" borderId="0" xfId="4" applyNumberFormat="1" applyFont="1" applyFill="1" applyBorder="1" applyAlignment="1" applyProtection="1">
      <alignment horizontal="left" vertical="center"/>
    </xf>
    <xf numFmtId="167" fontId="12" fillId="11" borderId="0" xfId="4" applyNumberFormat="1" applyFont="1" applyFill="1" applyBorder="1" applyAlignment="1" applyProtection="1">
      <alignment horizontal="left" vertical="center" wrapText="1"/>
    </xf>
    <xf numFmtId="165" fontId="10" fillId="13" borderId="0" xfId="4" applyNumberFormat="1" applyFont="1" applyFill="1" applyBorder="1" applyAlignment="1" applyProtection="1">
      <alignment horizontal="left" vertical="center"/>
    </xf>
    <xf numFmtId="164" fontId="0" fillId="2" borderId="0" xfId="0" applyFill="1"/>
    <xf numFmtId="167" fontId="42" fillId="13" borderId="0" xfId="4" applyNumberFormat="1" applyFont="1" applyFill="1" applyBorder="1" applyAlignment="1" applyProtection="1">
      <alignment horizontal="center" wrapText="1"/>
    </xf>
    <xf numFmtId="166" fontId="12" fillId="13" borderId="0" xfId="4" applyNumberFormat="1" applyFont="1" applyFill="1" applyBorder="1" applyAlignment="1" applyProtection="1">
      <alignment horizontal="center" vertical="center"/>
    </xf>
    <xf numFmtId="164" fontId="12" fillId="13" borderId="0" xfId="4" applyFont="1" applyFill="1" applyBorder="1" applyAlignment="1" applyProtection="1">
      <alignment horizontal="left" vertical="center" wrapText="1"/>
    </xf>
    <xf numFmtId="164" fontId="12" fillId="11" borderId="0" xfId="4" applyFont="1" applyFill="1" applyBorder="1" applyAlignment="1" applyProtection="1">
      <alignment horizontal="left" vertical="center"/>
    </xf>
    <xf numFmtId="164" fontId="12" fillId="13" borderId="0" xfId="4" applyFont="1" applyFill="1" applyBorder="1" applyAlignment="1" applyProtection="1">
      <alignment horizontal="center" vertical="center" wrapText="1"/>
    </xf>
    <xf numFmtId="166" fontId="35" fillId="12" borderId="0" xfId="0" applyNumberFormat="1" applyFont="1" applyFill="1" applyBorder="1" applyAlignment="1" applyProtection="1">
      <alignment horizontal="center" vertical="center"/>
    </xf>
    <xf numFmtId="164" fontId="49" fillId="2" borderId="0" xfId="0" applyFont="1" applyFill="1" applyBorder="1" applyProtection="1"/>
    <xf numFmtId="164" fontId="49" fillId="2" borderId="0" xfId="0" applyFont="1" applyFill="1" applyBorder="1" applyAlignment="1" applyProtection="1"/>
    <xf numFmtId="164" fontId="49" fillId="2" borderId="0" xfId="0" applyFont="1" applyFill="1" applyBorder="1" applyAlignment="1" applyProtection="1">
      <alignment horizontal="right"/>
    </xf>
    <xf numFmtId="0" fontId="51" fillId="17" borderId="0" xfId="0" applyNumberFormat="1" applyFont="1" applyFill="1" applyBorder="1" applyAlignment="1" applyProtection="1">
      <alignment horizontal="left" wrapText="1"/>
    </xf>
    <xf numFmtId="169" fontId="44" fillId="7" borderId="0" xfId="0" applyNumberFormat="1" applyFont="1" applyFill="1" applyBorder="1" applyAlignment="1" applyProtection="1">
      <alignment horizontal="center"/>
    </xf>
    <xf numFmtId="0" fontId="44" fillId="17" borderId="0" xfId="0" applyNumberFormat="1" applyFont="1" applyFill="1" applyBorder="1" applyAlignment="1" applyProtection="1">
      <alignment horizontal="left" wrapText="1"/>
    </xf>
    <xf numFmtId="164" fontId="56" fillId="0" borderId="0" xfId="0" applyFont="1" applyFill="1" applyBorder="1" applyAlignment="1" applyProtection="1">
      <alignment horizontal="right"/>
    </xf>
    <xf numFmtId="164" fontId="48" fillId="0" borderId="0" xfId="0" applyFont="1" applyFill="1" applyBorder="1" applyAlignment="1" applyProtection="1"/>
    <xf numFmtId="164" fontId="49" fillId="0" borderId="0" xfId="0" applyFont="1" applyFill="1" applyBorder="1" applyAlignment="1" applyProtection="1">
      <alignment horizontal="right"/>
    </xf>
    <xf numFmtId="164" fontId="49" fillId="0" borderId="0" xfId="0" applyFont="1" applyFill="1" applyBorder="1" applyAlignment="1" applyProtection="1"/>
    <xf numFmtId="0" fontId="59" fillId="2" borderId="0" xfId="0" applyNumberFormat="1" applyFont="1" applyFill="1" applyBorder="1" applyAlignment="1" applyProtection="1"/>
    <xf numFmtId="0" fontId="59" fillId="2" borderId="0" xfId="0" applyNumberFormat="1" applyFont="1" applyFill="1" applyBorder="1" applyAlignment="1" applyProtection="1">
      <alignment horizontal="right"/>
    </xf>
    <xf numFmtId="0" fontId="48"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wrapText="1"/>
    </xf>
    <xf numFmtId="0" fontId="48" fillId="2" borderId="0" xfId="1" applyNumberFormat="1" applyFont="1" applyFill="1" applyBorder="1" applyAlignment="1" applyProtection="1">
      <alignment horizontal="right" wrapText="1"/>
    </xf>
    <xf numFmtId="164" fontId="49" fillId="0" borderId="0" xfId="0" applyFont="1" applyBorder="1" applyAlignment="1" applyProtection="1"/>
    <xf numFmtId="0" fontId="48" fillId="0" borderId="0" xfId="0" applyNumberFormat="1" applyFont="1" applyFill="1" applyBorder="1" applyAlignment="1" applyProtection="1">
      <alignment horizontal="left" wrapText="1"/>
    </xf>
    <xf numFmtId="164" fontId="49" fillId="9" borderId="0" xfId="0" applyFont="1" applyFill="1" applyBorder="1" applyAlignment="1" applyProtection="1"/>
    <xf numFmtId="164" fontId="49" fillId="9" borderId="0" xfId="0" applyFont="1" applyFill="1" applyBorder="1" applyAlignment="1" applyProtection="1">
      <alignment horizontal="right"/>
    </xf>
    <xf numFmtId="0" fontId="60" fillId="2" borderId="0" xfId="0" applyNumberFormat="1" applyFont="1" applyFill="1" applyBorder="1" applyAlignment="1" applyProtection="1">
      <alignment horizontal="left" wrapText="1"/>
    </xf>
    <xf numFmtId="0" fontId="61" fillId="0" borderId="0"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left" wrapText="1"/>
    </xf>
    <xf numFmtId="1" fontId="62" fillId="0" borderId="0" xfId="0" applyNumberFormat="1" applyFont="1" applyBorder="1" applyAlignment="1" applyProtection="1">
      <alignment horizontal="right" wrapText="1"/>
    </xf>
    <xf numFmtId="0" fontId="45" fillId="7" borderId="0" xfId="0" applyNumberFormat="1" applyFont="1" applyFill="1" applyBorder="1" applyAlignment="1" applyProtection="1">
      <alignment horizontal="left"/>
    </xf>
    <xf numFmtId="0" fontId="64" fillId="17" borderId="0" xfId="0" applyNumberFormat="1" applyFont="1" applyFill="1" applyBorder="1" applyAlignment="1" applyProtection="1">
      <alignment horizontal="left" vertical="center" wrapText="1"/>
    </xf>
    <xf numFmtId="164" fontId="49" fillId="9" borderId="0" xfId="0" applyFont="1" applyFill="1" applyBorder="1" applyProtection="1"/>
    <xf numFmtId="166" fontId="24" fillId="14" borderId="0" xfId="4" applyNumberFormat="1" applyFont="1" applyFill="1" applyBorder="1" applyAlignment="1">
      <alignment horizontal="left"/>
    </xf>
    <xf numFmtId="164" fontId="0" fillId="12" borderId="0" xfId="0" applyFill="1" applyBorder="1" applyAlignment="1">
      <alignment horizontal="right"/>
    </xf>
    <xf numFmtId="166" fontId="24" fillId="27" borderId="0" xfId="4" applyNumberFormat="1" applyFont="1" applyFill="1" applyBorder="1" applyAlignment="1">
      <alignment horizontal="left"/>
    </xf>
    <xf numFmtId="164" fontId="18" fillId="7" borderId="10" xfId="0" applyFont="1" applyFill="1" applyBorder="1" applyAlignment="1"/>
    <xf numFmtId="1" fontId="24" fillId="19" borderId="0" xfId="4" applyNumberFormat="1" applyFont="1" applyFill="1" applyBorder="1" applyAlignment="1">
      <alignment horizontal="left"/>
    </xf>
    <xf numFmtId="1" fontId="14" fillId="8" borderId="0" xfId="0" applyNumberFormat="1" applyFont="1" applyFill="1" applyAlignment="1">
      <alignment horizontal="center"/>
    </xf>
    <xf numFmtId="0" fontId="53" fillId="7" borderId="0" xfId="0" applyNumberFormat="1" applyFont="1" applyFill="1" applyBorder="1" applyAlignment="1" applyProtection="1">
      <alignment horizontal="left" vertical="center" wrapText="1" indent="1"/>
    </xf>
    <xf numFmtId="0" fontId="53" fillId="7" borderId="0" xfId="0" applyNumberFormat="1" applyFont="1" applyFill="1" applyBorder="1" applyAlignment="1" applyProtection="1">
      <alignment horizontal="center" vertical="center" wrapText="1"/>
    </xf>
    <xf numFmtId="0" fontId="54" fillId="17" borderId="0" xfId="0" applyNumberFormat="1" applyFont="1" applyFill="1" applyBorder="1" applyAlignment="1" applyProtection="1">
      <alignment horizontal="center"/>
    </xf>
    <xf numFmtId="164" fontId="53" fillId="7" borderId="0" xfId="0" applyNumberFormat="1" applyFont="1" applyFill="1" applyBorder="1" applyAlignment="1" applyProtection="1">
      <alignment horizontal="left" vertical="center" wrapText="1" indent="3"/>
    </xf>
    <xf numFmtId="0" fontId="48" fillId="2" borderId="0" xfId="1" applyNumberFormat="1" applyFont="1" applyFill="1" applyBorder="1" applyAlignment="1" applyProtection="1">
      <alignment vertical="center" wrapText="1"/>
    </xf>
    <xf numFmtId="164" fontId="53" fillId="7" borderId="0" xfId="0" applyNumberFormat="1" applyFont="1" applyFill="1" applyBorder="1" applyAlignment="1" applyProtection="1">
      <alignment horizontal="center" vertical="center" wrapText="1"/>
    </xf>
    <xf numFmtId="164" fontId="53" fillId="7" borderId="0" xfId="0" applyNumberFormat="1" applyFont="1" applyFill="1" applyBorder="1" applyAlignment="1" applyProtection="1">
      <alignment horizontal="left" wrapText="1"/>
    </xf>
    <xf numFmtId="164" fontId="53" fillId="7" borderId="0" xfId="0" applyNumberFormat="1" applyFont="1" applyFill="1" applyBorder="1" applyAlignment="1" applyProtection="1">
      <alignment horizontal="right" wrapText="1"/>
    </xf>
    <xf numFmtId="0" fontId="60" fillId="2" borderId="0"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center" vertical="center" wrapText="1"/>
    </xf>
    <xf numFmtId="166" fontId="60" fillId="2" borderId="0" xfId="0" applyNumberFormat="1" applyFont="1" applyFill="1" applyBorder="1" applyAlignment="1" applyProtection="1"/>
    <xf numFmtId="166" fontId="60" fillId="5" borderId="0" xfId="0" applyNumberFormat="1" applyFont="1" applyFill="1" applyBorder="1" applyAlignment="1" applyProtection="1">
      <alignment horizontal="right"/>
    </xf>
    <xf numFmtId="0" fontId="59" fillId="9" borderId="0" xfId="0" applyNumberFormat="1" applyFont="1" applyFill="1" applyBorder="1" applyAlignment="1" applyProtection="1">
      <alignment wrapText="1"/>
    </xf>
    <xf numFmtId="1" fontId="57" fillId="7" borderId="0" xfId="0" applyNumberFormat="1" applyFont="1" applyFill="1" applyBorder="1" applyAlignment="1" applyProtection="1">
      <alignment horizontal="right" wrapText="1"/>
    </xf>
    <xf numFmtId="0" fontId="44" fillId="17" borderId="0" xfId="0" applyNumberFormat="1" applyFont="1" applyFill="1" applyBorder="1" applyAlignment="1" applyProtection="1">
      <alignment horizontal="center"/>
    </xf>
    <xf numFmtId="166" fontId="53" fillId="17" borderId="0" xfId="0" applyNumberFormat="1" applyFont="1" applyFill="1" applyBorder="1" applyAlignment="1" applyProtection="1">
      <alignment horizontal="right"/>
    </xf>
    <xf numFmtId="166" fontId="62" fillId="0" borderId="0" xfId="0" applyNumberFormat="1" applyFont="1" applyBorder="1" applyAlignment="1" applyProtection="1"/>
    <xf numFmtId="166" fontId="60" fillId="20" borderId="0" xfId="0" applyNumberFormat="1" applyFont="1" applyFill="1" applyBorder="1" applyAlignment="1" applyProtection="1">
      <alignment horizontal="right"/>
    </xf>
    <xf numFmtId="0" fontId="63" fillId="17" borderId="0" xfId="0" applyNumberFormat="1" applyFont="1" applyFill="1" applyBorder="1" applyAlignment="1" applyProtection="1">
      <alignment horizontal="center"/>
    </xf>
    <xf numFmtId="1" fontId="24" fillId="28" borderId="0" xfId="4" applyNumberFormat="1" applyFont="1" applyFill="1" applyBorder="1" applyAlignment="1">
      <alignment horizontal="left"/>
    </xf>
    <xf numFmtId="164" fontId="0" fillId="0" borderId="0" xfId="0" applyAlignment="1">
      <alignment horizontal="left" vertical="top" wrapText="1"/>
    </xf>
    <xf numFmtId="164" fontId="37" fillId="0" borderId="0" xfId="0" applyFont="1" applyFill="1" applyBorder="1"/>
    <xf numFmtId="164" fontId="34" fillId="7" borderId="0" xfId="0" applyFont="1" applyFill="1"/>
    <xf numFmtId="0" fontId="46" fillId="0" borderId="0" xfId="0" applyNumberFormat="1" applyFont="1" applyFill="1" applyBorder="1" applyAlignment="1" applyProtection="1">
      <alignment horizontal="left" wrapText="1"/>
    </xf>
    <xf numFmtId="168" fontId="46" fillId="0" borderId="0" xfId="0" applyNumberFormat="1" applyFont="1" applyFill="1" applyBorder="1" applyAlignment="1" applyProtection="1">
      <alignment horizontal="right" wrapText="1"/>
    </xf>
    <xf numFmtId="164" fontId="50" fillId="0" borderId="0" xfId="0" applyFont="1" applyBorder="1" applyAlignment="1"/>
    <xf numFmtId="164" fontId="50" fillId="0" borderId="0" xfId="0" applyFont="1" applyBorder="1" applyAlignment="1">
      <alignment horizontal="right"/>
    </xf>
    <xf numFmtId="164" fontId="68" fillId="0" borderId="0" xfId="0" applyFont="1" applyFill="1" applyBorder="1" applyAlignment="1" applyProtection="1">
      <alignment horizontal="right"/>
    </xf>
    <xf numFmtId="164" fontId="69" fillId="0" borderId="0" xfId="0" applyFont="1" applyFill="1" applyBorder="1" applyAlignment="1" applyProtection="1">
      <alignment horizontal="right"/>
    </xf>
    <xf numFmtId="164" fontId="69" fillId="0" borderId="0" xfId="0" applyFont="1" applyFill="1" applyBorder="1" applyAlignment="1" applyProtection="1"/>
    <xf numFmtId="164" fontId="50" fillId="0" borderId="0" xfId="0" applyFont="1" applyFill="1" applyBorder="1" applyAlignment="1" applyProtection="1"/>
    <xf numFmtId="0" fontId="46" fillId="0" borderId="0" xfId="0" applyNumberFormat="1" applyFont="1" applyFill="1" applyBorder="1" applyAlignment="1" applyProtection="1">
      <alignment horizontal="center" vertical="center" wrapText="1"/>
    </xf>
    <xf numFmtId="0" fontId="70" fillId="2" borderId="0" xfId="0" applyNumberFormat="1" applyFont="1" applyFill="1" applyBorder="1" applyProtection="1"/>
    <xf numFmtId="168" fontId="51" fillId="7" borderId="0" xfId="0" applyNumberFormat="1" applyFont="1" applyFill="1" applyBorder="1" applyAlignment="1" applyProtection="1">
      <alignment horizontal="right" wrapText="1"/>
    </xf>
    <xf numFmtId="164" fontId="50" fillId="0" borderId="0" xfId="0" applyFont="1" applyFill="1" applyBorder="1" applyAlignment="1" applyProtection="1">
      <alignment horizontal="right"/>
    </xf>
    <xf numFmtId="1" fontId="51" fillId="7" borderId="0" xfId="0" applyNumberFormat="1" applyFont="1" applyFill="1" applyBorder="1" applyAlignment="1" applyProtection="1">
      <alignment horizontal="right" wrapText="1"/>
    </xf>
    <xf numFmtId="164" fontId="43" fillId="13" borderId="0" xfId="4" applyFont="1" applyFill="1" applyBorder="1" applyAlignment="1" applyProtection="1">
      <alignment horizontal="center" vertical="center" wrapText="1"/>
    </xf>
    <xf numFmtId="168" fontId="65" fillId="7" borderId="0" xfId="0" applyNumberFormat="1" applyFont="1" applyFill="1" applyBorder="1" applyAlignment="1" applyProtection="1">
      <alignment horizontal="right" wrapText="1"/>
    </xf>
    <xf numFmtId="164" fontId="0" fillId="0" borderId="0" xfId="0" applyAlignment="1">
      <alignment horizontal="center"/>
    </xf>
    <xf numFmtId="164" fontId="5" fillId="0" borderId="0" xfId="0" applyFont="1"/>
    <xf numFmtId="1" fontId="12" fillId="12" borderId="0" xfId="0" applyNumberFormat="1" applyFont="1" applyFill="1" applyBorder="1" applyAlignment="1" applyProtection="1">
      <alignment horizontal="center" vertical="center"/>
    </xf>
    <xf numFmtId="164" fontId="35" fillId="2" borderId="0" xfId="0" applyFont="1" applyFill="1" applyBorder="1" applyAlignment="1">
      <alignment horizontal="center"/>
    </xf>
    <xf numFmtId="164" fontId="35"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4"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29" fillId="29"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38" fillId="2" borderId="11" xfId="0" applyFont="1" applyFill="1" applyBorder="1" applyAlignment="1">
      <alignment horizontal="center"/>
    </xf>
    <xf numFmtId="164" fontId="73" fillId="7" borderId="0" xfId="0" applyFont="1" applyFill="1" applyAlignment="1">
      <alignment vertical="center"/>
    </xf>
    <xf numFmtId="164" fontId="73" fillId="7" borderId="0" xfId="0" applyFont="1" applyFill="1" applyAlignment="1">
      <alignment horizontal="left" vertical="center" indent="1"/>
    </xf>
    <xf numFmtId="164" fontId="73" fillId="25" borderId="11" xfId="0" applyFont="1" applyFill="1" applyBorder="1" applyAlignment="1">
      <alignment horizontal="center"/>
    </xf>
    <xf numFmtId="164" fontId="41" fillId="9" borderId="0" xfId="0" applyFont="1" applyFill="1" applyBorder="1"/>
    <xf numFmtId="167" fontId="33" fillId="0" borderId="0" xfId="0" applyNumberFormat="1" applyFont="1"/>
    <xf numFmtId="167" fontId="12" fillId="13" borderId="0" xfId="4" applyNumberFormat="1" applyFont="1" applyFill="1" applyBorder="1" applyAlignment="1" applyProtection="1">
      <alignment horizontal="left" vertical="center"/>
    </xf>
    <xf numFmtId="1" fontId="43" fillId="13" borderId="0" xfId="4" applyNumberFormat="1" applyFont="1" applyFill="1" applyBorder="1" applyAlignment="1" applyProtection="1">
      <alignment horizontal="center" vertical="center" wrapText="1"/>
    </xf>
    <xf numFmtId="1" fontId="0" fillId="12" borderId="0" xfId="0" applyNumberFormat="1" applyFill="1" applyBorder="1" applyAlignment="1" applyProtection="1">
      <alignment horizontal="left"/>
    </xf>
    <xf numFmtId="1" fontId="12" fillId="13" borderId="0" xfId="4" applyNumberFormat="1" applyFont="1" applyFill="1" applyBorder="1" applyAlignment="1" applyProtection="1">
      <alignment horizontal="left" vertical="center"/>
    </xf>
    <xf numFmtId="1" fontId="9" fillId="30" borderId="0" xfId="4" applyNumberFormat="1" applyFont="1" applyFill="1" applyBorder="1" applyAlignment="1" applyProtection="1">
      <alignment horizontal="center" vertical="center" wrapText="1"/>
    </xf>
    <xf numFmtId="164" fontId="72" fillId="9" borderId="0" xfId="0" applyFont="1" applyFill="1" applyAlignment="1">
      <alignment horizontal="center" vertical="center"/>
    </xf>
    <xf numFmtId="164" fontId="72" fillId="12" borderId="0" xfId="0" applyFont="1" applyFill="1" applyAlignment="1">
      <alignment horizontal="center" vertical="center"/>
    </xf>
    <xf numFmtId="164" fontId="32" fillId="2" borderId="0" xfId="0" applyFont="1" applyFill="1" applyBorder="1" applyProtection="1"/>
    <xf numFmtId="169" fontId="28"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vertical="top" wrapText="1"/>
    </xf>
    <xf numFmtId="164" fontId="0" fillId="7" borderId="17" xfId="0" applyFill="1" applyBorder="1" applyProtection="1"/>
    <xf numFmtId="169" fontId="13"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horizontal="left" vertical="top" wrapText="1"/>
    </xf>
    <xf numFmtId="169" fontId="11" fillId="0" borderId="17" xfId="0" applyNumberFormat="1" applyFont="1" applyFill="1" applyBorder="1" applyAlignment="1" applyProtection="1">
      <alignment horizontal="left" vertical="top" wrapText="1" indent="2"/>
    </xf>
    <xf numFmtId="164" fontId="0" fillId="0" borderId="17" xfId="0"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8" fillId="2" borderId="0" xfId="0" applyFont="1" applyFill="1" applyBorder="1" applyAlignment="1" applyProtection="1">
      <alignment horizontal="left" indent="1"/>
    </xf>
    <xf numFmtId="164" fontId="9" fillId="2" borderId="9" xfId="0" applyFont="1" applyFill="1" applyBorder="1" applyAlignment="1" applyProtection="1">
      <alignment horizontal="left"/>
    </xf>
    <xf numFmtId="164" fontId="9" fillId="2" borderId="9" xfId="0" applyFont="1" applyFill="1" applyBorder="1" applyAlignment="1" applyProtection="1">
      <alignment horizontal="right"/>
    </xf>
    <xf numFmtId="164" fontId="7" fillId="2" borderId="9" xfId="0" applyFont="1" applyFill="1" applyBorder="1" applyAlignment="1" applyProtection="1">
      <alignment horizontal="right"/>
    </xf>
    <xf numFmtId="167" fontId="9" fillId="2" borderId="9" xfId="0" applyNumberFormat="1" applyFont="1" applyFill="1" applyBorder="1" applyAlignment="1" applyProtection="1">
      <alignment horizontal="center" wrapText="1"/>
    </xf>
    <xf numFmtId="0" fontId="15" fillId="2" borderId="0" xfId="1" applyFont="1" applyFill="1" applyBorder="1" applyAlignment="1" applyProtection="1"/>
    <xf numFmtId="164" fontId="32" fillId="2" borderId="6" xfId="0" applyFont="1" applyFill="1" applyBorder="1" applyProtection="1"/>
    <xf numFmtId="167" fontId="15" fillId="2" borderId="0" xfId="1" applyNumberFormat="1" applyFont="1" applyFill="1" applyBorder="1" applyAlignment="1" applyProtection="1">
      <alignment horizontal="center" wrapText="1"/>
    </xf>
    <xf numFmtId="171" fontId="33" fillId="7" borderId="0" xfId="0" applyNumberFormat="1" applyFont="1" applyFill="1" applyBorder="1" applyAlignment="1" applyProtection="1">
      <alignment horizontal="center" vertical="top"/>
    </xf>
    <xf numFmtId="164" fontId="74" fillId="0" borderId="0" xfId="0" applyFont="1" applyAlignment="1"/>
    <xf numFmtId="166" fontId="12" fillId="31" borderId="0" xfId="4" applyNumberFormat="1" applyFont="1" applyFill="1" applyBorder="1" applyAlignment="1" applyProtection="1">
      <alignment horizontal="center" vertical="center"/>
    </xf>
    <xf numFmtId="164" fontId="12" fillId="8" borderId="0" xfId="0" applyFont="1" applyFill="1" applyAlignment="1">
      <alignment horizontal="center" vertical="center"/>
    </xf>
    <xf numFmtId="164" fontId="0" fillId="8" borderId="0" xfId="0" applyFill="1"/>
    <xf numFmtId="164" fontId="74" fillId="0" borderId="0" xfId="0" applyFont="1" applyBorder="1" applyAlignment="1"/>
    <xf numFmtId="164" fontId="0" fillId="7" borderId="19" xfId="0" applyFill="1" applyBorder="1" applyProtection="1"/>
    <xf numFmtId="164" fontId="0" fillId="7" borderId="16" xfId="0" applyFill="1" applyBorder="1" applyProtection="1"/>
    <xf numFmtId="169" fontId="11" fillId="0" borderId="19" xfId="0" applyNumberFormat="1" applyFont="1" applyFill="1" applyBorder="1" applyAlignment="1" applyProtection="1">
      <alignment vertical="top" wrapText="1"/>
    </xf>
    <xf numFmtId="164" fontId="0" fillId="7" borderId="20" xfId="0" applyFill="1" applyBorder="1" applyProtection="1"/>
    <xf numFmtId="169" fontId="28" fillId="0" borderId="15" xfId="0" applyNumberFormat="1" applyFont="1" applyFill="1" applyBorder="1" applyAlignment="1" applyProtection="1">
      <alignment vertical="top" wrapText="1"/>
    </xf>
    <xf numFmtId="169" fontId="28" fillId="0" borderId="16" xfId="0" applyNumberFormat="1" applyFont="1" applyFill="1" applyBorder="1" applyAlignment="1" applyProtection="1">
      <alignment vertical="top" wrapText="1"/>
    </xf>
    <xf numFmtId="169" fontId="11" fillId="0" borderId="16" xfId="0" applyNumberFormat="1" applyFont="1" applyFill="1" applyBorder="1" applyAlignment="1" applyProtection="1">
      <alignment vertical="top" wrapText="1"/>
    </xf>
    <xf numFmtId="169" fontId="11" fillId="0" borderId="15" xfId="0" applyNumberFormat="1" applyFont="1" applyFill="1" applyBorder="1" applyAlignment="1" applyProtection="1">
      <alignment vertical="top" wrapText="1"/>
    </xf>
    <xf numFmtId="169" fontId="28" fillId="0" borderId="19"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4" fontId="0" fillId="2" borderId="0" xfId="0" applyFill="1" applyAlignment="1">
      <alignment horizontal="left" indent="2"/>
    </xf>
    <xf numFmtId="164" fontId="8" fillId="2" borderId="9" xfId="0" applyFont="1" applyFill="1" applyBorder="1" applyAlignment="1" applyProtection="1">
      <alignment horizontal="center" vertical="center"/>
    </xf>
    <xf numFmtId="168" fontId="65" fillId="7" borderId="0" xfId="0" applyNumberFormat="1" applyFont="1" applyFill="1" applyBorder="1" applyAlignment="1" applyProtection="1">
      <alignment horizontal="right" vertical="center" wrapText="1"/>
    </xf>
    <xf numFmtId="164" fontId="49" fillId="9" borderId="0" xfId="0" applyFont="1" applyFill="1" applyBorder="1" applyAlignment="1" applyProtection="1">
      <alignment horizontal="center" vertical="center"/>
    </xf>
    <xf numFmtId="164" fontId="49" fillId="2" borderId="0" xfId="0"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46" fillId="0" borderId="0" xfId="0" applyFont="1" applyFill="1" applyBorder="1" applyAlignment="1" applyProtection="1">
      <alignment horizontal="center" vertical="center"/>
    </xf>
    <xf numFmtId="164" fontId="58" fillId="0" borderId="0" xfId="0" applyFont="1" applyFill="1" applyBorder="1" applyAlignment="1" applyProtection="1">
      <alignment horizontal="center" vertical="center"/>
    </xf>
    <xf numFmtId="164" fontId="60" fillId="0" borderId="0" xfId="0" applyFont="1" applyFill="1" applyBorder="1" applyAlignment="1" applyProtection="1">
      <alignment horizontal="center" vertical="center"/>
    </xf>
    <xf numFmtId="0" fontId="59" fillId="2" borderId="0" xfId="0" applyNumberFormat="1" applyFont="1" applyFill="1" applyBorder="1" applyAlignment="1" applyProtection="1">
      <alignment horizontal="center" vertical="center"/>
    </xf>
    <xf numFmtId="0" fontId="44" fillId="17" borderId="0" xfId="0" applyNumberFormat="1" applyFont="1" applyFill="1" applyBorder="1" applyAlignment="1" applyProtection="1">
      <alignment horizontal="left" vertical="center" wrapText="1"/>
    </xf>
    <xf numFmtId="164" fontId="53" fillId="7" borderId="0" xfId="0" applyNumberFormat="1" applyFont="1" applyFill="1" applyBorder="1" applyAlignment="1" applyProtection="1">
      <alignment horizontal="left" vertical="center" wrapText="1"/>
    </xf>
    <xf numFmtId="164" fontId="0" fillId="0" borderId="0" xfId="0" applyAlignment="1">
      <alignment horizontal="center" vertical="center"/>
    </xf>
    <xf numFmtId="164" fontId="0" fillId="0" borderId="0" xfId="0" applyAlignment="1">
      <alignment vertical="center"/>
    </xf>
    <xf numFmtId="0" fontId="45" fillId="7" borderId="0" xfId="0" applyNumberFormat="1" applyFont="1" applyFill="1" applyBorder="1" applyAlignment="1" applyProtection="1">
      <alignment horizontal="left" vertical="center"/>
    </xf>
    <xf numFmtId="164" fontId="0" fillId="8" borderId="0" xfId="0" applyFill="1" applyAlignment="1">
      <alignment horizontal="center" vertical="center"/>
    </xf>
    <xf numFmtId="172" fontId="33" fillId="7" borderId="16" xfId="0" applyNumberFormat="1" applyFont="1" applyFill="1" applyBorder="1" applyAlignment="1" applyProtection="1">
      <alignment horizontal="center"/>
    </xf>
    <xf numFmtId="164" fontId="32" fillId="2" borderId="21" xfId="0" applyFont="1" applyFill="1" applyBorder="1" applyProtection="1"/>
    <xf numFmtId="164" fontId="32" fillId="2" borderId="22" xfId="0" applyFont="1" applyFill="1" applyBorder="1" applyProtection="1"/>
    <xf numFmtId="164" fontId="32" fillId="8" borderId="21" xfId="0" applyFont="1" applyFill="1" applyBorder="1" applyProtection="1"/>
    <xf numFmtId="166" fontId="53" fillId="7" borderId="0" xfId="0" applyNumberFormat="1" applyFont="1" applyFill="1" applyBorder="1" applyAlignment="1" applyProtection="1"/>
    <xf numFmtId="164" fontId="77" fillId="2" borderId="0" xfId="0" applyFont="1" applyFill="1"/>
    <xf numFmtId="164" fontId="0" fillId="2" borderId="24" xfId="0" applyFill="1" applyBorder="1" applyAlignment="1">
      <alignment horizontal="center" vertical="center" wrapText="1"/>
    </xf>
    <xf numFmtId="164" fontId="82" fillId="2" borderId="0" xfId="0" applyFont="1" applyFill="1"/>
    <xf numFmtId="164" fontId="0" fillId="2" borderId="0" xfId="0" applyFill="1" applyAlignment="1">
      <alignment horizontal="center" vertical="top" wrapText="1"/>
    </xf>
    <xf numFmtId="164" fontId="83" fillId="2" borderId="24" xfId="0" applyFont="1" applyFill="1" applyBorder="1" applyAlignment="1">
      <alignment horizontal="center" vertical="center" wrapText="1"/>
    </xf>
    <xf numFmtId="164" fontId="0" fillId="2" borderId="0" xfId="0" applyFont="1" applyFill="1" applyBorder="1" applyAlignment="1">
      <alignment horizontal="left" vertical="center" wrapText="1"/>
    </xf>
    <xf numFmtId="164" fontId="10" fillId="11" borderId="0" xfId="4" applyFont="1" applyFill="1" applyBorder="1" applyAlignment="1" applyProtection="1">
      <alignment horizontal="left" vertical="center"/>
    </xf>
    <xf numFmtId="0" fontId="46" fillId="2" borderId="0" xfId="0" applyNumberFormat="1" applyFont="1" applyFill="1" applyBorder="1" applyAlignment="1" applyProtection="1">
      <alignment horizontal="center" vertical="center" wrapText="1"/>
    </xf>
    <xf numFmtId="0" fontId="48" fillId="0" borderId="0" xfId="0" applyNumberFormat="1" applyFont="1" applyBorder="1" applyAlignment="1" applyProtection="1">
      <alignment horizontal="left" wrapText="1"/>
    </xf>
    <xf numFmtId="164" fontId="48" fillId="2" borderId="0" xfId="0" applyFont="1" applyFill="1" applyBorder="1" applyAlignment="1" applyProtection="1"/>
    <xf numFmtId="166" fontId="53" fillId="7" borderId="0" xfId="0" applyNumberFormat="1" applyFont="1" applyFill="1" applyBorder="1" applyAlignment="1" applyProtection="1">
      <protection locked="0"/>
    </xf>
    <xf numFmtId="0" fontId="46" fillId="2" borderId="3" xfId="0" applyNumberFormat="1" applyFont="1" applyFill="1" applyBorder="1" applyAlignment="1" applyProtection="1">
      <alignment horizontal="center" vertical="center" wrapText="1"/>
      <protection locked="0"/>
    </xf>
    <xf numFmtId="1" fontId="51" fillId="7" borderId="0"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protection locked="0"/>
    </xf>
    <xf numFmtId="0" fontId="85" fillId="0" borderId="0" xfId="0" applyNumberFormat="1" applyFont="1" applyFill="1" applyBorder="1" applyAlignment="1" applyProtection="1">
      <alignment horizontal="left" wrapText="1"/>
    </xf>
    <xf numFmtId="168" fontId="84" fillId="0" borderId="2"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protection locked="0"/>
    </xf>
    <xf numFmtId="164" fontId="86" fillId="0" borderId="0" xfId="0" applyFont="1"/>
    <xf numFmtId="164" fontId="86" fillId="0" borderId="0" xfId="0" applyFont="1" applyBorder="1"/>
    <xf numFmtId="164" fontId="86" fillId="0" borderId="0" xfId="0" applyFont="1" applyFill="1" applyBorder="1" applyAlignment="1" applyProtection="1">
      <alignment horizontal="right"/>
    </xf>
    <xf numFmtId="164" fontId="87" fillId="0" borderId="0" xfId="0" applyFont="1" applyFill="1" applyBorder="1" applyAlignment="1" applyProtection="1"/>
    <xf numFmtId="164" fontId="86" fillId="0" borderId="0" xfId="0" applyFont="1" applyFill="1" applyBorder="1" applyAlignment="1" applyProtection="1"/>
    <xf numFmtId="0" fontId="88" fillId="2" borderId="3" xfId="0" applyNumberFormat="1" applyFont="1" applyFill="1" applyBorder="1" applyAlignment="1" applyProtection="1">
      <alignment horizontal="center" vertical="center" wrapText="1"/>
      <protection locked="0"/>
    </xf>
    <xf numFmtId="0" fontId="88" fillId="0" borderId="0" xfId="0" applyNumberFormat="1" applyFont="1" applyFill="1" applyBorder="1" applyAlignment="1" applyProtection="1">
      <alignment horizontal="left" wrapText="1"/>
    </xf>
    <xf numFmtId="164" fontId="88" fillId="0" borderId="0" xfId="0" applyFont="1" applyFill="1" applyBorder="1" applyAlignment="1" applyProtection="1"/>
    <xf numFmtId="0" fontId="89" fillId="0" borderId="23"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center" vertical="center" wrapText="1"/>
    </xf>
    <xf numFmtId="0" fontId="88" fillId="0" borderId="29" xfId="0" applyNumberFormat="1" applyFont="1" applyFill="1" applyBorder="1" applyAlignment="1" applyProtection="1">
      <alignment horizontal="left" wrapText="1"/>
    </xf>
    <xf numFmtId="166" fontId="53" fillId="7" borderId="0" xfId="0" applyNumberFormat="1" applyFont="1" applyFill="1" applyBorder="1" applyAlignment="1" applyProtection="1">
      <alignment horizontal="right" vertical="center"/>
    </xf>
    <xf numFmtId="168" fontId="51" fillId="7" borderId="0" xfId="0" applyNumberFormat="1" applyFont="1" applyFill="1" applyBorder="1" applyAlignment="1" applyProtection="1">
      <alignment horizontal="right" vertical="center" wrapText="1"/>
    </xf>
    <xf numFmtId="0" fontId="85" fillId="0" borderId="0" xfId="0" applyNumberFormat="1" applyFont="1" applyBorder="1" applyAlignment="1" applyProtection="1">
      <alignment horizontal="left" wrapText="1"/>
    </xf>
    <xf numFmtId="0" fontId="88" fillId="2" borderId="2" xfId="0" applyNumberFormat="1" applyFont="1" applyFill="1" applyBorder="1" applyAlignment="1" applyProtection="1">
      <alignment horizontal="center" vertical="center" wrapText="1"/>
      <protection locked="0"/>
    </xf>
    <xf numFmtId="166" fontId="53" fillId="17" borderId="0" xfId="0" applyNumberFormat="1" applyFont="1" applyFill="1" applyBorder="1" applyAlignment="1" applyProtection="1">
      <alignment horizontal="right"/>
      <protection locked="0"/>
    </xf>
    <xf numFmtId="49" fontId="12" fillId="11" borderId="0" xfId="4" applyNumberFormat="1" applyFont="1" applyFill="1" applyBorder="1" applyAlignment="1" applyProtection="1">
      <alignment horizontal="left" vertical="top"/>
      <protection locked="0"/>
    </xf>
    <xf numFmtId="169" fontId="28" fillId="0" borderId="17" xfId="0" applyNumberFormat="1" applyFont="1" applyFill="1" applyBorder="1" applyAlignment="1" applyProtection="1">
      <alignment vertical="center" wrapText="1"/>
    </xf>
    <xf numFmtId="169" fontId="28" fillId="0" borderId="7" xfId="0" applyNumberFormat="1" applyFont="1" applyFill="1" applyBorder="1" applyAlignment="1" applyProtection="1">
      <alignment vertical="center" wrapText="1"/>
    </xf>
    <xf numFmtId="164" fontId="0" fillId="12" borderId="0" xfId="0" applyFill="1" applyAlignment="1">
      <alignment vertical="center"/>
    </xf>
    <xf numFmtId="164" fontId="33" fillId="12" borderId="0" xfId="0" applyFont="1" applyFill="1" applyBorder="1"/>
    <xf numFmtId="0" fontId="91" fillId="2" borderId="0" xfId="0" applyNumberFormat="1" applyFont="1" applyFill="1" applyBorder="1" applyAlignment="1" applyProtection="1">
      <alignment horizontal="left" vertical="center" wrapText="1" indent="1"/>
    </xf>
    <xf numFmtId="164" fontId="91" fillId="2"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left" vertical="top" wrapText="1"/>
    </xf>
    <xf numFmtId="164" fontId="91" fillId="0" borderId="0" xfId="0" applyNumberFormat="1" applyFont="1" applyBorder="1" applyAlignment="1" applyProtection="1">
      <alignment horizontal="left" vertical="center" wrapText="1" indent="3"/>
    </xf>
    <xf numFmtId="164"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xf>
    <xf numFmtId="0" fontId="92" fillId="0" borderId="0" xfId="0" applyNumberFormat="1" applyFont="1" applyBorder="1" applyAlignment="1" applyProtection="1">
      <alignment horizontal="left" vertical="center" wrapText="1"/>
    </xf>
    <xf numFmtId="164" fontId="93" fillId="8" borderId="27" xfId="0" applyFont="1" applyFill="1" applyBorder="1" applyProtection="1">
      <protection locked="0"/>
    </xf>
    <xf numFmtId="164" fontId="47" fillId="2" borderId="0" xfId="0" applyFont="1" applyFill="1"/>
    <xf numFmtId="164" fontId="55" fillId="2" borderId="0" xfId="0" applyFont="1" applyFill="1" applyAlignment="1">
      <alignment horizontal="center" vertical="center"/>
    </xf>
    <xf numFmtId="167" fontId="96" fillId="11" borderId="0" xfId="4" applyNumberFormat="1" applyFont="1" applyFill="1" applyBorder="1" applyAlignment="1" applyProtection="1">
      <alignment horizontal="left" vertical="center"/>
    </xf>
    <xf numFmtId="164" fontId="96" fillId="11" borderId="0" xfId="4" applyFont="1" applyFill="1" applyBorder="1" applyAlignment="1" applyProtection="1">
      <alignment horizontal="left" vertical="center"/>
    </xf>
    <xf numFmtId="164" fontId="97" fillId="11" borderId="0" xfId="4" applyFont="1" applyFill="1" applyBorder="1" applyAlignment="1" applyProtection="1">
      <alignment horizontal="left" vertical="center"/>
    </xf>
    <xf numFmtId="0" fontId="95" fillId="9" borderId="0" xfId="0" applyNumberFormat="1" applyFont="1" applyFill="1" applyBorder="1" applyAlignment="1" applyProtection="1">
      <alignment horizontal="left" vertical="center"/>
    </xf>
    <xf numFmtId="0" fontId="91" fillId="0" borderId="0" xfId="0" applyNumberFormat="1" applyFont="1" applyBorder="1" applyAlignment="1" applyProtection="1">
      <alignment horizontal="left" vertical="center" wrapText="1"/>
    </xf>
    <xf numFmtId="167" fontId="96" fillId="13" borderId="0" xfId="4"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xf>
    <xf numFmtId="164" fontId="98" fillId="0" borderId="0" xfId="0" applyNumberFormat="1" applyFont="1" applyBorder="1" applyAlignment="1" applyProtection="1">
      <alignment horizontal="center" vertical="center" wrapText="1"/>
    </xf>
    <xf numFmtId="164" fontId="0" fillId="2" borderId="32" xfId="0" applyFill="1" applyBorder="1" applyAlignment="1">
      <alignment horizontal="center" vertical="center" wrapText="1"/>
    </xf>
    <xf numFmtId="164" fontId="0" fillId="2" borderId="34" xfId="0" applyFill="1" applyBorder="1" applyAlignment="1">
      <alignment horizontal="center" vertical="center" wrapText="1"/>
    </xf>
    <xf numFmtId="164" fontId="79" fillId="34" borderId="31" xfId="0" applyFont="1" applyFill="1" applyBorder="1" applyAlignment="1">
      <alignment horizontal="center" wrapText="1"/>
    </xf>
    <xf numFmtId="0" fontId="74" fillId="2" borderId="24" xfId="1" applyFont="1" applyFill="1" applyBorder="1" applyAlignment="1" applyProtection="1">
      <alignment horizontal="center" vertical="center" wrapText="1"/>
    </xf>
    <xf numFmtId="164" fontId="83" fillId="2" borderId="0" xfId="0" applyFont="1" applyFill="1" applyBorder="1" applyAlignment="1">
      <alignment vertical="top" wrapText="1"/>
    </xf>
    <xf numFmtId="164" fontId="78" fillId="2" borderId="0" xfId="0" applyFont="1" applyFill="1" applyAlignment="1">
      <alignment horizontal="center" vertical="top"/>
    </xf>
    <xf numFmtId="164" fontId="0" fillId="2" borderId="0" xfId="0" applyFont="1" applyFill="1" applyAlignment="1">
      <alignment horizontal="center" vertical="top" wrapText="1"/>
    </xf>
    <xf numFmtId="164" fontId="80" fillId="2" borderId="0" xfId="0" applyFont="1" applyFill="1" applyAlignment="1">
      <alignment horizontal="center"/>
    </xf>
    <xf numFmtId="164" fontId="0" fillId="2" borderId="0" xfId="0" applyFont="1" applyFill="1" applyAlignment="1">
      <alignment horizontal="center" vertical="center"/>
    </xf>
    <xf numFmtId="164" fontId="0" fillId="2" borderId="0" xfId="0" applyFont="1" applyFill="1"/>
    <xf numFmtId="164" fontId="80" fillId="2" borderId="0" xfId="0" applyFont="1" applyFill="1" applyAlignment="1">
      <alignment horizontal="center" vertical="center"/>
    </xf>
    <xf numFmtId="164" fontId="0" fillId="2" borderId="0" xfId="0" applyFont="1" applyFill="1" applyBorder="1" applyAlignment="1">
      <alignment horizontal="center" vertical="center"/>
    </xf>
    <xf numFmtId="164" fontId="0" fillId="2" borderId="0" xfId="0" applyFill="1" applyAlignment="1">
      <alignment horizontal="center" vertical="center"/>
    </xf>
    <xf numFmtId="164" fontId="101" fillId="2" borderId="0" xfId="0" applyFont="1" applyFill="1" applyAlignment="1">
      <alignment horizontal="center" vertical="center" wrapText="1"/>
    </xf>
    <xf numFmtId="164" fontId="101" fillId="2" borderId="0" xfId="0" applyFont="1" applyFill="1" applyAlignment="1">
      <alignment horizontal="center" vertical="center"/>
    </xf>
    <xf numFmtId="164" fontId="103" fillId="2" borderId="0" xfId="0" applyFont="1" applyFill="1"/>
    <xf numFmtId="164" fontId="104" fillId="2" borderId="0" xfId="0" applyFont="1" applyFill="1" applyAlignment="1">
      <alignment horizontal="center" vertical="top"/>
    </xf>
    <xf numFmtId="164" fontId="104" fillId="2" borderId="0" xfId="0" applyFont="1" applyFill="1"/>
    <xf numFmtId="164" fontId="104" fillId="0" borderId="0" xfId="0" applyFont="1" applyAlignment="1">
      <alignment horizontal="center" vertical="top"/>
    </xf>
    <xf numFmtId="164" fontId="104" fillId="0" borderId="0" xfId="0" applyFont="1" applyAlignment="1">
      <alignment horizontal="center" vertical="top" wrapText="1"/>
    </xf>
    <xf numFmtId="164" fontId="104" fillId="2" borderId="0" xfId="0" applyFont="1" applyFill="1" applyAlignment="1">
      <alignment horizontal="center" vertical="top" wrapText="1"/>
    </xf>
    <xf numFmtId="164" fontId="105" fillId="2" borderId="0" xfId="0" applyFont="1" applyFill="1"/>
    <xf numFmtId="164" fontId="0" fillId="2" borderId="0" xfId="0" applyFill="1" applyBorder="1" applyAlignment="1">
      <alignment horizontal="left" vertical="center" indent="5"/>
    </xf>
    <xf numFmtId="164" fontId="0" fillId="0" borderId="0" xfId="0" applyAlignment="1">
      <alignment horizontal="left" vertical="center" indent="5"/>
    </xf>
    <xf numFmtId="164" fontId="48" fillId="0" borderId="0" xfId="0" applyFont="1" applyFill="1" applyBorder="1" applyAlignment="1" applyProtection="1">
      <alignment horizontal="left" vertical="center" indent="5"/>
    </xf>
    <xf numFmtId="164" fontId="32" fillId="2" borderId="21" xfId="0" applyFont="1" applyFill="1" applyBorder="1" applyAlignment="1" applyProtection="1">
      <alignment horizontal="left" vertical="center" indent="5"/>
    </xf>
    <xf numFmtId="169" fontId="28" fillId="0" borderId="17" xfId="0" applyNumberFormat="1" applyFont="1" applyFill="1" applyBorder="1" applyAlignment="1" applyProtection="1">
      <alignment horizontal="left" vertical="center" wrapText="1" indent="5"/>
    </xf>
    <xf numFmtId="169" fontId="28" fillId="0" borderId="7" xfId="0" applyNumberFormat="1" applyFont="1" applyFill="1" applyBorder="1" applyAlignment="1" applyProtection="1">
      <alignment horizontal="left" vertical="center" wrapText="1" indent="5"/>
    </xf>
    <xf numFmtId="166" fontId="12" fillId="13" borderId="0" xfId="4" applyNumberFormat="1" applyFont="1" applyFill="1" applyBorder="1" applyAlignment="1" applyProtection="1">
      <alignment horizontal="left" vertical="center" indent="5"/>
    </xf>
    <xf numFmtId="164" fontId="35" fillId="12" borderId="0" xfId="0" applyFont="1" applyFill="1" applyBorder="1" applyAlignment="1" applyProtection="1">
      <alignment horizontal="left" vertical="center" indent="5"/>
    </xf>
    <xf numFmtId="164" fontId="0" fillId="12" borderId="0" xfId="0" applyFill="1" applyBorder="1" applyAlignment="1">
      <alignment horizontal="left" vertical="center" indent="5"/>
    </xf>
    <xf numFmtId="164" fontId="12" fillId="13" borderId="0" xfId="4" applyFont="1" applyFill="1" applyBorder="1" applyAlignment="1" applyProtection="1">
      <alignment horizontal="left" vertical="center" indent="5"/>
    </xf>
    <xf numFmtId="166" fontId="98" fillId="2" borderId="12" xfId="0" applyNumberFormat="1" applyFont="1" applyFill="1" applyBorder="1" applyAlignment="1" applyProtection="1">
      <alignment horizontal="right" vertical="center" wrapText="1"/>
      <protection locked="0"/>
    </xf>
    <xf numFmtId="166" fontId="91" fillId="2" borderId="2" xfId="0" applyNumberFormat="1" applyFont="1" applyFill="1" applyBorder="1" applyAlignment="1" applyProtection="1">
      <alignment horizontal="right" vertical="center" wrapText="1"/>
      <protection locked="0"/>
    </xf>
    <xf numFmtId="166" fontId="98" fillId="2" borderId="2" xfId="0" applyNumberFormat="1" applyFont="1" applyFill="1" applyBorder="1" applyAlignment="1" applyProtection="1">
      <alignment horizontal="right" vertical="center" wrapText="1"/>
      <protection locked="0"/>
    </xf>
    <xf numFmtId="168" fontId="91" fillId="0" borderId="2" xfId="0" applyNumberFormat="1" applyFont="1" applyFill="1" applyBorder="1" applyAlignment="1" applyProtection="1">
      <alignment horizontal="right" wrapText="1"/>
    </xf>
    <xf numFmtId="166" fontId="91" fillId="5" borderId="2" xfId="0" applyNumberFormat="1" applyFont="1" applyFill="1" applyBorder="1" applyAlignment="1" applyProtection="1">
      <alignment horizontal="right"/>
      <protection locked="0"/>
    </xf>
    <xf numFmtId="168" fontId="91" fillId="0" borderId="0" xfId="0" applyNumberFormat="1" applyFont="1" applyFill="1" applyBorder="1" applyAlignment="1" applyProtection="1">
      <alignment horizontal="right" wrapText="1"/>
    </xf>
    <xf numFmtId="170" fontId="106" fillId="0" borderId="0" xfId="0" applyNumberFormat="1" applyFont="1" applyFill="1" applyBorder="1" applyAlignment="1" applyProtection="1">
      <alignment horizontal="right" wrapText="1"/>
    </xf>
    <xf numFmtId="164" fontId="107" fillId="0" borderId="0" xfId="0" applyFont="1" applyFill="1" applyBorder="1" applyAlignment="1" applyProtection="1"/>
    <xf numFmtId="166" fontId="91" fillId="5" borderId="13" xfId="0" applyNumberFormat="1" applyFont="1" applyFill="1" applyBorder="1" applyAlignment="1" applyProtection="1">
      <alignment horizontal="right"/>
      <protection locked="0"/>
    </xf>
    <xf numFmtId="168" fontId="106" fillId="0" borderId="0" xfId="0" applyNumberFormat="1" applyFont="1" applyFill="1" applyBorder="1" applyAlignment="1" applyProtection="1">
      <alignment horizontal="right" wrapText="1"/>
    </xf>
    <xf numFmtId="170" fontId="91" fillId="0" borderId="2" xfId="0" applyNumberFormat="1" applyFont="1" applyFill="1" applyBorder="1" applyAlignment="1" applyProtection="1">
      <alignment horizontal="right" wrapText="1"/>
    </xf>
    <xf numFmtId="164" fontId="107" fillId="0" borderId="0" xfId="0" applyFont="1" applyFill="1" applyBorder="1" applyAlignment="1" applyProtection="1">
      <alignment horizontal="right"/>
    </xf>
    <xf numFmtId="166" fontId="91" fillId="5" borderId="2" xfId="0" applyNumberFormat="1" applyFont="1" applyFill="1" applyBorder="1" applyAlignment="1" applyProtection="1">
      <alignment horizontal="right"/>
    </xf>
    <xf numFmtId="170" fontId="106" fillId="0" borderId="30" xfId="0" applyNumberFormat="1" applyFont="1" applyFill="1" applyBorder="1" applyAlignment="1" applyProtection="1">
      <alignment horizontal="right" wrapText="1"/>
    </xf>
    <xf numFmtId="164" fontId="107" fillId="0" borderId="30" xfId="0" applyFont="1" applyFill="1" applyBorder="1" applyAlignment="1" applyProtection="1"/>
    <xf numFmtId="164" fontId="107" fillId="0" borderId="4" xfId="0" applyFont="1" applyFill="1" applyBorder="1" applyAlignment="1" applyProtection="1"/>
    <xf numFmtId="166" fontId="91" fillId="0" borderId="2" xfId="0" applyNumberFormat="1" applyFont="1" applyFill="1" applyBorder="1" applyAlignment="1" applyProtection="1">
      <alignment horizontal="right"/>
      <protection locked="0"/>
    </xf>
    <xf numFmtId="164" fontId="91" fillId="2" borderId="0" xfId="0" applyNumberFormat="1" applyFont="1" applyFill="1" applyBorder="1" applyAlignment="1" applyProtection="1">
      <alignment vertical="center" wrapText="1"/>
    </xf>
    <xf numFmtId="0" fontId="91" fillId="2" borderId="0"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wrapText="1"/>
      <protection locked="0"/>
    </xf>
    <xf numFmtId="164" fontId="91" fillId="2" borderId="0" xfId="0"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4" fontId="91" fillId="2"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wrapText="1"/>
    </xf>
    <xf numFmtId="164" fontId="91" fillId="2" borderId="0" xfId="0" applyNumberFormat="1" applyFont="1" applyFill="1" applyBorder="1" applyAlignment="1" applyProtection="1">
      <alignment horizontal="left" vertical="center" wrapText="1" indent="1"/>
    </xf>
    <xf numFmtId="0" fontId="91" fillId="2" borderId="0" xfId="0" applyNumberFormat="1" applyFont="1" applyFill="1" applyBorder="1" applyAlignment="1" applyProtection="1">
      <alignment horizontal="left" wrapText="1"/>
      <protection locked="0"/>
    </xf>
    <xf numFmtId="0" fontId="91" fillId="2" borderId="0" xfId="0" quotePrefix="1" applyNumberFormat="1" applyFont="1" applyFill="1" applyBorder="1" applyAlignment="1" applyProtection="1">
      <alignment horizontal="left" wrapText="1" indent="2"/>
    </xf>
    <xf numFmtId="0" fontId="110" fillId="0" borderId="0" xfId="0" applyNumberFormat="1" applyFont="1" applyFill="1" applyBorder="1" applyAlignment="1" applyProtection="1">
      <alignment horizontal="center" vertical="center" wrapText="1"/>
    </xf>
    <xf numFmtId="0" fontId="91" fillId="2" borderId="0" xfId="0" quotePrefix="1" applyNumberFormat="1" applyFont="1" applyFill="1" applyBorder="1" applyAlignment="1" applyProtection="1">
      <alignment horizontal="left" vertical="top" wrapText="1" indent="2"/>
    </xf>
    <xf numFmtId="0" fontId="91" fillId="2" borderId="0" xfId="0" applyNumberFormat="1" applyFont="1" applyFill="1" applyBorder="1" applyAlignment="1" applyProtection="1">
      <alignment horizontal="left" vertical="top" wrapText="1" indent="4"/>
    </xf>
    <xf numFmtId="0" fontId="110" fillId="0" borderId="0" xfId="0" applyNumberFormat="1" applyFont="1" applyFill="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2"/>
    </xf>
    <xf numFmtId="164" fontId="91" fillId="0"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right" vertical="center" wrapText="1"/>
    </xf>
    <xf numFmtId="0" fontId="91" fillId="2" borderId="0" xfId="0" applyNumberFormat="1" applyFont="1" applyFill="1" applyBorder="1" applyAlignment="1" applyProtection="1">
      <alignment horizontal="right" vertical="center" wrapText="1"/>
    </xf>
    <xf numFmtId="164" fontId="107" fillId="0" borderId="0" xfId="0" applyFont="1"/>
    <xf numFmtId="164" fontId="107" fillId="0" borderId="0" xfId="0" applyFont="1" applyBorder="1"/>
    <xf numFmtId="0" fontId="91" fillId="0" borderId="0" xfId="0" applyNumberFormat="1" applyFont="1" applyBorder="1" applyAlignment="1" applyProtection="1">
      <alignment horizontal="left" wrapText="1"/>
      <protection locked="0"/>
    </xf>
    <xf numFmtId="0" fontId="98" fillId="0" borderId="23" xfId="0" applyNumberFormat="1" applyFont="1" applyFill="1" applyBorder="1" applyAlignment="1" applyProtection="1">
      <alignment horizontal="center" vertical="center" wrapText="1"/>
    </xf>
    <xf numFmtId="0" fontId="112" fillId="0" borderId="2"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wrapText="1"/>
    </xf>
    <xf numFmtId="0" fontId="91" fillId="2" borderId="2" xfId="0" applyNumberFormat="1" applyFont="1" applyFill="1" applyBorder="1" applyAlignment="1" applyProtection="1">
      <alignment horizontal="center" vertical="center" wrapText="1"/>
      <protection locked="0"/>
    </xf>
    <xf numFmtId="164" fontId="107" fillId="0" borderId="2" xfId="0" applyFont="1" applyBorder="1"/>
    <xf numFmtId="0" fontId="109" fillId="2" borderId="2" xfId="1" applyFont="1" applyFill="1" applyBorder="1" applyAlignment="1" applyProtection="1">
      <alignment horizontal="center" vertical="center"/>
      <protection locked="0"/>
    </xf>
    <xf numFmtId="167" fontId="91" fillId="2" borderId="2" xfId="1" applyNumberFormat="1" applyFont="1" applyFill="1" applyBorder="1" applyAlignment="1" applyProtection="1">
      <alignment horizontal="center" vertical="center" wrapText="1"/>
      <protection locked="0"/>
    </xf>
    <xf numFmtId="167" fontId="91" fillId="2" borderId="0" xfId="1" applyNumberFormat="1" applyFont="1" applyFill="1" applyBorder="1" applyAlignment="1" applyProtection="1">
      <alignment horizontal="left" vertical="center" wrapText="1"/>
    </xf>
    <xf numFmtId="164" fontId="107" fillId="0" borderId="0" xfId="0" applyFont="1" applyBorder="1" applyAlignment="1">
      <alignment horizontal="center" vertical="center"/>
    </xf>
    <xf numFmtId="164" fontId="107" fillId="0" borderId="0" xfId="0" applyFont="1" applyBorder="1" applyAlignment="1"/>
    <xf numFmtId="164" fontId="107" fillId="0" borderId="0" xfId="0" applyFont="1" applyFill="1" applyBorder="1" applyAlignment="1">
      <alignment horizontal="right"/>
    </xf>
    <xf numFmtId="164" fontId="107" fillId="0" borderId="0" xfId="0" applyFont="1" applyFill="1" applyBorder="1" applyAlignment="1"/>
    <xf numFmtId="167" fontId="91" fillId="0" borderId="0" xfId="0" applyNumberFormat="1" applyFont="1" applyBorder="1" applyAlignment="1" applyProtection="1">
      <alignment horizontal="left" vertical="center" wrapText="1"/>
    </xf>
    <xf numFmtId="0" fontId="91" fillId="0" borderId="0" xfId="1" applyNumberFormat="1" applyFont="1" applyFill="1" applyBorder="1" applyAlignment="1" applyProtection="1">
      <alignment horizontal="center" vertical="center" wrapText="1"/>
    </xf>
    <xf numFmtId="166" fontId="91" fillId="0" borderId="0" xfId="0" applyNumberFormat="1" applyFont="1" applyFill="1" applyBorder="1" applyAlignment="1" applyProtection="1"/>
    <xf numFmtId="166" fontId="91" fillId="0" borderId="0" xfId="0" applyNumberFormat="1" applyFont="1" applyFill="1" applyBorder="1" applyAlignment="1" applyProtection="1">
      <alignment horizontal="right"/>
    </xf>
    <xf numFmtId="164" fontId="107" fillId="0" borderId="0" xfId="0" applyFont="1" applyAlignment="1">
      <alignment horizontal="center" vertical="center"/>
    </xf>
    <xf numFmtId="164" fontId="115" fillId="0" borderId="0" xfId="0" applyFont="1" applyFill="1" applyBorder="1" applyAlignment="1" applyProtection="1">
      <alignment horizontal="right"/>
    </xf>
    <xf numFmtId="164" fontId="115" fillId="0" borderId="0" xfId="0" applyFont="1" applyFill="1" applyBorder="1" applyAlignment="1" applyProtection="1"/>
    <xf numFmtId="167" fontId="91" fillId="0" borderId="0" xfId="0" applyNumberFormat="1" applyFont="1" applyBorder="1" applyAlignment="1" applyProtection="1">
      <alignment horizontal="left" vertical="center" wrapText="1" indent="1"/>
    </xf>
    <xf numFmtId="0" fontId="91" fillId="0" borderId="2" xfId="0" applyNumberFormat="1" applyFont="1" applyFill="1" applyBorder="1" applyAlignment="1" applyProtection="1">
      <alignment horizontal="right" wrapText="1"/>
    </xf>
    <xf numFmtId="167" fontId="91" fillId="5" borderId="0" xfId="4" applyNumberFormat="1" applyFont="1" applyFill="1" applyBorder="1" applyAlignment="1" applyProtection="1">
      <alignment horizontal="left" vertical="center"/>
    </xf>
    <xf numFmtId="164" fontId="107" fillId="0" borderId="0" xfId="0" applyFont="1" applyAlignment="1">
      <alignment vertical="center"/>
    </xf>
    <xf numFmtId="166" fontId="91" fillId="2" borderId="2" xfId="0" applyNumberFormat="1" applyFont="1" applyFill="1" applyBorder="1" applyAlignment="1" applyProtection="1">
      <protection locked="0"/>
    </xf>
    <xf numFmtId="0" fontId="91" fillId="2" borderId="3"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vertical="center"/>
    </xf>
    <xf numFmtId="0" fontId="91" fillId="4" borderId="0" xfId="0" applyNumberFormat="1" applyFont="1" applyFill="1" applyBorder="1" applyAlignment="1" applyProtection="1">
      <alignment horizontal="center" vertical="center"/>
    </xf>
    <xf numFmtId="0" fontId="91" fillId="4" borderId="0" xfId="0" applyNumberFormat="1" applyFont="1" applyFill="1" applyBorder="1" applyAlignment="1" applyProtection="1"/>
    <xf numFmtId="1" fontId="91" fillId="4" borderId="0" xfId="0" applyNumberFormat="1" applyFont="1" applyFill="1" applyBorder="1" applyAlignment="1" applyProtection="1">
      <alignment horizontal="right"/>
    </xf>
    <xf numFmtId="166" fontId="91" fillId="5" borderId="0" xfId="0" applyNumberFormat="1" applyFont="1" applyFill="1" applyBorder="1" applyAlignment="1" applyProtection="1"/>
    <xf numFmtId="167" fontId="91" fillId="2" borderId="0" xfId="0" applyNumberFormat="1" applyFont="1" applyFill="1" applyBorder="1" applyAlignment="1" applyProtection="1">
      <alignment horizontal="left" vertical="center" wrapText="1" indent="1"/>
    </xf>
    <xf numFmtId="166" fontId="91" fillId="0" borderId="2" xfId="0" applyNumberFormat="1" applyFont="1" applyBorder="1" applyAlignment="1" applyProtection="1">
      <protection locked="0"/>
    </xf>
    <xf numFmtId="164" fontId="107" fillId="2" borderId="0" xfId="0" applyFont="1" applyFill="1" applyBorder="1" applyAlignment="1" applyProtection="1"/>
    <xf numFmtId="0" fontId="116" fillId="2" borderId="0" xfId="0" applyNumberFormat="1" applyFont="1" applyFill="1" applyBorder="1" applyAlignment="1" applyProtection="1">
      <alignment horizontal="center" vertical="center" wrapText="1"/>
    </xf>
    <xf numFmtId="164" fontId="107" fillId="0" borderId="0" xfId="0" applyFont="1" applyBorder="1" applyAlignment="1" applyProtection="1">
      <alignment horizontal="center" vertical="center"/>
    </xf>
    <xf numFmtId="164" fontId="107" fillId="0" borderId="0" xfId="0" applyFont="1" applyBorder="1" applyAlignment="1">
      <alignment horizontal="right"/>
    </xf>
    <xf numFmtId="164" fontId="91" fillId="0" borderId="0" xfId="0" applyNumberFormat="1" applyFont="1" applyFill="1" applyBorder="1" applyAlignment="1" applyProtection="1">
      <alignment horizontal="left" vertical="center" wrapText="1" indent="1"/>
    </xf>
    <xf numFmtId="164" fontId="91" fillId="0"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left" wrapText="1" indent="1"/>
    </xf>
    <xf numFmtId="0" fontId="98" fillId="2" borderId="0" xfId="0" applyNumberFormat="1" applyFont="1" applyFill="1" applyBorder="1" applyAlignment="1" applyProtection="1">
      <alignment horizontal="right" vertical="center" wrapText="1"/>
    </xf>
    <xf numFmtId="0" fontId="117" fillId="2" borderId="2" xfId="1" applyNumberFormat="1" applyFont="1" applyFill="1" applyBorder="1" applyAlignment="1" applyProtection="1">
      <alignment horizontal="center" vertical="center" wrapText="1"/>
    </xf>
    <xf numFmtId="0" fontId="91" fillId="0" borderId="14" xfId="0" applyNumberFormat="1" applyFont="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xf>
    <xf numFmtId="164" fontId="107" fillId="0" borderId="0" xfId="0" applyFont="1" applyBorder="1" applyAlignment="1" applyProtection="1"/>
    <xf numFmtId="0" fontId="91" fillId="0" borderId="0"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left" vertical="center" wrapText="1"/>
      <protection locked="0"/>
    </xf>
    <xf numFmtId="0" fontId="91" fillId="2" borderId="2" xfId="1" applyFont="1" applyFill="1" applyBorder="1" applyAlignment="1" applyProtection="1">
      <alignment horizontal="center" vertical="center"/>
    </xf>
    <xf numFmtId="166" fontId="91" fillId="2" borderId="2" xfId="0" applyNumberFormat="1" applyFont="1" applyFill="1" applyBorder="1" applyAlignment="1" applyProtection="1"/>
    <xf numFmtId="0" fontId="91" fillId="0" borderId="0" xfId="0" applyNumberFormat="1" applyFont="1" applyFill="1" applyBorder="1" applyAlignment="1" applyProtection="1">
      <alignment horizontal="left" wrapText="1"/>
      <protection locked="0"/>
    </xf>
    <xf numFmtId="0" fontId="98" fillId="0" borderId="0" xfId="0" applyNumberFormat="1" applyFont="1" applyBorder="1" applyAlignment="1" applyProtection="1">
      <alignment horizontal="right" vertical="center" wrapText="1"/>
    </xf>
    <xf numFmtId="164" fontId="91" fillId="0" borderId="0" xfId="0" quotePrefix="1"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wrapText="1"/>
    </xf>
    <xf numFmtId="166" fontId="91" fillId="0" borderId="2" xfId="0" applyNumberFormat="1" applyFont="1" applyFill="1" applyBorder="1" applyAlignment="1" applyProtection="1">
      <protection locked="0"/>
    </xf>
    <xf numFmtId="164" fontId="107" fillId="2" borderId="0" xfId="0" applyFont="1" applyFill="1" applyBorder="1" applyAlignment="1" applyProtection="1">
      <alignment horizontal="center" vertical="center"/>
    </xf>
    <xf numFmtId="0" fontId="91" fillId="2" borderId="13" xfId="0" applyNumberFormat="1" applyFont="1" applyFill="1" applyBorder="1" applyAlignment="1" applyProtection="1">
      <alignment horizontal="center" vertical="center" wrapText="1"/>
      <protection locked="0"/>
    </xf>
    <xf numFmtId="168" fontId="91" fillId="0" borderId="25" xfId="0" applyNumberFormat="1" applyFont="1" applyFill="1" applyBorder="1" applyAlignment="1" applyProtection="1">
      <alignment horizontal="right" wrapText="1"/>
    </xf>
    <xf numFmtId="164" fontId="91" fillId="0" borderId="2" xfId="0" applyNumberFormat="1" applyFont="1" applyBorder="1" applyAlignment="1" applyProtection="1">
      <alignment horizontal="center" vertical="center" wrapText="1"/>
    </xf>
    <xf numFmtId="164" fontId="91" fillId="0" borderId="0" xfId="0" applyNumberFormat="1" applyFont="1" applyBorder="1" applyAlignment="1" applyProtection="1">
      <alignment horizontal="center" vertical="center" wrapText="1"/>
    </xf>
    <xf numFmtId="164" fontId="107" fillId="2" borderId="0" xfId="0" applyFont="1" applyFill="1" applyBorder="1" applyProtection="1"/>
    <xf numFmtId="164" fontId="107" fillId="2" borderId="0" xfId="0" applyFont="1" applyFill="1" applyBorder="1" applyAlignment="1" applyProtection="1">
      <alignment horizontal="right"/>
    </xf>
    <xf numFmtId="164" fontId="91" fillId="2" borderId="0" xfId="1" applyNumberFormat="1" applyFont="1" applyFill="1" applyBorder="1" applyAlignment="1" applyProtection="1">
      <alignment horizontal="left" vertical="center" wrapText="1" indent="1"/>
    </xf>
    <xf numFmtId="164" fontId="91" fillId="0" borderId="0" xfId="0" applyFont="1" applyBorder="1" applyAlignment="1" applyProtection="1">
      <alignment horizontal="left" wrapText="1" indent="1"/>
    </xf>
    <xf numFmtId="164" fontId="91" fillId="0" borderId="0" xfId="1" applyNumberFormat="1" applyFont="1" applyFill="1" applyBorder="1" applyAlignment="1" applyProtection="1">
      <alignment horizontal="left" vertical="center" wrapText="1" indent="1"/>
    </xf>
    <xf numFmtId="0" fontId="91" fillId="0" borderId="0" xfId="1" applyNumberFormat="1" applyFont="1" applyFill="1" applyBorder="1" applyAlignment="1" applyProtection="1">
      <alignment horizontal="left" vertical="center" wrapText="1" indent="1"/>
    </xf>
    <xf numFmtId="167" fontId="91" fillId="2" borderId="0" xfId="1" applyNumberFormat="1" applyFont="1" applyFill="1" applyBorder="1" applyAlignment="1" applyProtection="1">
      <alignment horizontal="left" vertical="center" wrapText="1" indent="1"/>
    </xf>
    <xf numFmtId="164" fontId="107" fillId="0" borderId="0" xfId="0" applyFont="1" applyProtection="1"/>
    <xf numFmtId="164" fontId="107" fillId="0" borderId="4" xfId="0" applyFont="1" applyBorder="1"/>
    <xf numFmtId="170" fontId="107" fillId="0" borderId="4" xfId="0" applyNumberFormat="1" applyFont="1" applyBorder="1"/>
    <xf numFmtId="168" fontId="91" fillId="0" borderId="28" xfId="0" applyNumberFormat="1" applyFont="1" applyFill="1" applyBorder="1" applyAlignment="1" applyProtection="1">
      <alignment horizontal="right" wrapText="1"/>
    </xf>
    <xf numFmtId="166" fontId="106" fillId="2" borderId="13" xfId="0" applyNumberFormat="1" applyFont="1" applyFill="1" applyBorder="1" applyAlignment="1" applyProtection="1">
      <protection locked="0"/>
    </xf>
    <xf numFmtId="0" fontId="91" fillId="2" borderId="2" xfId="0" applyNumberFormat="1" applyFont="1" applyFill="1" applyBorder="1" applyAlignment="1" applyProtection="1">
      <alignment horizontal="center" vertical="center" wrapText="1"/>
    </xf>
    <xf numFmtId="0" fontId="91" fillId="0" borderId="0" xfId="0" quotePrefix="1" applyNumberFormat="1" applyFont="1" applyFill="1" applyBorder="1" applyAlignment="1" applyProtection="1">
      <alignment horizontal="left" wrapText="1"/>
      <protection locked="0"/>
    </xf>
    <xf numFmtId="168" fontId="91" fillId="0" borderId="13" xfId="0" applyNumberFormat="1" applyFont="1" applyFill="1" applyBorder="1" applyAlignment="1" applyProtection="1">
      <alignment horizontal="right" wrapText="1"/>
    </xf>
    <xf numFmtId="164" fontId="107" fillId="0" borderId="2" xfId="0" applyFont="1" applyBorder="1" applyProtection="1">
      <protection locked="0"/>
    </xf>
    <xf numFmtId="166" fontId="106" fillId="2" borderId="2" xfId="0" applyNumberFormat="1" applyFont="1" applyFill="1" applyBorder="1" applyAlignment="1" applyProtection="1">
      <protection locked="0"/>
    </xf>
    <xf numFmtId="164" fontId="107" fillId="2" borderId="0" xfId="0" applyFont="1" applyFill="1" applyBorder="1" applyAlignment="1" applyProtection="1">
      <alignment vertical="center"/>
    </xf>
    <xf numFmtId="164" fontId="107" fillId="0" borderId="0" xfId="0" applyFont="1" applyBorder="1" applyProtection="1"/>
    <xf numFmtId="0" fontId="91" fillId="2" borderId="0" xfId="0" applyNumberFormat="1" applyFont="1" applyFill="1" applyBorder="1" applyAlignment="1" applyProtection="1">
      <alignment horizontal="center" vertical="center" wrapText="1"/>
    </xf>
    <xf numFmtId="166" fontId="98" fillId="2" borderId="13" xfId="0" applyNumberFormat="1" applyFont="1" applyFill="1" applyBorder="1" applyAlignment="1" applyProtection="1">
      <alignment horizontal="right" vertical="center" wrapText="1"/>
      <protection locked="0"/>
    </xf>
    <xf numFmtId="168" fontId="119" fillId="0" borderId="0" xfId="0" applyNumberFormat="1" applyFont="1" applyFill="1" applyBorder="1" applyAlignment="1" applyProtection="1">
      <alignment horizontal="left" wrapText="1" indent="4"/>
    </xf>
    <xf numFmtId="168" fontId="106" fillId="0" borderId="2"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right" vertical="center" wrapText="1"/>
    </xf>
    <xf numFmtId="164" fontId="108" fillId="2" borderId="21" xfId="0" applyFont="1" applyFill="1" applyBorder="1" applyProtection="1"/>
    <xf numFmtId="164" fontId="111"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xf>
    <xf numFmtId="168" fontId="106" fillId="0" borderId="0" xfId="0" applyNumberFormat="1" applyFont="1" applyFill="1" applyBorder="1" applyAlignment="1" applyProtection="1">
      <alignment wrapText="1"/>
    </xf>
    <xf numFmtId="164" fontId="107" fillId="0" borderId="0" xfId="0" applyFont="1" applyAlignment="1"/>
    <xf numFmtId="1" fontId="98" fillId="0" borderId="0" xfId="0" applyNumberFormat="1" applyFont="1" applyBorder="1" applyAlignment="1" applyProtection="1">
      <alignment horizontal="left" vertical="center" wrapText="1" indent="3"/>
    </xf>
    <xf numFmtId="1" fontId="98" fillId="0" borderId="0" xfId="0" applyNumberFormat="1" applyFont="1" applyBorder="1" applyAlignment="1" applyProtection="1">
      <alignment horizontal="left" vertical="center" wrapText="1"/>
    </xf>
    <xf numFmtId="1" fontId="91" fillId="0" borderId="0" xfId="0" applyNumberFormat="1" applyFont="1" applyBorder="1" applyAlignment="1" applyProtection="1">
      <alignment horizontal="left" vertical="center" wrapText="1" indent="3"/>
    </xf>
    <xf numFmtId="166" fontId="91" fillId="2" borderId="0" xfId="0" applyNumberFormat="1" applyFont="1" applyFill="1" applyBorder="1" applyAlignment="1" applyProtection="1"/>
    <xf numFmtId="166" fontId="91" fillId="0" borderId="2" xfId="0" applyNumberFormat="1" applyFont="1" applyFill="1" applyBorder="1" applyAlignment="1" applyProtection="1"/>
    <xf numFmtId="166" fontId="121" fillId="2" borderId="0" xfId="0" applyNumberFormat="1" applyFont="1" applyFill="1"/>
    <xf numFmtId="164" fontId="107"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left" wrapText="1" indent="1"/>
    </xf>
    <xf numFmtId="168" fontId="107" fillId="0" borderId="0" xfId="0" applyNumberFormat="1" applyFont="1" applyBorder="1"/>
    <xf numFmtId="164" fontId="107" fillId="0" borderId="0" xfId="0" applyFont="1" applyFill="1" applyBorder="1"/>
    <xf numFmtId="164" fontId="107" fillId="2" borderId="0" xfId="0" applyFont="1" applyFill="1" applyBorder="1"/>
    <xf numFmtId="167" fontId="98" fillId="2" borderId="0" xfId="0" applyNumberFormat="1" applyFont="1" applyFill="1" applyBorder="1" applyAlignment="1" applyProtection="1">
      <alignment horizontal="left" wrapText="1" indent="5"/>
    </xf>
    <xf numFmtId="0" fontId="119" fillId="0" borderId="0" xfId="0" applyNumberFormat="1" applyFont="1" applyFill="1" applyBorder="1" applyAlignment="1" applyProtection="1">
      <alignment horizontal="left" wrapText="1" indent="4"/>
    </xf>
    <xf numFmtId="164" fontId="107" fillId="0" borderId="0" xfId="0" applyFont="1" applyFill="1" applyBorder="1" applyAlignment="1" applyProtection="1">
      <alignment horizontal="left" indent="1"/>
    </xf>
    <xf numFmtId="164" fontId="108" fillId="2" borderId="21" xfId="0" applyFont="1" applyFill="1" applyBorder="1" applyAlignment="1" applyProtection="1">
      <alignment vertical="center"/>
    </xf>
    <xf numFmtId="164" fontId="91" fillId="2" borderId="0" xfId="0" applyNumberFormat="1" applyFont="1" applyFill="1" applyBorder="1" applyAlignment="1" applyProtection="1">
      <alignment horizontal="left" vertical="center" wrapText="1" indent="5"/>
    </xf>
    <xf numFmtId="164" fontId="118" fillId="2" borderId="0" xfId="0" applyFont="1" applyFill="1" applyBorder="1" applyAlignment="1" applyProtection="1"/>
    <xf numFmtId="164" fontId="98" fillId="2" borderId="0" xfId="0" applyNumberFormat="1" applyFont="1" applyFill="1" applyBorder="1" applyAlignment="1" applyProtection="1">
      <alignment horizontal="center" vertical="center" wrapText="1"/>
    </xf>
    <xf numFmtId="164" fontId="91" fillId="2" borderId="0" xfId="0" applyNumberFormat="1" applyFont="1" applyFill="1" applyBorder="1" applyAlignment="1" applyProtection="1">
      <alignment horizontal="left" vertical="center" wrapText="1" indent="3"/>
    </xf>
    <xf numFmtId="164" fontId="91" fillId="2" borderId="0" xfId="0" applyNumberFormat="1" applyFont="1" applyFill="1" applyBorder="1" applyAlignment="1" applyProtection="1">
      <alignment horizontal="right" vertical="center" wrapText="1" indent="3"/>
    </xf>
    <xf numFmtId="164" fontId="91" fillId="0" borderId="0" xfId="1" applyNumberFormat="1" applyFont="1" applyFill="1" applyBorder="1" applyAlignment="1" applyProtection="1">
      <alignment horizontal="right" vertical="center" wrapText="1"/>
    </xf>
    <xf numFmtId="164" fontId="91" fillId="0" borderId="0" xfId="1" applyNumberFormat="1" applyFont="1" applyFill="1" applyBorder="1" applyAlignment="1" applyProtection="1">
      <alignment horizontal="left" vertical="center" wrapText="1"/>
    </xf>
    <xf numFmtId="166" fontId="109" fillId="5" borderId="2" xfId="0" applyNumberFormat="1" applyFont="1" applyFill="1" applyBorder="1" applyAlignment="1" applyProtection="1">
      <alignment horizontal="right"/>
    </xf>
    <xf numFmtId="1" fontId="12" fillId="13" borderId="0" xfId="4" applyNumberFormat="1" applyFont="1" applyFill="1" applyBorder="1" applyAlignment="1" applyProtection="1">
      <alignment horizontal="left" vertical="center" indent="4"/>
    </xf>
    <xf numFmtId="1" fontId="90" fillId="30" borderId="0" xfId="4" applyNumberFormat="1" applyFont="1" applyFill="1" applyBorder="1" applyAlignment="1" applyProtection="1">
      <alignment horizontal="center" vertical="center"/>
    </xf>
    <xf numFmtId="1" fontId="0" fillId="12" borderId="0" xfId="0" applyNumberFormat="1" applyFill="1" applyBorder="1" applyProtection="1"/>
    <xf numFmtId="164" fontId="0" fillId="12" borderId="0" xfId="0" applyFill="1" applyProtection="1"/>
    <xf numFmtId="164" fontId="0" fillId="12" borderId="0" xfId="0" applyFill="1" applyBorder="1" applyAlignment="1" applyProtection="1">
      <alignment vertical="center"/>
    </xf>
    <xf numFmtId="1" fontId="41" fillId="9" borderId="0" xfId="0" applyNumberFormat="1" applyFont="1" applyFill="1" applyAlignment="1" applyProtection="1">
      <alignment horizontal="left"/>
    </xf>
    <xf numFmtId="168" fontId="84" fillId="0" borderId="25"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xf>
    <xf numFmtId="164" fontId="123" fillId="0" borderId="0" xfId="0" applyFont="1"/>
    <xf numFmtId="164" fontId="124" fillId="0" borderId="0" xfId="0" applyFont="1"/>
    <xf numFmtId="164" fontId="50" fillId="0" borderId="0" xfId="0" applyFont="1" applyBorder="1" applyAlignment="1">
      <alignment horizontal="left" vertical="center" indent="5"/>
    </xf>
    <xf numFmtId="164" fontId="50" fillId="0" borderId="0" xfId="0" applyFont="1" applyBorder="1"/>
    <xf numFmtId="164" fontId="46" fillId="0" borderId="0" xfId="0" applyFont="1" applyBorder="1" applyAlignment="1"/>
    <xf numFmtId="164" fontId="46" fillId="0" borderId="0" xfId="0" applyFont="1" applyFill="1" applyBorder="1" applyAlignment="1" applyProtection="1"/>
    <xf numFmtId="164" fontId="125" fillId="0" borderId="0" xfId="0" applyFont="1" applyFill="1" applyBorder="1" applyAlignment="1" applyProtection="1"/>
    <xf numFmtId="164" fontId="124" fillId="0" borderId="0" xfId="0" applyFont="1" applyBorder="1"/>
    <xf numFmtId="164" fontId="124" fillId="0" borderId="0" xfId="0" applyFont="1" applyFill="1" applyBorder="1" applyAlignment="1" applyProtection="1">
      <alignment horizontal="right"/>
    </xf>
    <xf numFmtId="164" fontId="126" fillId="0" borderId="0" xfId="0" applyFont="1" applyFill="1" applyBorder="1" applyAlignment="1" applyProtection="1"/>
    <xf numFmtId="164" fontId="124" fillId="0" borderId="0" xfId="0" applyFont="1" applyFill="1" applyBorder="1" applyAlignment="1" applyProtection="1"/>
    <xf numFmtId="0" fontId="46" fillId="2" borderId="37" xfId="0" applyNumberFormat="1" applyFont="1" applyFill="1" applyBorder="1" applyAlignment="1" applyProtection="1">
      <alignment horizontal="center" vertical="center" wrapText="1"/>
      <protection locked="0"/>
    </xf>
    <xf numFmtId="164" fontId="107" fillId="0" borderId="25" xfId="0" applyFont="1" applyBorder="1" applyProtection="1"/>
    <xf numFmtId="0" fontId="113" fillId="24" borderId="36" xfId="1" applyFont="1" applyFill="1" applyBorder="1" applyAlignment="1" applyProtection="1">
      <alignment horizontal="center" vertical="center"/>
    </xf>
    <xf numFmtId="164" fontId="107" fillId="0" borderId="25" xfId="0" applyFont="1" applyBorder="1" applyAlignment="1" applyProtection="1">
      <alignment horizontal="center" vertical="center"/>
    </xf>
    <xf numFmtId="0" fontId="91" fillId="2" borderId="25" xfId="0" applyNumberFormat="1" applyFont="1" applyFill="1" applyBorder="1" applyAlignment="1" applyProtection="1">
      <alignment horizontal="center" vertical="center" wrapText="1"/>
      <protection locked="0"/>
    </xf>
    <xf numFmtId="164" fontId="107" fillId="0" borderId="25" xfId="0" applyFont="1" applyBorder="1" applyAlignment="1">
      <alignment horizontal="center" vertical="center"/>
    </xf>
    <xf numFmtId="0" fontId="113" fillId="32" borderId="36" xfId="1" applyFont="1" applyFill="1" applyBorder="1" applyAlignment="1" applyProtection="1">
      <alignment horizontal="center" vertical="center"/>
    </xf>
    <xf numFmtId="0" fontId="45" fillId="7" borderId="0" xfId="0" applyNumberFormat="1" applyFont="1" applyFill="1" applyBorder="1" applyAlignment="1" applyProtection="1">
      <alignment horizontal="left"/>
    </xf>
    <xf numFmtId="164" fontId="107" fillId="0" borderId="0" xfId="0" applyFont="1" applyBorder="1" applyAlignment="1" applyProtection="1">
      <protection locked="0"/>
    </xf>
    <xf numFmtId="164" fontId="91" fillId="2" borderId="0" xfId="0" applyNumberFormat="1" applyFont="1" applyFill="1" applyBorder="1" applyAlignment="1" applyProtection="1">
      <alignment horizontal="left" vertical="center" wrapText="1" indent="4"/>
    </xf>
    <xf numFmtId="164" fontId="120" fillId="2" borderId="0" xfId="0" applyNumberFormat="1" applyFont="1" applyFill="1" applyBorder="1" applyAlignment="1" applyProtection="1">
      <alignment horizontal="left" vertical="center" wrapText="1"/>
    </xf>
    <xf numFmtId="0" fontId="12" fillId="12" borderId="0" xfId="0" applyNumberFormat="1" applyFont="1" applyFill="1" applyBorder="1" applyAlignment="1" applyProtection="1">
      <alignment horizontal="center"/>
    </xf>
    <xf numFmtId="1" fontId="12" fillId="9" borderId="0" xfId="0" applyNumberFormat="1" applyFont="1" applyFill="1" applyBorder="1" applyAlignment="1" applyProtection="1">
      <alignment horizontal="center"/>
    </xf>
    <xf numFmtId="0" fontId="12" fillId="9" borderId="0" xfId="0" applyNumberFormat="1" applyFont="1" applyFill="1" applyBorder="1" applyAlignment="1" applyProtection="1">
      <alignment horizontal="center" wrapText="1"/>
    </xf>
    <xf numFmtId="1" fontId="12" fillId="12" borderId="0" xfId="0" applyNumberFormat="1" applyFont="1" applyFill="1" applyBorder="1" applyAlignment="1" applyProtection="1">
      <alignment horizontal="center"/>
    </xf>
    <xf numFmtId="164" fontId="12" fillId="8" borderId="0" xfId="0" applyFont="1" applyFill="1" applyAlignment="1">
      <alignment horizontal="center"/>
    </xf>
    <xf numFmtId="164" fontId="5" fillId="0" borderId="0" xfId="0" applyFont="1" applyAlignment="1">
      <alignment horizontal="center"/>
    </xf>
    <xf numFmtId="166" fontId="91" fillId="2" borderId="12" xfId="0" applyNumberFormat="1" applyFont="1" applyFill="1" applyBorder="1" applyAlignment="1" applyProtection="1">
      <alignment horizontal="right" vertical="center" wrapText="1"/>
      <protection locked="0"/>
    </xf>
    <xf numFmtId="166" fontId="91" fillId="2" borderId="13" xfId="0" applyNumberFormat="1" applyFont="1" applyFill="1" applyBorder="1" applyAlignment="1" applyProtection="1">
      <alignment horizontal="right" vertical="center" wrapText="1"/>
      <protection locked="0"/>
    </xf>
    <xf numFmtId="164" fontId="91" fillId="0" borderId="0" xfId="0" applyNumberFormat="1" applyFont="1" applyBorder="1" applyAlignment="1" applyProtection="1">
      <alignment horizontal="left" vertical="center" wrapText="1" indent="5"/>
    </xf>
    <xf numFmtId="164" fontId="107" fillId="0" borderId="14" xfId="0" applyFont="1" applyBorder="1" applyAlignment="1" applyProtection="1">
      <protection locked="0"/>
    </xf>
    <xf numFmtId="0" fontId="98" fillId="2" borderId="0" xfId="1" applyNumberFormat="1" applyFont="1" applyFill="1" applyBorder="1" applyAlignment="1" applyProtection="1">
      <alignment horizontal="right" vertical="center" wrapText="1" indent="2"/>
    </xf>
    <xf numFmtId="168" fontId="118" fillId="0" borderId="0" xfId="0" applyNumberFormat="1" applyFont="1" applyBorder="1" applyAlignment="1">
      <alignment vertical="top"/>
    </xf>
    <xf numFmtId="168" fontId="118" fillId="0" borderId="21" xfId="0" applyNumberFormat="1" applyFont="1" applyBorder="1" applyAlignment="1">
      <alignment vertical="top"/>
    </xf>
    <xf numFmtId="164" fontId="120" fillId="0" borderId="0" xfId="0" applyFont="1" applyBorder="1" applyAlignment="1"/>
    <xf numFmtId="164" fontId="120" fillId="0" borderId="14" xfId="0" applyFont="1" applyBorder="1" applyAlignment="1"/>
    <xf numFmtId="166" fontId="109" fillId="2" borderId="0" xfId="0" applyNumberFormat="1" applyFont="1" applyFill="1"/>
    <xf numFmtId="166" fontId="109" fillId="2" borderId="0" xfId="0" applyNumberFormat="1" applyFont="1" applyFill="1" applyAlignment="1">
      <alignment vertical="center"/>
    </xf>
    <xf numFmtId="164" fontId="109" fillId="0" borderId="0" xfId="0" applyFont="1" applyFill="1" applyBorder="1"/>
    <xf numFmtId="168" fontId="109" fillId="0" borderId="0" xfId="0" applyNumberFormat="1" applyFont="1" applyBorder="1" applyAlignment="1">
      <alignment vertical="top"/>
    </xf>
    <xf numFmtId="167" fontId="91" fillId="2" borderId="0" xfId="0" applyNumberFormat="1" applyFont="1" applyFill="1" applyBorder="1" applyAlignment="1" applyProtection="1">
      <alignment horizontal="left" wrapText="1" indent="4"/>
    </xf>
    <xf numFmtId="164" fontId="98" fillId="2" borderId="0" xfId="0" applyNumberFormat="1" applyFont="1" applyFill="1" applyBorder="1" applyAlignment="1" applyProtection="1">
      <alignment horizontal="left" wrapText="1"/>
    </xf>
    <xf numFmtId="164" fontId="98" fillId="0" borderId="0" xfId="0" applyNumberFormat="1" applyFont="1" applyFill="1" applyBorder="1" applyAlignment="1" applyProtection="1">
      <alignment horizontal="left" vertical="center" wrapText="1"/>
    </xf>
    <xf numFmtId="167" fontId="91" fillId="2" borderId="0" xfId="0" applyNumberFormat="1" applyFont="1" applyFill="1" applyBorder="1" applyAlignment="1" applyProtection="1">
      <alignment horizontal="left" wrapText="1" indent="2"/>
    </xf>
    <xf numFmtId="0" fontId="91" fillId="0" borderId="0" xfId="0" applyNumberFormat="1" applyFont="1" applyFill="1" applyBorder="1" applyAlignment="1" applyProtection="1">
      <alignment horizontal="left" vertical="center" wrapText="1" indent="2"/>
    </xf>
    <xf numFmtId="167" fontId="91" fillId="2" borderId="0" xfId="0" applyNumberFormat="1" applyFont="1" applyFill="1" applyBorder="1" applyAlignment="1" applyProtection="1">
      <alignment horizontal="left" vertical="center" wrapText="1" indent="2"/>
    </xf>
    <xf numFmtId="164" fontId="12" fillId="9" borderId="0" xfId="0" applyFont="1" applyFill="1" applyProtection="1"/>
    <xf numFmtId="1" fontId="51" fillId="7" borderId="40" xfId="0" applyNumberFormat="1" applyFont="1" applyFill="1" applyBorder="1" applyAlignment="1" applyProtection="1">
      <alignment horizontal="right" vertical="center" wrapText="1"/>
    </xf>
    <xf numFmtId="164" fontId="0" fillId="2" borderId="0" xfId="0" applyFill="1" applyBorder="1" applyAlignment="1">
      <alignment vertical="top"/>
    </xf>
    <xf numFmtId="0" fontId="44" fillId="17" borderId="0" xfId="0" applyNumberFormat="1" applyFont="1" applyFill="1" applyBorder="1" applyAlignment="1" applyProtection="1">
      <alignment horizontal="center" vertical="top"/>
    </xf>
    <xf numFmtId="0" fontId="44" fillId="17" borderId="0" xfId="0" applyNumberFormat="1" applyFont="1" applyFill="1" applyBorder="1" applyAlignment="1" applyProtection="1">
      <alignment horizontal="left" vertical="top" wrapText="1"/>
    </xf>
    <xf numFmtId="169" fontId="44" fillId="17" borderId="0" xfId="0" applyNumberFormat="1" applyFont="1" applyFill="1" applyBorder="1" applyAlignment="1" applyProtection="1">
      <alignment horizontal="center" vertical="top" wrapText="1"/>
    </xf>
    <xf numFmtId="164" fontId="32" fillId="2" borderId="21" xfId="0" applyFont="1" applyFill="1" applyBorder="1" applyAlignment="1" applyProtection="1">
      <alignment vertical="top"/>
    </xf>
    <xf numFmtId="164" fontId="0" fillId="7" borderId="17" xfId="0" applyFill="1" applyBorder="1" applyAlignment="1" applyProtection="1">
      <alignment vertical="top"/>
    </xf>
    <xf numFmtId="164" fontId="0" fillId="7" borderId="7" xfId="0" applyFill="1" applyBorder="1" applyAlignment="1" applyProtection="1">
      <alignment vertical="top"/>
    </xf>
    <xf numFmtId="164" fontId="0" fillId="0" borderId="0" xfId="0" applyAlignment="1">
      <alignment vertical="top"/>
    </xf>
    <xf numFmtId="166" fontId="12" fillId="13" borderId="0" xfId="4" applyNumberFormat="1" applyFont="1" applyFill="1" applyBorder="1" applyAlignment="1" applyProtection="1">
      <alignment horizontal="center" vertical="top"/>
    </xf>
    <xf numFmtId="1" fontId="12" fillId="9" borderId="0" xfId="0" applyNumberFormat="1" applyFont="1" applyFill="1" applyBorder="1" applyAlignment="1" applyProtection="1">
      <alignment horizontal="center" vertical="top"/>
    </xf>
    <xf numFmtId="164" fontId="72" fillId="9" borderId="0" xfId="0" applyFont="1" applyFill="1" applyAlignment="1">
      <alignment horizontal="center" vertical="top"/>
    </xf>
    <xf numFmtId="164" fontId="0" fillId="12" borderId="0" xfId="0" applyFill="1" applyBorder="1" applyAlignment="1">
      <alignment vertical="top"/>
    </xf>
    <xf numFmtId="0" fontId="39" fillId="12" borderId="0" xfId="1" applyFont="1" applyFill="1" applyBorder="1" applyAlignment="1" applyProtection="1">
      <alignment horizontal="left" vertical="top"/>
    </xf>
    <xf numFmtId="164" fontId="35" fillId="12" borderId="0" xfId="0" applyFont="1" applyFill="1" applyBorder="1" applyAlignment="1" applyProtection="1">
      <alignment horizontal="center" vertical="top"/>
    </xf>
    <xf numFmtId="0" fontId="44" fillId="17" borderId="0" xfId="0" applyNumberFormat="1" applyFont="1" applyFill="1" applyBorder="1" applyAlignment="1" applyProtection="1">
      <alignment horizontal="center" vertical="top" wrapText="1"/>
    </xf>
    <xf numFmtId="0" fontId="44" fillId="17" borderId="39" xfId="0" applyNumberFormat="1" applyFont="1" applyFill="1" applyBorder="1" applyAlignment="1" applyProtection="1">
      <alignment horizontal="center" vertical="top" wrapText="1"/>
    </xf>
    <xf numFmtId="0" fontId="127" fillId="17" borderId="0" xfId="0" applyNumberFormat="1" applyFont="1" applyFill="1" applyBorder="1" applyAlignment="1" applyProtection="1">
      <alignment horizontal="left" indent="2"/>
    </xf>
    <xf numFmtId="164" fontId="127" fillId="7" borderId="0" xfId="0" applyFont="1" applyFill="1" applyAlignment="1">
      <alignment horizontal="left" indent="2"/>
    </xf>
    <xf numFmtId="0" fontId="55" fillId="17" borderId="0" xfId="0" applyNumberFormat="1" applyFont="1" applyFill="1" applyBorder="1" applyAlignment="1" applyProtection="1">
      <alignment horizontal="center"/>
    </xf>
    <xf numFmtId="0" fontId="127" fillId="17" borderId="0" xfId="0" applyNumberFormat="1" applyFont="1" applyFill="1" applyBorder="1" applyAlignment="1" applyProtection="1">
      <alignment horizontal="center" wrapText="1"/>
    </xf>
    <xf numFmtId="168" fontId="53" fillId="7" borderId="0" xfId="0" applyNumberFormat="1" applyFont="1" applyFill="1" applyBorder="1" applyAlignment="1" applyProtection="1">
      <alignment horizontal="right" wrapText="1"/>
    </xf>
    <xf numFmtId="170" fontId="127" fillId="7" borderId="0" xfId="0" applyNumberFormat="1" applyFont="1" applyFill="1" applyBorder="1" applyAlignment="1" applyProtection="1">
      <alignment vertical="center" wrapText="1"/>
    </xf>
    <xf numFmtId="166" fontId="53" fillId="7" borderId="0" xfId="0" applyNumberFormat="1" applyFont="1" applyFill="1" applyBorder="1" applyAlignment="1" applyProtection="1">
      <alignment vertical="center"/>
      <protection locked="0"/>
    </xf>
    <xf numFmtId="166" fontId="53" fillId="7" borderId="0" xfId="0" applyNumberFormat="1" applyFont="1" applyFill="1" applyBorder="1" applyAlignment="1" applyProtection="1">
      <alignment vertical="center"/>
    </xf>
    <xf numFmtId="14" fontId="53" fillId="7" borderId="0" xfId="0" applyNumberFormat="1" applyFont="1" applyFill="1" applyBorder="1" applyAlignment="1" applyProtection="1">
      <alignment horizontal="left" vertical="center" wrapText="1" indent="2"/>
    </xf>
    <xf numFmtId="0" fontId="44" fillId="17" borderId="0" xfId="0" applyNumberFormat="1" applyFont="1" applyFill="1" applyBorder="1" applyAlignment="1" applyProtection="1">
      <alignment horizontal="left"/>
    </xf>
    <xf numFmtId="166" fontId="91" fillId="2" borderId="12" xfId="0" applyNumberFormat="1" applyFont="1" applyFill="1" applyBorder="1" applyAlignment="1" applyProtection="1">
      <alignment horizontal="right" vertical="center" wrapText="1"/>
    </xf>
    <xf numFmtId="164" fontId="12" fillId="11" borderId="0" xfId="4" applyFont="1" applyFill="1" applyBorder="1" applyAlignment="1" applyProtection="1">
      <alignment horizontal="center" vertical="center"/>
    </xf>
    <xf numFmtId="166" fontId="91" fillId="2" borderId="2" xfId="0" applyNumberFormat="1" applyFont="1" applyFill="1" applyBorder="1" applyAlignment="1" applyProtection="1">
      <alignment horizontal="right" vertical="center"/>
    </xf>
    <xf numFmtId="0" fontId="91" fillId="2" borderId="41" xfId="0" applyNumberFormat="1" applyFont="1" applyFill="1" applyBorder="1" applyAlignment="1" applyProtection="1">
      <alignment horizontal="center" vertical="center" wrapText="1"/>
      <protection locked="0"/>
    </xf>
    <xf numFmtId="168" fontId="106" fillId="0" borderId="2" xfId="0" applyNumberFormat="1" applyFont="1" applyFill="1" applyBorder="1" applyAlignment="1" applyProtection="1">
      <alignment horizontal="center" vertical="center" wrapText="1"/>
    </xf>
    <xf numFmtId="164" fontId="0" fillId="2" borderId="0" xfId="0" applyFill="1" applyBorder="1" applyAlignment="1">
      <alignment horizontal="center" vertical="center"/>
    </xf>
    <xf numFmtId="168"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xf>
    <xf numFmtId="164" fontId="32" fillId="2" borderId="21" xfId="0" applyFont="1" applyFill="1" applyBorder="1" applyAlignment="1" applyProtection="1">
      <alignment horizontal="center" vertical="center"/>
    </xf>
    <xf numFmtId="169" fontId="11" fillId="0" borderId="17" xfId="0" applyNumberFormat="1" applyFont="1" applyFill="1" applyBorder="1" applyAlignment="1" applyProtection="1">
      <alignment horizontal="center" vertical="center" wrapText="1"/>
    </xf>
    <xf numFmtId="169" fontId="11" fillId="0" borderId="7" xfId="0" applyNumberFormat="1" applyFont="1" applyFill="1" applyBorder="1" applyAlignment="1" applyProtection="1">
      <alignment horizontal="center" vertical="center" wrapText="1"/>
    </xf>
    <xf numFmtId="1" fontId="12" fillId="9" borderId="0" xfId="0" applyNumberFormat="1" applyFont="1" applyFill="1" applyBorder="1" applyAlignment="1" applyProtection="1">
      <alignment horizontal="center" vertical="center"/>
    </xf>
    <xf numFmtId="164" fontId="0" fillId="12" borderId="0" xfId="0" applyFill="1" applyBorder="1" applyAlignment="1">
      <alignment horizontal="center" vertical="center"/>
    </xf>
    <xf numFmtId="164" fontId="128" fillId="2" borderId="0" xfId="0" applyFont="1" applyFill="1" applyAlignment="1">
      <alignment horizontal="center" vertical="top"/>
    </xf>
    <xf numFmtId="164" fontId="101" fillId="35" borderId="0" xfId="0" applyFont="1" applyFill="1" applyAlignment="1">
      <alignment horizontal="center" vertical="center" wrapText="1"/>
    </xf>
    <xf numFmtId="164" fontId="80" fillId="35" borderId="0" xfId="0" applyFont="1" applyFill="1" applyAlignment="1">
      <alignment horizontal="center" vertical="center"/>
    </xf>
    <xf numFmtId="164" fontId="0" fillId="35" borderId="0" xfId="0" applyFont="1" applyFill="1" applyAlignment="1">
      <alignment horizontal="center" vertical="center"/>
    </xf>
    <xf numFmtId="164" fontId="0" fillId="35" borderId="0" xfId="0" applyFill="1" applyAlignment="1">
      <alignment horizontal="center" vertical="center"/>
    </xf>
    <xf numFmtId="164" fontId="0" fillId="35" borderId="0" xfId="0" applyFill="1"/>
    <xf numFmtId="164" fontId="103" fillId="35" borderId="0" xfId="0" applyFont="1" applyFill="1"/>
    <xf numFmtId="164" fontId="104" fillId="2" borderId="0" xfId="0" applyFont="1" applyFill="1" applyBorder="1" applyAlignment="1">
      <alignment horizontal="center" vertical="top" wrapText="1"/>
    </xf>
    <xf numFmtId="164" fontId="0" fillId="7" borderId="42" xfId="0" applyFill="1" applyBorder="1"/>
    <xf numFmtId="164" fontId="0" fillId="35" borderId="0" xfId="0" applyFont="1" applyFill="1" applyAlignment="1">
      <alignment horizontal="left" vertical="center"/>
    </xf>
    <xf numFmtId="164" fontId="81" fillId="35" borderId="0" xfId="0" applyFont="1" applyFill="1" applyAlignment="1">
      <alignment horizontal="center" vertical="center"/>
    </xf>
    <xf numFmtId="164" fontId="80" fillId="35" borderId="0" xfId="0" applyFont="1" applyFill="1" applyAlignment="1">
      <alignment horizontal="center" vertical="center" wrapText="1"/>
    </xf>
    <xf numFmtId="164" fontId="103" fillId="35" borderId="0" xfId="0" applyFont="1" applyFill="1" applyAlignment="1">
      <alignment horizontal="center" vertical="center"/>
    </xf>
    <xf numFmtId="164" fontId="0" fillId="35" borderId="0" xfId="0" applyFont="1" applyFill="1" applyBorder="1"/>
    <xf numFmtId="164" fontId="103" fillId="35" borderId="0" xfId="0" applyFont="1" applyFill="1" applyAlignment="1">
      <alignment horizontal="center" vertical="center" wrapText="1"/>
    </xf>
    <xf numFmtId="164" fontId="101" fillId="35" borderId="0" xfId="0" applyFont="1" applyFill="1" applyAlignment="1">
      <alignment horizontal="center" vertical="center"/>
    </xf>
    <xf numFmtId="164" fontId="80" fillId="35" borderId="32" xfId="0" applyFont="1" applyFill="1" applyBorder="1" applyAlignment="1">
      <alignment horizontal="center" vertical="center" wrapText="1"/>
    </xf>
    <xf numFmtId="164" fontId="0" fillId="35" borderId="32" xfId="0" applyFill="1" applyBorder="1"/>
    <xf numFmtId="164" fontId="0" fillId="35" borderId="32" xfId="0" applyFill="1" applyBorder="1" applyAlignment="1">
      <alignment horizontal="center" vertical="center"/>
    </xf>
    <xf numFmtId="164" fontId="0" fillId="35" borderId="33" xfId="0" applyFill="1" applyBorder="1"/>
    <xf numFmtId="164" fontId="80" fillId="35" borderId="35" xfId="0" applyFont="1" applyFill="1" applyBorder="1" applyAlignment="1">
      <alignment horizontal="center" vertical="center" wrapText="1"/>
    </xf>
    <xf numFmtId="164" fontId="0" fillId="35" borderId="35" xfId="0" applyFill="1" applyBorder="1" applyAlignment="1">
      <alignment horizontal="center" vertical="center"/>
    </xf>
    <xf numFmtId="0" fontId="113" fillId="32" borderId="23" xfId="1" applyFont="1" applyFill="1" applyBorder="1" applyAlignment="1" applyProtection="1">
      <alignment horizontal="center" vertical="center"/>
    </xf>
    <xf numFmtId="0" fontId="99" fillId="32" borderId="23" xfId="1" applyFont="1" applyFill="1" applyBorder="1" applyAlignment="1" applyProtection="1">
      <alignment horizontal="center" vertical="center"/>
    </xf>
    <xf numFmtId="0" fontId="116" fillId="2" borderId="25" xfId="0" applyNumberFormat="1" applyFont="1" applyFill="1" applyBorder="1" applyAlignment="1" applyProtection="1">
      <alignment horizontal="center" vertical="center" wrapText="1"/>
    </xf>
    <xf numFmtId="0" fontId="117" fillId="2" borderId="25" xfId="1" applyNumberFormat="1" applyFont="1" applyFill="1" applyBorder="1" applyAlignment="1" applyProtection="1">
      <alignment horizontal="center" vertical="center" wrapText="1"/>
    </xf>
    <xf numFmtId="164" fontId="91" fillId="0" borderId="25" xfId="0" applyNumberFormat="1" applyFont="1" applyBorder="1" applyAlignment="1" applyProtection="1">
      <alignment horizontal="center" vertical="center" wrapText="1"/>
    </xf>
    <xf numFmtId="164" fontId="98" fillId="2" borderId="23" xfId="0" applyNumberFormat="1" applyFont="1" applyFill="1" applyBorder="1" applyAlignment="1" applyProtection="1">
      <alignment horizontal="center" vertical="center" wrapText="1"/>
    </xf>
    <xf numFmtId="167" fontId="91" fillId="5" borderId="0" xfId="4" quotePrefix="1" applyNumberFormat="1" applyFont="1" applyFill="1" applyBorder="1" applyAlignment="1" applyProtection="1">
      <alignment horizontal="left" vertical="center" indent="2"/>
    </xf>
    <xf numFmtId="0" fontId="91" fillId="2" borderId="0" xfId="1" applyNumberFormat="1" applyFont="1" applyFill="1" applyBorder="1" applyAlignment="1" applyProtection="1">
      <alignment horizontal="left" vertical="center" wrapText="1"/>
    </xf>
    <xf numFmtId="164" fontId="91" fillId="0" borderId="0" xfId="0" applyFont="1" applyBorder="1" applyAlignment="1" applyProtection="1">
      <alignment horizontal="left" wrapText="1"/>
    </xf>
    <xf numFmtId="0" fontId="91" fillId="2" borderId="0" xfId="1" applyNumberFormat="1" applyFont="1" applyFill="1" applyBorder="1" applyAlignment="1" applyProtection="1">
      <alignment horizontal="left" vertical="center" wrapText="1"/>
      <protection locked="0"/>
    </xf>
    <xf numFmtId="0" fontId="91" fillId="0" borderId="0" xfId="1" applyNumberFormat="1" applyFont="1" applyFill="1" applyBorder="1" applyAlignment="1" applyProtection="1">
      <alignment horizontal="left" vertical="center" wrapText="1"/>
    </xf>
    <xf numFmtId="164" fontId="91" fillId="0" borderId="0" xfId="0" applyFont="1" applyFill="1" applyBorder="1" applyAlignment="1" applyProtection="1">
      <alignment horizontal="left" indent="1"/>
    </xf>
    <xf numFmtId="164" fontId="91" fillId="0" borderId="0" xfId="0" quotePrefix="1" applyFont="1" applyFill="1" applyBorder="1" applyAlignment="1" applyProtection="1">
      <alignment horizontal="left" indent="2"/>
    </xf>
    <xf numFmtId="164" fontId="91" fillId="0" borderId="0" xfId="0" quotePrefix="1" applyFont="1" applyFill="1" applyBorder="1" applyAlignment="1" applyProtection="1">
      <alignment horizontal="left" vertical="center" indent="2"/>
    </xf>
    <xf numFmtId="164" fontId="91" fillId="0" borderId="0" xfId="0" applyFont="1" applyAlignment="1">
      <alignment horizontal="left" indent="2"/>
    </xf>
    <xf numFmtId="0" fontId="98" fillId="0" borderId="0" xfId="0" applyNumberFormat="1" applyFont="1" applyFill="1" applyBorder="1" applyAlignment="1" applyProtection="1">
      <alignment horizontal="left" vertical="center" wrapText="1" indent="18"/>
    </xf>
    <xf numFmtId="167" fontId="91" fillId="0" borderId="0" xfId="0" applyNumberFormat="1" applyFont="1" applyBorder="1" applyAlignment="1" applyProtection="1">
      <alignment horizontal="left" vertical="center" wrapText="1" indent="20"/>
    </xf>
    <xf numFmtId="0" fontId="98" fillId="0" borderId="0" xfId="0" applyNumberFormat="1" applyFont="1" applyBorder="1" applyAlignment="1" applyProtection="1">
      <alignment horizontal="left" vertical="center" wrapText="1" indent="18"/>
    </xf>
    <xf numFmtId="0" fontId="91" fillId="0" borderId="0" xfId="0" quotePrefix="1" applyNumberFormat="1" applyFont="1" applyBorder="1" applyAlignment="1" applyProtection="1">
      <alignment horizontal="left" vertical="center" wrapText="1" indent="2"/>
    </xf>
    <xf numFmtId="164" fontId="91" fillId="2" borderId="0" xfId="0" applyNumberFormat="1" applyFont="1" applyFill="1" applyBorder="1" applyAlignment="1" applyProtection="1">
      <alignment horizontal="left" wrapText="1" indent="1"/>
    </xf>
    <xf numFmtId="164" fontId="91" fillId="2" borderId="0" xfId="0" applyNumberFormat="1" applyFont="1" applyFill="1" applyBorder="1" applyAlignment="1" applyProtection="1">
      <alignment horizontal="left" vertical="top" wrapText="1" indent="1"/>
    </xf>
    <xf numFmtId="164" fontId="91" fillId="2" borderId="0" xfId="0" quotePrefix="1" applyNumberFormat="1" applyFont="1" applyFill="1" applyBorder="1" applyAlignment="1" applyProtection="1">
      <alignment horizontal="left" wrapText="1" indent="2"/>
    </xf>
    <xf numFmtId="164" fontId="91" fillId="2" borderId="0" xfId="0" quotePrefix="1" applyNumberFormat="1" applyFont="1" applyFill="1" applyBorder="1" applyAlignment="1" applyProtection="1">
      <alignment horizontal="left" vertical="center" wrapText="1" indent="2"/>
    </xf>
    <xf numFmtId="164" fontId="91" fillId="2" borderId="0" xfId="0" quotePrefix="1" applyNumberFormat="1" applyFont="1" applyFill="1" applyBorder="1" applyAlignment="1" applyProtection="1">
      <alignment horizontal="left" vertical="top" wrapText="1" indent="2"/>
    </xf>
    <xf numFmtId="164" fontId="91" fillId="0" borderId="0" xfId="0" quotePrefix="1" applyNumberFormat="1" applyFont="1" applyBorder="1" applyAlignment="1" applyProtection="1">
      <alignment horizontal="left" vertical="center" wrapText="1" indent="2"/>
    </xf>
    <xf numFmtId="164" fontId="91" fillId="0" borderId="0" xfId="0" quotePrefix="1" applyNumberFormat="1" applyFont="1" applyBorder="1" applyAlignment="1" applyProtection="1">
      <alignment horizontal="left" vertical="center" wrapText="1" indent="3"/>
    </xf>
    <xf numFmtId="164" fontId="91" fillId="0" borderId="0" xfId="0" quotePrefix="1" applyNumberFormat="1" applyFont="1" applyFill="1" applyBorder="1" applyAlignment="1" applyProtection="1">
      <alignment horizontal="left" vertical="center" wrapText="1" indent="3"/>
    </xf>
    <xf numFmtId="164" fontId="91" fillId="0" borderId="0" xfId="1" applyNumberFormat="1" applyFont="1" applyFill="1" applyBorder="1" applyAlignment="1" applyProtection="1">
      <alignment horizontal="left" vertical="center" wrapText="1" indent="3"/>
    </xf>
    <xf numFmtId="167" fontId="91" fillId="0" borderId="0" xfId="0" applyNumberFormat="1" applyFont="1" applyFill="1" applyBorder="1" applyAlignment="1" applyProtection="1">
      <alignment horizontal="left" vertical="center" wrapText="1" indent="4"/>
    </xf>
    <xf numFmtId="0" fontId="91" fillId="2" borderId="0" xfId="1" applyNumberFormat="1" applyFont="1" applyFill="1" applyBorder="1" applyAlignment="1" applyProtection="1">
      <alignment horizontal="left" vertical="center" wrapText="1" indent="2"/>
    </xf>
    <xf numFmtId="0" fontId="91" fillId="0" borderId="0" xfId="1" applyNumberFormat="1" applyFont="1" applyFill="1" applyBorder="1" applyAlignment="1" applyProtection="1">
      <alignment horizontal="left" vertical="center" wrapText="1" indent="2"/>
    </xf>
    <xf numFmtId="164" fontId="91" fillId="0" borderId="0" xfId="0" applyFont="1" applyBorder="1" applyAlignment="1" applyProtection="1">
      <alignment horizontal="left" wrapText="1" indent="2"/>
    </xf>
    <xf numFmtId="164" fontId="91" fillId="2" borderId="0" xfId="1" applyNumberFormat="1" applyFont="1" applyFill="1" applyBorder="1" applyAlignment="1" applyProtection="1">
      <alignment horizontal="left" vertical="center" wrapText="1" indent="2"/>
    </xf>
    <xf numFmtId="164" fontId="91" fillId="0" borderId="0" xfId="0" applyFont="1" applyFill="1" applyBorder="1" applyAlignment="1" applyProtection="1">
      <alignment horizontal="left" indent="2"/>
    </xf>
    <xf numFmtId="167" fontId="91" fillId="0" borderId="0" xfId="0" quotePrefix="1" applyNumberFormat="1" applyFont="1" applyBorder="1" applyAlignment="1" applyProtection="1">
      <alignment horizontal="left" vertical="center" wrapText="1" indent="3"/>
    </xf>
    <xf numFmtId="167" fontId="91" fillId="5" borderId="0" xfId="4" quotePrefix="1" applyNumberFormat="1" applyFont="1" applyFill="1" applyBorder="1" applyAlignment="1" applyProtection="1">
      <alignment horizontal="left" vertical="center"/>
    </xf>
    <xf numFmtId="166" fontId="91" fillId="0" borderId="2" xfId="0" applyNumberFormat="1" applyFont="1" applyFill="1" applyBorder="1" applyAlignment="1" applyProtection="1">
      <alignment horizontal="right"/>
    </xf>
    <xf numFmtId="0" fontId="98" fillId="0" borderId="0" xfId="0" applyNumberFormat="1" applyFont="1" applyFill="1" applyBorder="1" applyAlignment="1" applyProtection="1">
      <alignment horizontal="center" wrapText="1"/>
    </xf>
    <xf numFmtId="0"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protection locked="0"/>
    </xf>
    <xf numFmtId="0" fontId="91" fillId="0" borderId="2" xfId="0" applyNumberFormat="1" applyFont="1" applyFill="1" applyBorder="1" applyAlignment="1" applyProtection="1">
      <alignment horizontal="right" vertical="center" wrapText="1"/>
    </xf>
    <xf numFmtId="166" fontId="91" fillId="2" borderId="2" xfId="0" applyNumberFormat="1" applyFont="1" applyFill="1" applyBorder="1" applyAlignment="1" applyProtection="1">
      <alignment horizontal="right" vertical="center"/>
      <protection locked="0"/>
    </xf>
    <xf numFmtId="168" fontId="91" fillId="0" borderId="2" xfId="0" applyNumberFormat="1" applyFont="1" applyFill="1" applyBorder="1" applyAlignment="1" applyProtection="1">
      <alignment horizontal="right" vertical="center" wrapText="1"/>
    </xf>
    <xf numFmtId="164" fontId="107" fillId="0" borderId="0" xfId="0" applyFont="1" applyBorder="1" applyAlignment="1">
      <alignment horizontal="right" vertical="center"/>
    </xf>
    <xf numFmtId="164" fontId="109" fillId="0" borderId="0" xfId="0" applyFont="1" applyBorder="1" applyAlignment="1">
      <alignment horizontal="right" vertical="center"/>
    </xf>
    <xf numFmtId="166" fontId="98" fillId="6" borderId="2" xfId="0" applyNumberFormat="1" applyFont="1" applyFill="1" applyBorder="1" applyAlignment="1" applyProtection="1">
      <alignment horizontal="right" vertical="center"/>
    </xf>
    <xf numFmtId="166" fontId="91" fillId="5" borderId="2" xfId="0" applyNumberFormat="1" applyFont="1" applyFill="1" applyBorder="1" applyAlignment="1" applyProtection="1">
      <alignment horizontal="right" vertical="center"/>
    </xf>
    <xf numFmtId="164" fontId="91" fillId="2" borderId="0" xfId="0" applyNumberFormat="1" applyFont="1" applyFill="1" applyBorder="1" applyAlignment="1" applyProtection="1">
      <alignment horizontal="left" vertical="center" wrapText="1" indent="6"/>
    </xf>
    <xf numFmtId="164" fontId="91" fillId="2" borderId="0" xfId="0" applyNumberFormat="1" applyFont="1" applyFill="1" applyBorder="1" applyAlignment="1" applyProtection="1">
      <alignment horizontal="left" vertical="center" wrapText="1" indent="7"/>
    </xf>
    <xf numFmtId="164" fontId="32" fillId="0" borderId="21" xfId="0" applyFont="1" applyFill="1" applyBorder="1" applyProtection="1"/>
    <xf numFmtId="164" fontId="91" fillId="0" borderId="0" xfId="0" quotePrefix="1" applyNumberFormat="1" applyFont="1" applyBorder="1" applyAlignment="1" applyProtection="1">
      <alignment horizontal="left" vertical="center" wrapText="1" indent="4"/>
    </xf>
    <xf numFmtId="164" fontId="91" fillId="0" borderId="0" xfId="1" applyNumberFormat="1" applyFont="1" applyFill="1" applyBorder="1" applyAlignment="1" applyProtection="1">
      <alignment horizontal="left" vertical="center" wrapText="1" indent="2"/>
    </xf>
    <xf numFmtId="164" fontId="12" fillId="5" borderId="0" xfId="4" applyFont="1" applyFill="1" applyBorder="1" applyAlignment="1" applyProtection="1">
      <alignment horizontal="left" vertical="center" indent="2"/>
    </xf>
    <xf numFmtId="168" fontId="106" fillId="0" borderId="13" xfId="0" applyNumberFormat="1" applyFont="1" applyFill="1" applyBorder="1" applyAlignment="1" applyProtection="1">
      <alignment horizontal="right" vertical="center" wrapText="1"/>
    </xf>
    <xf numFmtId="0" fontId="91" fillId="32" borderId="0" xfId="1" applyNumberFormat="1" applyFont="1" applyFill="1" applyBorder="1" applyAlignment="1" applyProtection="1">
      <alignment horizontal="left" vertical="center" wrapText="1" indent="2"/>
    </xf>
    <xf numFmtId="0" fontId="91"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4"/>
      <protection locked="0"/>
    </xf>
    <xf numFmtId="164"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4"/>
    </xf>
    <xf numFmtId="164" fontId="91" fillId="37" borderId="0" xfId="1" applyNumberFormat="1" applyFont="1" applyFill="1" applyBorder="1" applyAlignment="1" applyProtection="1">
      <alignment horizontal="left" vertical="center" wrapText="1" indent="4"/>
    </xf>
    <xf numFmtId="167" fontId="91" fillId="2" borderId="0" xfId="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protection locked="0"/>
    </xf>
    <xf numFmtId="167" fontId="91" fillId="0" borderId="0" xfId="0" applyNumberFormat="1" applyFont="1" applyBorder="1" applyAlignment="1" applyProtection="1">
      <alignment horizontal="left" vertical="center" wrapText="1" indent="3"/>
    </xf>
    <xf numFmtId="167" fontId="91" fillId="5" borderId="0" xfId="4" applyNumberFormat="1" applyFont="1" applyFill="1" applyBorder="1" applyAlignment="1" applyProtection="1">
      <alignment horizontal="left" vertical="center"/>
      <protection locked="0"/>
    </xf>
    <xf numFmtId="168" fontId="106" fillId="0" borderId="2" xfId="0" applyNumberFormat="1" applyFont="1" applyFill="1" applyBorder="1" applyAlignment="1" applyProtection="1">
      <alignment horizontal="right" wrapText="1"/>
    </xf>
    <xf numFmtId="166" fontId="91" fillId="5" borderId="13" xfId="0" applyNumberFormat="1" applyFont="1" applyFill="1" applyBorder="1" applyAlignment="1" applyProtection="1">
      <alignment horizontal="right" vertical="center"/>
    </xf>
    <xf numFmtId="164" fontId="91" fillId="0" borderId="0" xfId="0" applyNumberFormat="1" applyFont="1" applyBorder="1" applyAlignment="1" applyProtection="1">
      <alignment horizontal="left" vertical="center" wrapText="1" indent="4"/>
      <protection locked="0"/>
    </xf>
    <xf numFmtId="164" fontId="35" fillId="2" borderId="0" xfId="0" applyFont="1" applyFill="1"/>
    <xf numFmtId="167" fontId="35" fillId="2" borderId="0" xfId="0" applyNumberFormat="1" applyFont="1" applyFill="1"/>
    <xf numFmtId="167" fontId="35" fillId="2" borderId="0" xfId="0" applyNumberFormat="1" applyFont="1" applyFill="1" applyAlignment="1">
      <alignment horizontal="right"/>
    </xf>
    <xf numFmtId="164" fontId="130" fillId="2" borderId="46" xfId="0" applyFont="1" applyFill="1" applyBorder="1" applyAlignment="1">
      <alignment horizontal="center"/>
    </xf>
    <xf numFmtId="164" fontId="131" fillId="2" borderId="0" xfId="0" applyFont="1" applyFill="1" applyAlignment="1">
      <alignment vertical="top"/>
    </xf>
    <xf numFmtId="164" fontId="35" fillId="2" borderId="0" xfId="0" applyFont="1" applyFill="1" applyAlignment="1">
      <alignment vertical="top"/>
    </xf>
    <xf numFmtId="164" fontId="35" fillId="2" borderId="0" xfId="0" applyFont="1" applyFill="1" applyAlignment="1">
      <alignment horizontal="left" vertical="center" wrapText="1"/>
    </xf>
    <xf numFmtId="167"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protection locked="0"/>
    </xf>
    <xf numFmtId="0" fontId="91" fillId="0" borderId="30" xfId="0" applyNumberFormat="1" applyFont="1" applyFill="1" applyBorder="1" applyAlignment="1" applyProtection="1">
      <alignment horizontal="left" wrapText="1"/>
    </xf>
    <xf numFmtId="164" fontId="107" fillId="0" borderId="30" xfId="0" applyFont="1" applyFill="1" applyBorder="1" applyAlignment="1" applyProtection="1">
      <alignment horizontal="right"/>
    </xf>
    <xf numFmtId="0" fontId="127" fillId="17" borderId="0" xfId="0" applyNumberFormat="1" applyFont="1" applyFill="1" applyBorder="1" applyAlignment="1" applyProtection="1">
      <alignment horizontal="left" vertical="top"/>
    </xf>
    <xf numFmtId="0" fontId="132" fillId="32" borderId="36" xfId="1" applyFont="1" applyFill="1" applyBorder="1" applyAlignment="1" applyProtection="1">
      <alignment horizontal="center" vertical="center"/>
    </xf>
    <xf numFmtId="0" fontId="91" fillId="2" borderId="0" xfId="1" applyNumberFormat="1" applyFont="1" applyFill="1" applyBorder="1" applyAlignment="1" applyProtection="1">
      <alignment horizontal="left" vertical="center" wrapText="1" indent="1"/>
    </xf>
    <xf numFmtId="164" fontId="0" fillId="2" borderId="0" xfId="0" applyFill="1" applyBorder="1" applyAlignment="1">
      <alignment horizontal="left" vertical="center" indent="1"/>
    </xf>
    <xf numFmtId="0" fontId="91" fillId="0" borderId="0" xfId="0" applyNumberFormat="1" applyFont="1" applyBorder="1" applyAlignment="1" applyProtection="1">
      <alignment horizontal="left" vertical="center" wrapText="1" indent="1"/>
      <protection locked="0"/>
    </xf>
    <xf numFmtId="0" fontId="91" fillId="2" borderId="2" xfId="0" applyNumberFormat="1" applyFont="1" applyFill="1" applyBorder="1" applyAlignment="1" applyProtection="1">
      <alignment horizontal="left" vertical="center" wrapText="1" indent="1"/>
      <protection locked="0"/>
    </xf>
    <xf numFmtId="164" fontId="32" fillId="2" borderId="21" xfId="0" applyFont="1" applyFill="1" applyBorder="1" applyAlignment="1" applyProtection="1">
      <alignment horizontal="left" vertical="center" indent="1"/>
    </xf>
    <xf numFmtId="169" fontId="11" fillId="0" borderId="17" xfId="0" applyNumberFormat="1" applyFont="1" applyFill="1" applyBorder="1" applyAlignment="1" applyProtection="1">
      <alignment horizontal="left" vertical="center" wrapText="1" indent="1"/>
    </xf>
    <xf numFmtId="169" fontId="11" fillId="0" borderId="7" xfId="0" applyNumberFormat="1" applyFont="1" applyFill="1" applyBorder="1" applyAlignment="1" applyProtection="1">
      <alignment horizontal="left" vertical="center" wrapText="1" indent="1"/>
    </xf>
    <xf numFmtId="164" fontId="0" fillId="0" borderId="0" xfId="0" applyAlignment="1">
      <alignment horizontal="left" vertical="center" indent="1"/>
    </xf>
    <xf numFmtId="166" fontId="12" fillId="13" borderId="0" xfId="4" applyNumberFormat="1" applyFont="1" applyFill="1" applyBorder="1" applyAlignment="1" applyProtection="1">
      <alignment horizontal="left" vertical="center" indent="1"/>
    </xf>
    <xf numFmtId="166" fontId="12" fillId="11" borderId="0" xfId="4" applyNumberFormat="1" applyFont="1" applyFill="1" applyBorder="1" applyAlignment="1" applyProtection="1">
      <alignment horizontal="left" vertical="center" indent="1"/>
    </xf>
    <xf numFmtId="164" fontId="0" fillId="12" borderId="0" xfId="0" applyFill="1" applyBorder="1" applyAlignment="1">
      <alignment horizontal="left" vertical="center" indent="1"/>
    </xf>
    <xf numFmtId="164" fontId="0" fillId="0" borderId="14" xfId="0" applyBorder="1"/>
    <xf numFmtId="166" fontId="91" fillId="2" borderId="2" xfId="0" applyNumberFormat="1" applyFont="1" applyFill="1" applyBorder="1" applyAlignment="1" applyProtection="1">
      <alignment horizontal="right"/>
    </xf>
    <xf numFmtId="164" fontId="91" fillId="0" borderId="0" xfId="0" quotePrefix="1" applyFont="1" applyAlignment="1">
      <alignment horizontal="left" vertical="center" indent="2"/>
    </xf>
    <xf numFmtId="0" fontId="91" fillId="2" borderId="0" xfId="0" quotePrefix="1" applyNumberFormat="1" applyFont="1" applyFill="1" applyBorder="1" applyAlignment="1" applyProtection="1">
      <alignment horizontal="left" vertical="center" wrapText="1" indent="2"/>
    </xf>
    <xf numFmtId="164" fontId="91" fillId="0" borderId="0" xfId="0" applyFont="1" applyAlignment="1">
      <alignment horizontal="left" vertical="center"/>
    </xf>
    <xf numFmtId="164" fontId="91" fillId="0" borderId="0" xfId="0" applyFont="1" applyAlignment="1">
      <alignment horizontal="left" vertical="center" indent="1"/>
    </xf>
    <xf numFmtId="164" fontId="91" fillId="0" borderId="0" xfId="0" quotePrefix="1" applyFont="1" applyAlignment="1">
      <alignment horizontal="left" vertical="center" indent="1"/>
    </xf>
    <xf numFmtId="0" fontId="91" fillId="2" borderId="0" xfId="0" applyNumberFormat="1" applyFont="1" applyFill="1" applyBorder="1" applyAlignment="1" applyProtection="1">
      <alignment horizontal="left" vertical="center" wrapText="1"/>
      <protection locked="0"/>
    </xf>
    <xf numFmtId="164" fontId="91" fillId="0" borderId="0" xfId="0" quotePrefix="1" applyFont="1" applyAlignment="1" applyProtection="1">
      <alignment horizontal="left" vertical="center" indent="1"/>
      <protection locked="0"/>
    </xf>
    <xf numFmtId="164" fontId="91" fillId="0" borderId="0" xfId="0" applyFont="1" applyAlignment="1" applyProtection="1">
      <alignment horizontal="left" vertical="center" indent="1"/>
      <protection locked="0"/>
    </xf>
    <xf numFmtId="0" fontId="91" fillId="2" borderId="0" xfId="0" applyNumberFormat="1" applyFont="1" applyFill="1" applyBorder="1" applyAlignment="1" applyProtection="1">
      <alignment horizontal="left" vertical="center" wrapText="1" indent="3"/>
      <protection locked="0"/>
    </xf>
    <xf numFmtId="164" fontId="91" fillId="0" borderId="0" xfId="0" applyFont="1" applyAlignment="1" applyProtection="1">
      <alignment horizontal="left" vertical="center" indent="4"/>
      <protection locked="0"/>
    </xf>
    <xf numFmtId="0" fontId="91" fillId="2" borderId="0" xfId="0" applyNumberFormat="1" applyFont="1" applyFill="1" applyBorder="1" applyAlignment="1" applyProtection="1">
      <alignment horizontal="left" vertical="center" wrapText="1" indent="6"/>
      <protection locked="0"/>
    </xf>
    <xf numFmtId="164" fontId="91" fillId="0" borderId="0" xfId="0" applyFont="1" applyAlignment="1" applyProtection="1">
      <alignment horizontal="left" vertical="center" indent="7"/>
      <protection locked="0"/>
    </xf>
    <xf numFmtId="164" fontId="91" fillId="0" borderId="0" xfId="0" applyFont="1" applyAlignment="1" applyProtection="1">
      <alignment horizontal="left" vertical="center" indent="1"/>
    </xf>
    <xf numFmtId="164" fontId="91" fillId="0" borderId="0" xfId="0" applyFont="1" applyAlignment="1" applyProtection="1">
      <alignment horizontal="left" vertical="center" indent="3"/>
    </xf>
    <xf numFmtId="0" fontId="91" fillId="2" borderId="0" xfId="0" quotePrefix="1" applyNumberFormat="1" applyFont="1" applyFill="1" applyBorder="1" applyAlignment="1" applyProtection="1">
      <alignment horizontal="left" wrapText="1" indent="3"/>
    </xf>
    <xf numFmtId="164" fontId="91" fillId="0" borderId="0" xfId="1" applyNumberFormat="1" applyFont="1" applyFill="1" applyBorder="1" applyAlignment="1" applyProtection="1">
      <alignment horizontal="left" vertical="top" wrapText="1" indent="1"/>
    </xf>
    <xf numFmtId="164" fontId="91" fillId="0" borderId="0" xfId="0" applyNumberFormat="1" applyFont="1" applyBorder="1" applyAlignment="1" applyProtection="1">
      <alignment horizontal="left" vertical="center" wrapText="1" indent="1"/>
      <protection locked="0"/>
    </xf>
    <xf numFmtId="164" fontId="107" fillId="0" borderId="45" xfId="0" applyFont="1" applyFill="1" applyBorder="1" applyAlignment="1" applyProtection="1"/>
    <xf numFmtId="164" fontId="91" fillId="2" borderId="0" xfId="0" quotePrefix="1" applyNumberFormat="1" applyFont="1" applyFill="1" applyBorder="1" applyAlignment="1" applyProtection="1">
      <alignment horizontal="left" vertical="center" wrapText="1" indent="4"/>
    </xf>
    <xf numFmtId="167" fontId="91" fillId="0" borderId="0" xfId="0" applyNumberFormat="1" applyFont="1" applyBorder="1" applyAlignment="1" applyProtection="1">
      <alignment horizontal="left" vertical="center" wrapText="1" indent="5"/>
    </xf>
    <xf numFmtId="167" fontId="129" fillId="0" borderId="0" xfId="0" applyNumberFormat="1" applyFont="1" applyBorder="1" applyAlignment="1" applyProtection="1">
      <alignment vertical="center" wrapText="1"/>
    </xf>
    <xf numFmtId="1" fontId="0" fillId="12" borderId="0" xfId="0" applyNumberFormat="1" applyFill="1" applyBorder="1"/>
    <xf numFmtId="1" fontId="98" fillId="2" borderId="23" xfId="0" applyNumberFormat="1" applyFont="1" applyFill="1" applyBorder="1" applyAlignment="1" applyProtection="1">
      <alignment horizontal="center" vertical="center" wrapText="1"/>
      <protection locked="0"/>
    </xf>
    <xf numFmtId="164" fontId="98" fillId="2" borderId="23" xfId="0" applyNumberFormat="1" applyFont="1" applyFill="1" applyBorder="1" applyAlignment="1" applyProtection="1">
      <alignment horizontal="center" vertical="center" wrapText="1"/>
      <protection locked="0"/>
    </xf>
    <xf numFmtId="164" fontId="98" fillId="2" borderId="43" xfId="0" applyNumberFormat="1" applyFont="1" applyFill="1" applyBorder="1" applyAlignment="1" applyProtection="1">
      <alignment horizontal="center" vertical="center" wrapText="1"/>
      <protection locked="0"/>
    </xf>
    <xf numFmtId="164" fontId="98" fillId="2" borderId="44"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164" fontId="91" fillId="0" borderId="0" xfId="1" applyNumberFormat="1" applyFont="1" applyFill="1" applyBorder="1" applyAlignment="1" applyProtection="1">
      <alignment horizontal="left" vertical="center" wrapText="1" indent="5"/>
    </xf>
    <xf numFmtId="164" fontId="91" fillId="0" borderId="0" xfId="0" quotePrefix="1" applyNumberFormat="1" applyFont="1" applyFill="1" applyBorder="1" applyAlignment="1" applyProtection="1">
      <alignment horizontal="left" vertical="center" wrapText="1" indent="8"/>
    </xf>
    <xf numFmtId="167" fontId="91" fillId="0" borderId="0" xfId="0" quotePrefix="1" applyNumberFormat="1" applyFont="1" applyBorder="1" applyAlignment="1" applyProtection="1">
      <alignment horizontal="left" vertical="center" wrapText="1" indent="1"/>
    </xf>
    <xf numFmtId="164" fontId="91" fillId="2" borderId="0" xfId="1" applyNumberFormat="1" applyFont="1" applyFill="1" applyBorder="1" applyAlignment="1" applyProtection="1">
      <alignment horizontal="left" vertical="center" wrapText="1" indent="5"/>
    </xf>
    <xf numFmtId="164" fontId="91" fillId="2" borderId="0" xfId="1" applyNumberFormat="1" applyFont="1" applyFill="1" applyBorder="1" applyAlignment="1" applyProtection="1">
      <alignment horizontal="left" vertical="center" wrapText="1" indent="6"/>
    </xf>
    <xf numFmtId="164" fontId="91" fillId="2" borderId="0" xfId="1" applyNumberFormat="1" applyFont="1" applyFill="1" applyBorder="1" applyAlignment="1" applyProtection="1">
      <alignment horizontal="left" vertical="center" wrapText="1" indent="7"/>
    </xf>
    <xf numFmtId="164" fontId="91" fillId="2" borderId="0" xfId="1" applyNumberFormat="1" applyFont="1" applyFill="1" applyBorder="1" applyAlignment="1" applyProtection="1">
      <alignment horizontal="left" vertical="center" wrapText="1" indent="4"/>
    </xf>
    <xf numFmtId="168" fontId="91" fillId="0" borderId="2" xfId="0" applyNumberFormat="1" applyFont="1" applyFill="1" applyBorder="1" applyAlignment="1" applyProtection="1">
      <alignment vertical="center" wrapText="1"/>
    </xf>
    <xf numFmtId="168" fontId="106" fillId="0" borderId="2" xfId="0" applyNumberFormat="1" applyFont="1" applyFill="1" applyBorder="1" applyAlignment="1" applyProtection="1">
      <alignment vertical="center" wrapText="1"/>
    </xf>
    <xf numFmtId="166" fontId="91" fillId="0" borderId="2" xfId="0" applyNumberFormat="1" applyFont="1" applyBorder="1" applyAlignment="1" applyProtection="1">
      <alignment vertical="center"/>
      <protection locked="0"/>
    </xf>
    <xf numFmtId="0" fontId="133" fillId="0" borderId="0" xfId="0" applyNumberFormat="1" applyFont="1" applyBorder="1" applyAlignment="1" applyProtection="1">
      <alignment horizontal="left" vertical="center" wrapText="1"/>
    </xf>
    <xf numFmtId="0" fontId="91" fillId="0" borderId="0" xfId="0" quotePrefix="1" applyNumberFormat="1" applyFont="1" applyBorder="1" applyAlignment="1" applyProtection="1">
      <alignment horizontal="left" vertical="center" wrapText="1" indent="4"/>
    </xf>
    <xf numFmtId="0" fontId="98" fillId="2" borderId="0" xfId="0" applyNumberFormat="1" applyFont="1" applyFill="1" applyBorder="1" applyAlignment="1" applyProtection="1">
      <alignment horizontal="center" wrapText="1"/>
    </xf>
    <xf numFmtId="164" fontId="0" fillId="0" borderId="0" xfId="0" applyAlignment="1">
      <alignment horizontal="right" indent="1"/>
    </xf>
    <xf numFmtId="0" fontId="91" fillId="0" borderId="0" xfId="0" applyNumberFormat="1" applyFont="1" applyBorder="1" applyAlignment="1" applyProtection="1">
      <alignment horizontal="right" vertical="center" wrapText="1" indent="3"/>
    </xf>
    <xf numFmtId="0" fontId="98" fillId="0" borderId="0" xfId="0" applyNumberFormat="1" applyFont="1" applyBorder="1" applyAlignment="1" applyProtection="1">
      <alignment horizontal="right" vertical="center" wrapText="1" indent="3"/>
    </xf>
    <xf numFmtId="164" fontId="91" fillId="2" borderId="0" xfId="0" applyFont="1" applyFill="1" applyBorder="1" applyAlignment="1" applyProtection="1">
      <alignment horizontal="right"/>
    </xf>
    <xf numFmtId="0" fontId="0" fillId="12" borderId="0" xfId="0" applyNumberFormat="1" applyFill="1" applyBorder="1"/>
    <xf numFmtId="0" fontId="12" fillId="13" borderId="0" xfId="4" applyNumberFormat="1" applyFont="1" applyFill="1" applyBorder="1" applyAlignment="1" applyProtection="1">
      <alignment horizontal="center" vertical="center"/>
    </xf>
    <xf numFmtId="166" fontId="98" fillId="2" borderId="2" xfId="0" applyNumberFormat="1" applyFont="1" applyFill="1" applyBorder="1" applyAlignment="1" applyProtection="1">
      <alignment horizontal="right"/>
      <protection locked="0"/>
    </xf>
    <xf numFmtId="166" fontId="98" fillId="2" borderId="2" xfId="0" applyNumberFormat="1" applyFont="1" applyFill="1" applyBorder="1" applyAlignment="1" applyProtection="1">
      <alignment horizontal="right" vertical="center"/>
      <protection locked="0"/>
    </xf>
    <xf numFmtId="165" fontId="0" fillId="12" borderId="0" xfId="0" applyNumberFormat="1" applyFill="1" applyBorder="1"/>
    <xf numFmtId="165" fontId="0" fillId="12" borderId="0" xfId="0" applyNumberFormat="1" applyFill="1" applyAlignment="1">
      <alignment vertical="center"/>
    </xf>
    <xf numFmtId="0" fontId="91" fillId="0" borderId="0" xfId="0" applyNumberFormat="1" applyFont="1" applyFill="1" applyBorder="1" applyAlignment="1" applyProtection="1">
      <alignment vertical="center" wrapText="1"/>
    </xf>
    <xf numFmtId="164" fontId="91" fillId="0" borderId="0" xfId="0" applyNumberFormat="1" applyFont="1" applyFill="1" applyBorder="1" applyAlignment="1" applyProtection="1">
      <alignment horizontal="right" vertical="center" wrapText="1" indent="1"/>
    </xf>
    <xf numFmtId="168" fontId="106" fillId="0" borderId="14" xfId="0" applyNumberFormat="1" applyFont="1" applyFill="1" applyBorder="1" applyAlignment="1" applyProtection="1">
      <alignment horizontal="right" wrapText="1"/>
    </xf>
    <xf numFmtId="164" fontId="0" fillId="0" borderId="4" xfId="0" applyBorder="1" applyAlignment="1">
      <alignment vertical="center"/>
    </xf>
    <xf numFmtId="164" fontId="0" fillId="0" borderId="28" xfId="0" applyBorder="1" applyAlignment="1">
      <alignment vertical="center"/>
    </xf>
    <xf numFmtId="1" fontId="35" fillId="12" borderId="0" xfId="0" applyNumberFormat="1" applyFont="1" applyFill="1" applyBorder="1" applyAlignment="1" applyProtection="1">
      <alignment horizontal="center" vertical="top"/>
    </xf>
    <xf numFmtId="1" fontId="35" fillId="12" borderId="0" xfId="0" applyNumberFormat="1" applyFont="1" applyFill="1" applyBorder="1" applyAlignment="1" applyProtection="1">
      <alignment horizontal="center" vertical="center"/>
    </xf>
    <xf numFmtId="164" fontId="0" fillId="0" borderId="4" xfId="0" applyBorder="1"/>
    <xf numFmtId="164" fontId="55" fillId="2" borderId="0" xfId="0" applyFont="1" applyFill="1" applyAlignment="1">
      <alignment horizontal="left" vertical="center"/>
    </xf>
    <xf numFmtId="164" fontId="35" fillId="2" borderId="0" xfId="0" applyFont="1" applyFill="1" applyAlignment="1" applyProtection="1">
      <alignment horizontal="left" vertical="center" wrapText="1"/>
      <protection locked="0"/>
    </xf>
    <xf numFmtId="167" fontId="91" fillId="0" borderId="0" xfId="0" applyNumberFormat="1" applyFont="1" applyFill="1" applyBorder="1" applyAlignment="1" applyProtection="1">
      <alignment horizontal="left" vertical="center" wrapText="1" indent="2"/>
    </xf>
    <xf numFmtId="0" fontId="141" fillId="32" borderId="36" xfId="1" applyFill="1" applyBorder="1" applyAlignment="1" applyProtection="1">
      <alignment horizontal="center" vertical="center"/>
    </xf>
    <xf numFmtId="164" fontId="0" fillId="0" borderId="0" xfId="0" applyAlignment="1">
      <alignment horizontal="right" vertical="center"/>
    </xf>
    <xf numFmtId="164" fontId="136" fillId="0" borderId="0" xfId="0" applyFont="1" applyBorder="1"/>
    <xf numFmtId="0" fontId="137" fillId="2" borderId="0" xfId="0" applyNumberFormat="1" applyFont="1" applyFill="1" applyBorder="1" applyProtection="1"/>
    <xf numFmtId="164" fontId="136" fillId="0" borderId="0" xfId="0" applyFont="1"/>
    <xf numFmtId="164" fontId="138" fillId="0" borderId="0" xfId="0" applyFont="1" applyBorder="1"/>
    <xf numFmtId="164" fontId="140" fillId="0" borderId="0" xfId="0" applyFont="1" applyBorder="1"/>
    <xf numFmtId="164" fontId="140" fillId="0" borderId="0" xfId="0" applyFont="1"/>
    <xf numFmtId="164" fontId="32" fillId="2" borderId="0" xfId="0" applyFont="1" applyFill="1" applyBorder="1" applyAlignment="1" applyProtection="1">
      <alignment vertical="top"/>
    </xf>
    <xf numFmtId="164" fontId="32" fillId="2" borderId="0" xfId="0" applyFont="1" applyFill="1" applyBorder="1" applyAlignment="1" applyProtection="1">
      <alignment vertical="center"/>
    </xf>
    <xf numFmtId="164" fontId="32" fillId="2" borderId="0" xfId="0" applyFont="1" applyFill="1" applyBorder="1" applyAlignment="1" applyProtection="1">
      <alignment horizontal="left" vertical="center" indent="5"/>
    </xf>
    <xf numFmtId="164" fontId="32" fillId="2" borderId="0" xfId="0" applyFont="1" applyFill="1" applyBorder="1" applyAlignment="1" applyProtection="1">
      <alignment horizontal="left" vertical="center" indent="1"/>
    </xf>
    <xf numFmtId="164" fontId="32" fillId="2" borderId="0" xfId="0" applyFont="1" applyFill="1" applyBorder="1" applyAlignment="1" applyProtection="1">
      <alignment horizontal="center" vertical="center"/>
    </xf>
    <xf numFmtId="164" fontId="32" fillId="8" borderId="0" xfId="0" applyFont="1" applyFill="1" applyBorder="1" applyProtection="1"/>
    <xf numFmtId="1" fontId="31" fillId="24" borderId="17" xfId="0" applyNumberFormat="1" applyFont="1" applyFill="1" applyBorder="1" applyAlignment="1" applyProtection="1">
      <alignment horizontal="center" vertical="center"/>
      <protection locked="0"/>
    </xf>
    <xf numFmtId="164" fontId="0" fillId="0" borderId="21" xfId="0" applyBorder="1" applyAlignment="1">
      <alignment horizontal="center"/>
    </xf>
    <xf numFmtId="164" fontId="91" fillId="0" borderId="0" xfId="0" applyNumberFormat="1" applyFont="1" applyFill="1" applyBorder="1" applyAlignment="1" applyProtection="1">
      <alignment horizontal="left" vertical="center" wrapText="1" indent="6"/>
    </xf>
    <xf numFmtId="164" fontId="91" fillId="0" borderId="0" xfId="0" applyNumberFormat="1" applyFont="1" applyFill="1" applyBorder="1" applyAlignment="1" applyProtection="1">
      <alignment horizontal="left" vertical="center" wrapText="1" indent="3"/>
    </xf>
    <xf numFmtId="164" fontId="91" fillId="0" borderId="0" xfId="0" applyNumberFormat="1" applyFont="1" applyFill="1" applyBorder="1" applyAlignment="1" applyProtection="1">
      <alignment horizontal="left" vertical="center" wrapText="1" indent="4"/>
    </xf>
    <xf numFmtId="0" fontId="91" fillId="0"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wrapText="1" indent="3"/>
      <protection locked="0"/>
    </xf>
    <xf numFmtId="0" fontId="98" fillId="2" borderId="0" xfId="0" applyNumberFormat="1" applyFont="1" applyFill="1" applyBorder="1" applyAlignment="1" applyProtection="1">
      <alignment horizontal="center" vertical="center" wrapText="1"/>
    </xf>
    <xf numFmtId="0" fontId="142" fillId="39" borderId="52" xfId="1" applyFont="1" applyFill="1" applyAlignment="1" applyProtection="1">
      <alignment horizontal="center"/>
    </xf>
    <xf numFmtId="0" fontId="142" fillId="38" borderId="52" xfId="1" applyFont="1" applyAlignment="1" applyProtection="1">
      <alignment horizontal="center"/>
    </xf>
    <xf numFmtId="0" fontId="142" fillId="39" borderId="52" xfId="1" applyNumberFormat="1" applyFont="1" applyFill="1" applyAlignment="1" applyProtection="1">
      <alignment horizontal="center" vertical="center" wrapText="1"/>
      <protection locked="0"/>
    </xf>
    <xf numFmtId="0" fontId="142" fillId="39" borderId="52" xfId="1" applyNumberFormat="1" applyFont="1" applyFill="1" applyAlignment="1" applyProtection="1">
      <alignment horizontal="center" wrapText="1"/>
    </xf>
    <xf numFmtId="164" fontId="142" fillId="39" borderId="52" xfId="1" applyNumberFormat="1" applyFont="1" applyFill="1" applyAlignment="1" applyProtection="1">
      <alignment horizontal="center" vertical="center"/>
    </xf>
    <xf numFmtId="0" fontId="142" fillId="39" borderId="52" xfId="1" applyFont="1" applyFill="1" applyAlignment="1" applyProtection="1">
      <alignment horizontal="center" vertical="center"/>
    </xf>
    <xf numFmtId="164" fontId="142" fillId="39" borderId="52" xfId="1" applyNumberFormat="1" applyFont="1" applyFill="1" applyAlignment="1" applyProtection="1">
      <alignment horizontal="center"/>
    </xf>
    <xf numFmtId="0" fontId="142" fillId="39" borderId="52" xfId="1" applyNumberFormat="1" applyFont="1" applyFill="1" applyAlignment="1" applyProtection="1">
      <alignment horizontal="center" vertical="center" wrapText="1"/>
    </xf>
    <xf numFmtId="0" fontId="132" fillId="32" borderId="27" xfId="1" applyFont="1" applyFill="1" applyBorder="1" applyAlignment="1" applyProtection="1">
      <alignment horizontal="center" vertical="center"/>
    </xf>
    <xf numFmtId="164" fontId="91" fillId="0" borderId="0" xfId="0" applyFont="1" applyAlignment="1">
      <alignment horizontal="left" vertical="center" indent="4"/>
    </xf>
    <xf numFmtId="0" fontId="45" fillId="7" borderId="0" xfId="0" applyNumberFormat="1" applyFont="1" applyFill="1" applyBorder="1" applyAlignment="1" applyProtection="1">
      <alignment horizontal="left"/>
    </xf>
    <xf numFmtId="164" fontId="124" fillId="0" borderId="45" xfId="0" applyFont="1" applyBorder="1"/>
    <xf numFmtId="0" fontId="142" fillId="40" borderId="52" xfId="1" applyNumberFormat="1" applyFont="1" applyFill="1" applyAlignment="1" applyProtection="1">
      <alignment horizontal="center" wrapText="1"/>
    </xf>
    <xf numFmtId="0" fontId="143" fillId="0" borderId="0" xfId="0" applyNumberFormat="1" applyFont="1" applyBorder="1" applyAlignment="1" applyProtection="1">
      <alignment vertical="center" wrapText="1"/>
    </xf>
    <xf numFmtId="0" fontId="84" fillId="2" borderId="0" xfId="1" applyNumberFormat="1" applyFont="1" applyFill="1" applyBorder="1" applyAlignment="1" applyProtection="1">
      <alignment horizontal="left" vertical="center" wrapText="1" indent="5"/>
    </xf>
    <xf numFmtId="164" fontId="84" fillId="41" borderId="0" xfId="1" applyNumberFormat="1" applyFont="1" applyFill="1" applyBorder="1" applyAlignment="1" applyProtection="1">
      <alignment horizontal="left" indent="5"/>
    </xf>
    <xf numFmtId="0" fontId="84" fillId="2" borderId="0" xfId="1" applyNumberFormat="1" applyFont="1" applyFill="1" applyBorder="1" applyAlignment="1" applyProtection="1">
      <alignment horizontal="left" wrapText="1" indent="5"/>
    </xf>
    <xf numFmtId="164" fontId="91" fillId="0" borderId="0" xfId="0" applyFont="1" applyFill="1" applyBorder="1" applyAlignment="1" applyProtection="1">
      <alignment horizontal="left" vertical="center" wrapText="1" indent="2"/>
    </xf>
    <xf numFmtId="0" fontId="98"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6"/>
      <protection locked="0"/>
    </xf>
    <xf numFmtId="0" fontId="91" fillId="37" borderId="0" xfId="1" applyNumberFormat="1" applyFont="1" applyFill="1" applyBorder="1" applyAlignment="1" applyProtection="1">
      <alignment horizontal="left" vertical="center" wrapText="1" indent="7"/>
      <protection locked="0"/>
    </xf>
    <xf numFmtId="0" fontId="91" fillId="37" borderId="0" xfId="1" applyNumberFormat="1" applyFont="1" applyFill="1" applyBorder="1" applyAlignment="1" applyProtection="1">
      <alignment horizontal="left" vertical="center" wrapText="1" indent="8"/>
      <protection locked="0"/>
    </xf>
    <xf numFmtId="0" fontId="91" fillId="37" borderId="0" xfId="1" applyNumberFormat="1" applyFont="1" applyFill="1" applyBorder="1" applyAlignment="1" applyProtection="1">
      <alignment horizontal="left" vertical="center" wrapText="1" indent="9"/>
      <protection locked="0"/>
    </xf>
    <xf numFmtId="0" fontId="98" fillId="42" borderId="0" xfId="0" applyNumberFormat="1" applyFont="1" applyFill="1" applyBorder="1" applyAlignment="1" applyProtection="1">
      <alignment horizontal="center" wrapText="1"/>
    </xf>
    <xf numFmtId="164" fontId="91" fillId="37" borderId="0" xfId="0" applyNumberFormat="1" applyFont="1" applyFill="1" applyBorder="1" applyAlignment="1" applyProtection="1">
      <alignment horizontal="left" vertical="center" wrapText="1"/>
    </xf>
    <xf numFmtId="164" fontId="91" fillId="37" borderId="0" xfId="1" applyNumberFormat="1" applyFont="1" applyFill="1" applyBorder="1" applyAlignment="1" applyProtection="1">
      <alignment horizontal="left" vertical="center" wrapText="1" indent="1"/>
    </xf>
    <xf numFmtId="164" fontId="91" fillId="37" borderId="0" xfId="0" applyNumberFormat="1" applyFont="1" applyFill="1" applyBorder="1" applyAlignment="1" applyProtection="1">
      <alignment horizontal="left" vertical="center" wrapText="1" indent="1"/>
    </xf>
    <xf numFmtId="164" fontId="91" fillId="37" borderId="0" xfId="1" applyNumberFormat="1" applyFont="1" applyFill="1" applyBorder="1" applyAlignment="1" applyProtection="1">
      <alignment horizontal="left" vertical="center" wrapText="1" indent="3"/>
    </xf>
    <xf numFmtId="164" fontId="91" fillId="37" borderId="0" xfId="1" applyNumberFormat="1" applyFont="1" applyFill="1" applyBorder="1" applyAlignment="1" applyProtection="1">
      <alignment horizontal="left" vertical="center" wrapText="1" indent="6"/>
    </xf>
    <xf numFmtId="164" fontId="98" fillId="2" borderId="0" xfId="0" applyNumberFormat="1" applyFont="1" applyFill="1" applyBorder="1" applyAlignment="1" applyProtection="1">
      <alignment horizontal="center" wrapText="1"/>
    </xf>
    <xf numFmtId="166" fontId="91" fillId="37" borderId="2" xfId="0" applyNumberFormat="1" applyFont="1" applyFill="1" applyBorder="1" applyAlignment="1" applyProtection="1">
      <alignment horizontal="right"/>
      <protection locked="0"/>
    </xf>
    <xf numFmtId="0" fontId="91" fillId="42" borderId="0" xfId="0" applyNumberFormat="1" applyFont="1" applyFill="1" applyBorder="1" applyAlignment="1" applyProtection="1">
      <alignment horizontal="right" wrapText="1"/>
    </xf>
    <xf numFmtId="168" fontId="84" fillId="0" borderId="2" xfId="0" applyNumberFormat="1" applyFont="1" applyFill="1" applyBorder="1" applyAlignment="1" applyProtection="1">
      <alignment horizontal="right" vertical="center" wrapText="1"/>
    </xf>
    <xf numFmtId="166" fontId="84" fillId="5" borderId="1" xfId="0" applyNumberFormat="1" applyFont="1" applyFill="1" applyBorder="1" applyAlignment="1" applyProtection="1">
      <alignment horizontal="right" vertical="center"/>
      <protection locked="0"/>
    </xf>
    <xf numFmtId="166" fontId="84" fillId="5" borderId="2" xfId="0" applyNumberFormat="1" applyFont="1" applyFill="1" applyBorder="1" applyAlignment="1" applyProtection="1">
      <alignment horizontal="right" vertical="center"/>
      <protection locked="0"/>
    </xf>
    <xf numFmtId="168" fontId="84" fillId="0" borderId="2" xfId="0" applyNumberFormat="1" applyFont="1" applyFill="1" applyBorder="1" applyAlignment="1" applyProtection="1">
      <alignment vertical="center" wrapText="1"/>
    </xf>
    <xf numFmtId="166" fontId="84" fillId="5" borderId="2" xfId="0" applyNumberFormat="1" applyFont="1" applyFill="1" applyBorder="1" applyAlignment="1" applyProtection="1">
      <alignment vertical="center"/>
      <protection locked="0"/>
    </xf>
    <xf numFmtId="164" fontId="142" fillId="43" borderId="52" xfId="1" applyNumberFormat="1" applyFont="1" applyFill="1" applyAlignment="1" applyProtection="1">
      <alignment horizontal="center" vertical="center"/>
    </xf>
    <xf numFmtId="0" fontId="41" fillId="0" borderId="0" xfId="0" applyNumberFormat="1" applyFont="1" applyBorder="1" applyAlignment="1" applyProtection="1">
      <alignment horizontal="right" vertical="center" wrapText="1" indent="3"/>
    </xf>
    <xf numFmtId="1" fontId="144" fillId="0" borderId="0" xfId="0" applyNumberFormat="1" applyFont="1" applyBorder="1" applyAlignment="1" applyProtection="1">
      <alignment horizontal="right" vertical="center" wrapText="1" indent="3"/>
    </xf>
    <xf numFmtId="164" fontId="33" fillId="0" borderId="0" xfId="0" applyFont="1" applyAlignment="1">
      <alignment horizontal="right" indent="3"/>
    </xf>
    <xf numFmtId="1" fontId="144" fillId="0" borderId="0" xfId="0" applyNumberFormat="1" applyFont="1" applyBorder="1" applyAlignment="1" applyProtection="1">
      <alignment horizontal="left" vertical="center" wrapText="1" indent="1"/>
    </xf>
    <xf numFmtId="164" fontId="41" fillId="2" borderId="0" xfId="0" applyNumberFormat="1" applyFont="1" applyFill="1" applyBorder="1" applyAlignment="1" applyProtection="1">
      <alignment horizontal="right" vertical="center" wrapText="1" indent="5"/>
    </xf>
    <xf numFmtId="164" fontId="33" fillId="0" borderId="0" xfId="0" applyFont="1" applyFill="1" applyBorder="1" applyAlignment="1" applyProtection="1">
      <alignment horizontal="right" vertical="center" indent="3"/>
    </xf>
    <xf numFmtId="164" fontId="33" fillId="0" borderId="0" xfId="0" applyFont="1" applyBorder="1" applyAlignment="1">
      <alignment horizontal="right" indent="3"/>
    </xf>
    <xf numFmtId="164" fontId="41" fillId="2" borderId="14" xfId="0" applyNumberFormat="1" applyFont="1" applyFill="1" applyBorder="1" applyAlignment="1" applyProtection="1">
      <alignment horizontal="right" vertical="center" wrapText="1" indent="5"/>
    </xf>
    <xf numFmtId="164" fontId="41" fillId="2" borderId="0" xfId="0" applyNumberFormat="1" applyFont="1" applyFill="1" applyBorder="1" applyAlignment="1" applyProtection="1">
      <alignment horizontal="right" vertical="center" wrapText="1" indent="7"/>
    </xf>
    <xf numFmtId="168" fontId="145" fillId="0" borderId="0" xfId="0" applyNumberFormat="1" applyFont="1" applyBorder="1" applyAlignment="1">
      <alignment horizontal="right" vertical="top" indent="3"/>
    </xf>
    <xf numFmtId="168" fontId="146" fillId="0" borderId="0" xfId="0" applyNumberFormat="1" applyFont="1" applyFill="1" applyBorder="1" applyAlignment="1" applyProtection="1">
      <alignment horizontal="right" wrapText="1" indent="3"/>
    </xf>
    <xf numFmtId="164" fontId="33" fillId="0" borderId="0" xfId="0" applyFont="1" applyFill="1" applyBorder="1" applyAlignment="1" applyProtection="1">
      <alignment horizontal="left" vertical="center"/>
    </xf>
    <xf numFmtId="168" fontId="146" fillId="0" borderId="0" xfId="0" applyNumberFormat="1" applyFont="1" applyFill="1" applyBorder="1" applyAlignment="1" applyProtection="1">
      <alignment horizontal="right" wrapText="1"/>
    </xf>
    <xf numFmtId="1" fontId="90" fillId="0" borderId="0" xfId="0" applyNumberFormat="1" applyFont="1" applyBorder="1" applyAlignment="1" applyProtection="1">
      <alignment horizontal="right" vertical="center" wrapText="1"/>
    </xf>
    <xf numFmtId="1" fontId="144" fillId="0" borderId="0" xfId="0" applyNumberFormat="1" applyFont="1" applyBorder="1" applyAlignment="1" applyProtection="1">
      <alignment vertical="center" wrapText="1"/>
    </xf>
    <xf numFmtId="1" fontId="144" fillId="0" borderId="0" xfId="0" applyNumberFormat="1" applyFont="1" applyBorder="1" applyAlignment="1" applyProtection="1">
      <alignment horizontal="right" vertical="center" wrapText="1"/>
    </xf>
    <xf numFmtId="164" fontId="33" fillId="0" borderId="0" xfId="0" applyFont="1" applyBorder="1"/>
    <xf numFmtId="164" fontId="33" fillId="0" borderId="0" xfId="0" applyFont="1" applyBorder="1" applyAlignment="1">
      <alignment horizontal="center" vertical="center"/>
    </xf>
    <xf numFmtId="0" fontId="141" fillId="38" borderId="52" xfId="1" applyAlignment="1" applyProtection="1">
      <protection locked="0"/>
    </xf>
    <xf numFmtId="167" fontId="147" fillId="2" borderId="0" xfId="1" quotePrefix="1" applyNumberFormat="1" applyFont="1" applyFill="1" applyBorder="1" applyAlignment="1" applyProtection="1">
      <alignment horizontal="left" vertical="center" wrapText="1" indent="3"/>
      <protection locked="0"/>
    </xf>
    <xf numFmtId="0" fontId="14" fillId="9" borderId="0" xfId="0" applyNumberFormat="1" applyFont="1" applyFill="1" applyAlignment="1">
      <alignment horizontal="left" vertical="top" wrapText="1"/>
    </xf>
    <xf numFmtId="0" fontId="143" fillId="0" borderId="0" xfId="0" applyNumberFormat="1" applyFont="1" applyBorder="1" applyAlignment="1" applyProtection="1">
      <alignment horizontal="left" vertical="center" wrapText="1"/>
    </xf>
    <xf numFmtId="164" fontId="33" fillId="2" borderId="0" xfId="0" applyFont="1" applyFill="1" applyBorder="1" applyAlignment="1">
      <alignment horizontal="left" wrapText="1"/>
    </xf>
    <xf numFmtId="168" fontId="71" fillId="7" borderId="0"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45" fillId="7" borderId="0" xfId="0" applyNumberFormat="1" applyFont="1" applyFill="1" applyBorder="1" applyAlignment="1" applyProtection="1">
      <alignment horizontal="left"/>
    </xf>
    <xf numFmtId="0" fontId="67" fillId="17" borderId="0" xfId="0" applyNumberFormat="1" applyFont="1" applyFill="1" applyBorder="1" applyAlignment="1" applyProtection="1">
      <alignment horizontal="right" vertical="center" wrapText="1" indent="1"/>
    </xf>
    <xf numFmtId="0" fontId="46" fillId="7" borderId="0" xfId="0" applyNumberFormat="1" applyFont="1" applyFill="1" applyBorder="1" applyAlignment="1" applyProtection="1">
      <alignment horizontal="right" vertical="center" wrapText="1"/>
    </xf>
    <xf numFmtId="164" fontId="122" fillId="0" borderId="45" xfId="0" applyFont="1" applyBorder="1" applyAlignment="1">
      <alignment horizontal="right"/>
    </xf>
    <xf numFmtId="164" fontId="122" fillId="0" borderId="25" xfId="0" applyFont="1" applyBorder="1" applyAlignment="1">
      <alignment horizontal="right"/>
    </xf>
    <xf numFmtId="0" fontId="133" fillId="0" borderId="0" xfId="0" applyNumberFormat="1" applyFont="1" applyBorder="1" applyAlignment="1" applyProtection="1">
      <alignment horizontal="left" vertical="center" wrapText="1"/>
    </xf>
    <xf numFmtId="167" fontId="129" fillId="0" borderId="0" xfId="0" applyNumberFormat="1" applyFont="1" applyBorder="1" applyAlignment="1" applyProtection="1">
      <alignment horizontal="right" vertical="center" wrapText="1"/>
    </xf>
    <xf numFmtId="167" fontId="129" fillId="0" borderId="14" xfId="0" applyNumberFormat="1" applyFont="1" applyBorder="1" applyAlignment="1" applyProtection="1">
      <alignment horizontal="right" vertical="center" wrapText="1"/>
    </xf>
    <xf numFmtId="164" fontId="122" fillId="0" borderId="0" xfId="0" applyFont="1" applyBorder="1" applyAlignment="1">
      <alignment horizontal="right"/>
    </xf>
    <xf numFmtId="164" fontId="122" fillId="0" borderId="14" xfId="0" applyFont="1" applyBorder="1" applyAlignment="1">
      <alignment horizontal="right"/>
    </xf>
    <xf numFmtId="0" fontId="98" fillId="2" borderId="4" xfId="1" applyNumberFormat="1" applyFont="1" applyFill="1" applyBorder="1" applyAlignment="1" applyProtection="1">
      <alignment horizontal="right" vertical="center" wrapText="1"/>
    </xf>
    <xf numFmtId="0" fontId="98" fillId="2" borderId="28" xfId="1" applyNumberFormat="1" applyFont="1" applyFill="1" applyBorder="1" applyAlignment="1" applyProtection="1">
      <alignment horizontal="right" vertical="center" wrapText="1"/>
    </xf>
    <xf numFmtId="167" fontId="45" fillId="7" borderId="0" xfId="0" applyNumberFormat="1" applyFont="1" applyFill="1" applyBorder="1" applyAlignment="1" applyProtection="1">
      <alignment horizontal="left"/>
    </xf>
    <xf numFmtId="0" fontId="91" fillId="2" borderId="0" xfId="1" applyNumberFormat="1" applyFont="1" applyFill="1" applyBorder="1" applyAlignment="1" applyProtection="1">
      <alignment horizontal="left" vertical="center" wrapText="1" indent="1"/>
    </xf>
    <xf numFmtId="0" fontId="91" fillId="2" borderId="14" xfId="1" applyNumberFormat="1" applyFont="1" applyFill="1" applyBorder="1" applyAlignment="1" applyProtection="1">
      <alignment horizontal="left" vertical="center" wrapText="1" indent="1"/>
    </xf>
    <xf numFmtId="164" fontId="0" fillId="0" borderId="0" xfId="0" applyAlignment="1">
      <alignment horizontal="center"/>
    </xf>
    <xf numFmtId="1" fontId="45" fillId="7" borderId="0" xfId="0" applyNumberFormat="1" applyFont="1" applyFill="1" applyBorder="1" applyAlignment="1" applyProtection="1">
      <alignment horizontal="left" wrapText="1"/>
    </xf>
    <xf numFmtId="169" fontId="44" fillId="17" borderId="38" xfId="0" applyNumberFormat="1" applyFont="1" applyFill="1" applyBorder="1" applyAlignment="1" applyProtection="1">
      <alignment horizontal="center" wrapText="1"/>
    </xf>
    <xf numFmtId="167" fontId="91" fillId="2" borderId="0" xfId="0" applyNumberFormat="1" applyFont="1" applyFill="1" applyBorder="1" applyAlignment="1" applyProtection="1">
      <alignment horizontal="left" vertical="center" wrapText="1" indent="2"/>
    </xf>
    <xf numFmtId="1" fontId="144" fillId="0" borderId="48" xfId="0" applyNumberFormat="1" applyFont="1" applyBorder="1" applyAlignment="1" applyProtection="1">
      <alignment horizontal="right" vertical="center" wrapText="1"/>
    </xf>
    <xf numFmtId="1" fontId="144" fillId="0" borderId="14" xfId="0" applyNumberFormat="1" applyFont="1" applyBorder="1" applyAlignment="1" applyProtection="1">
      <alignment horizontal="right" vertical="center" wrapText="1"/>
    </xf>
    <xf numFmtId="168" fontId="135" fillId="21" borderId="18" xfId="0" applyNumberFormat="1" applyFont="1" applyFill="1" applyBorder="1" applyAlignment="1" applyProtection="1">
      <alignment horizontal="center" vertical="center"/>
    </xf>
    <xf numFmtId="168" fontId="135" fillId="21" borderId="5" xfId="0" applyNumberFormat="1" applyFont="1" applyFill="1" applyBorder="1" applyAlignment="1" applyProtection="1">
      <alignment horizontal="center" vertical="center"/>
    </xf>
    <xf numFmtId="168" fontId="139" fillId="23" borderId="18"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18"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1" borderId="18" xfId="0" applyNumberFormat="1" applyFont="1" applyFill="1" applyBorder="1" applyAlignment="1" applyProtection="1">
      <alignment horizontal="center" vertical="center"/>
    </xf>
    <xf numFmtId="168" fontId="139" fillId="21" borderId="5" xfId="0" applyNumberFormat="1" applyFont="1" applyFill="1" applyBorder="1" applyAlignment="1" applyProtection="1">
      <alignment horizontal="center" vertical="center"/>
    </xf>
    <xf numFmtId="1" fontId="90" fillId="0" borderId="50" xfId="0" applyNumberFormat="1" applyFont="1" applyBorder="1" applyAlignment="1" applyProtection="1">
      <alignment horizontal="right" vertical="center" wrapText="1"/>
    </xf>
    <xf numFmtId="164" fontId="12" fillId="2" borderId="49" xfId="0" applyFont="1" applyFill="1" applyBorder="1" applyAlignment="1" applyProtection="1">
      <alignment horizontal="center" vertical="center"/>
    </xf>
    <xf numFmtId="1" fontId="90" fillId="0" borderId="51" xfId="0" applyNumberFormat="1" applyFont="1" applyBorder="1" applyAlignment="1" applyProtection="1">
      <alignment horizontal="right" vertical="center" wrapText="1"/>
    </xf>
    <xf numFmtId="0" fontId="66" fillId="2" borderId="0" xfId="0" applyNumberFormat="1" applyFont="1" applyFill="1" applyBorder="1" applyAlignment="1" applyProtection="1">
      <alignment vertical="center" wrapText="1"/>
      <protection locked="0"/>
    </xf>
    <xf numFmtId="164" fontId="76" fillId="12" borderId="0" xfId="0" applyFont="1" applyFill="1" applyAlignment="1" applyProtection="1">
      <alignment vertical="center"/>
    </xf>
    <xf numFmtId="164" fontId="43" fillId="13" borderId="0" xfId="4" applyFont="1" applyFill="1" applyBorder="1" applyAlignment="1" applyProtection="1">
      <alignment horizontal="center" vertical="center" wrapText="1"/>
    </xf>
    <xf numFmtId="168" fontId="135" fillId="22" borderId="18" xfId="0" applyNumberFormat="1" applyFont="1" applyFill="1" applyBorder="1" applyAlignment="1" applyProtection="1">
      <alignment horizontal="center" vertical="center"/>
    </xf>
    <xf numFmtId="168" fontId="135" fillId="22" borderId="5" xfId="0" applyNumberFormat="1" applyFont="1" applyFill="1" applyBorder="1" applyAlignment="1" applyProtection="1">
      <alignment horizontal="center" vertical="center"/>
    </xf>
    <xf numFmtId="168" fontId="135" fillId="23" borderId="18" xfId="0" applyNumberFormat="1" applyFont="1" applyFill="1" applyBorder="1" applyAlignment="1" applyProtection="1">
      <alignment horizontal="center" vertical="center"/>
    </xf>
    <xf numFmtId="168" fontId="135" fillId="23" borderId="5" xfId="0" applyNumberFormat="1" applyFont="1" applyFill="1" applyBorder="1" applyAlignment="1" applyProtection="1">
      <alignment horizontal="center" vertical="center"/>
    </xf>
    <xf numFmtId="0" fontId="52" fillId="17" borderId="0" xfId="0" applyNumberFormat="1" applyFont="1" applyFill="1" applyBorder="1" applyAlignment="1" applyProtection="1">
      <alignment horizontal="left" vertical="center" wrapText="1" indent="3"/>
    </xf>
    <xf numFmtId="0" fontId="127" fillId="7" borderId="0" xfId="1" applyFont="1" applyFill="1" applyBorder="1" applyAlignment="1" applyProtection="1">
      <alignment horizontal="left" vertical="center" indent="1"/>
    </xf>
    <xf numFmtId="167" fontId="129" fillId="0" borderId="4" xfId="0" applyNumberFormat="1" applyFont="1" applyBorder="1" applyAlignment="1" applyProtection="1">
      <alignment horizontal="right" vertical="center" wrapText="1"/>
    </xf>
    <xf numFmtId="167" fontId="129" fillId="0" borderId="28" xfId="0" applyNumberFormat="1" applyFont="1" applyBorder="1" applyAlignment="1" applyProtection="1">
      <alignment horizontal="right" vertical="center" wrapText="1"/>
    </xf>
    <xf numFmtId="164" fontId="129" fillId="0" borderId="47" xfId="0" applyFont="1" applyBorder="1" applyAlignment="1">
      <alignment horizontal="right"/>
    </xf>
    <xf numFmtId="164" fontId="129" fillId="0" borderId="0" xfId="0" applyFont="1" applyAlignment="1">
      <alignment horizontal="right"/>
    </xf>
    <xf numFmtId="164" fontId="129" fillId="0" borderId="14" xfId="0" applyFont="1" applyBorder="1" applyAlignment="1">
      <alignment horizontal="right"/>
    </xf>
    <xf numFmtId="164" fontId="85" fillId="0" borderId="0" xfId="0" applyFont="1" applyBorder="1" applyAlignment="1">
      <alignment horizontal="right" vertical="center"/>
    </xf>
    <xf numFmtId="164" fontId="85" fillId="0" borderId="14" xfId="0" applyFont="1" applyBorder="1" applyAlignment="1">
      <alignment horizontal="right" vertical="center"/>
    </xf>
    <xf numFmtId="0" fontId="91" fillId="2" borderId="0" xfId="1" applyNumberFormat="1" applyFont="1" applyFill="1" applyBorder="1" applyAlignment="1" applyProtection="1">
      <alignment horizontal="center" vertical="center" wrapText="1"/>
    </xf>
    <xf numFmtId="0" fontId="91" fillId="2" borderId="14" xfId="1"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horizontal="right" vertical="center" wrapText="1"/>
    </xf>
    <xf numFmtId="0" fontId="98" fillId="0" borderId="14" xfId="0" applyNumberFormat="1" applyFont="1" applyFill="1" applyBorder="1" applyAlignment="1" applyProtection="1">
      <alignment horizontal="right" vertical="center" wrapText="1"/>
    </xf>
    <xf numFmtId="164" fontId="41" fillId="0" borderId="45" xfId="0" applyFont="1" applyBorder="1" applyAlignment="1">
      <alignment horizontal="right" vertical="center"/>
    </xf>
    <xf numFmtId="164" fontId="41" fillId="0" borderId="25" xfId="0" applyFont="1" applyBorder="1" applyAlignment="1">
      <alignment horizontal="right" vertical="center"/>
    </xf>
    <xf numFmtId="164" fontId="85" fillId="0" borderId="4" xfId="0" applyFont="1" applyBorder="1" applyAlignment="1">
      <alignment horizontal="right" vertical="center"/>
    </xf>
    <xf numFmtId="164" fontId="85" fillId="0" borderId="28" xfId="0" applyFont="1" applyBorder="1" applyAlignment="1">
      <alignment horizontal="right" vertical="center"/>
    </xf>
    <xf numFmtId="164" fontId="111" fillId="0" borderId="0" xfId="0" applyFont="1" applyBorder="1" applyAlignment="1">
      <alignment vertical="center"/>
    </xf>
    <xf numFmtId="0" fontId="91" fillId="2" borderId="0" xfId="1" applyNumberFormat="1" applyFont="1" applyFill="1" applyBorder="1" applyAlignment="1" applyProtection="1">
      <alignment horizontal="right" vertical="center" wrapText="1"/>
    </xf>
    <xf numFmtId="0" fontId="91" fillId="2" borderId="14" xfId="1" applyNumberFormat="1" applyFont="1" applyFill="1" applyBorder="1" applyAlignment="1" applyProtection="1">
      <alignment horizontal="right" vertical="center" wrapText="1"/>
    </xf>
    <xf numFmtId="0" fontId="45" fillId="7" borderId="0" xfId="0" applyNumberFormat="1" applyFont="1" applyFill="1" applyBorder="1" applyAlignment="1" applyProtection="1">
      <alignment horizontal="left"/>
    </xf>
    <xf numFmtId="164" fontId="37" fillId="2" borderId="0" xfId="0" applyFont="1" applyFill="1" applyAlignment="1">
      <alignment horizontal="left"/>
    </xf>
    <xf numFmtId="164" fontId="100" fillId="7" borderId="42" xfId="0" applyFont="1" applyFill="1" applyBorder="1" applyAlignment="1">
      <alignment horizontal="left" vertical="center"/>
    </xf>
    <xf numFmtId="164" fontId="83" fillId="33" borderId="0" xfId="0" applyFont="1" applyFill="1" applyBorder="1" applyAlignment="1">
      <alignment horizontal="center" vertical="top" wrapText="1"/>
    </xf>
    <xf numFmtId="164" fontId="0" fillId="2" borderId="0" xfId="0" applyFill="1" applyAlignment="1">
      <alignment vertical="top" wrapText="1"/>
    </xf>
    <xf numFmtId="164" fontId="94" fillId="26" borderId="0" xfId="0" applyFont="1" applyFill="1" applyAlignment="1">
      <alignment horizontal="left" vertical="center" wrapText="1" indent="1"/>
    </xf>
    <xf numFmtId="164" fontId="130" fillId="2" borderId="46" xfId="0" applyFont="1" applyFill="1" applyBorder="1" applyAlignment="1">
      <alignment horizontal="center"/>
    </xf>
  </cellXfs>
  <cellStyles count="11">
    <cellStyle name="Hyperlink" xfId="1" builtinId="8" customBuiltin="1"/>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0">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b/>
        <i val="0"/>
        <strike val="0"/>
        <color rgb="FFC00000"/>
      </font>
    </dxf>
    <dxf>
      <font>
        <b/>
        <i val="0"/>
        <color rgb="FFC00000"/>
      </font>
    </dxf>
    <dxf>
      <font>
        <b/>
        <i val="0"/>
        <color rgb="FFC00000"/>
      </font>
    </dxf>
    <dxf>
      <font>
        <b/>
        <i val="0"/>
        <color rgb="FFC00000"/>
      </font>
    </dxf>
    <dxf>
      <font>
        <strike val="0"/>
        <color theme="0" tint="-0.24994659260841701"/>
      </font>
    </dxf>
    <dxf>
      <font>
        <b/>
        <i val="0"/>
        <strike val="0"/>
        <color theme="0"/>
      </font>
      <fill>
        <patternFill>
          <bgColor rgb="FFCC0000"/>
        </patternFill>
      </fill>
    </dxf>
    <dxf>
      <font>
        <b/>
        <i val="0"/>
        <strike val="0"/>
        <color theme="0"/>
      </font>
      <fill>
        <patternFill>
          <bgColor rgb="FFCC0000"/>
        </patternFill>
      </fill>
    </dxf>
    <dxf>
      <fill>
        <patternFill>
          <bgColor theme="0"/>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9"/>
    </tableStyle>
    <tableStyle name="Table Style 2" pivot="0" count="1">
      <tableStyleElement type="wholeTable" dxfId="38"/>
    </tableStyle>
    <tableStyle name="TableStyleMedium9 2" pivot="0" count="7">
      <tableStyleElement type="wholeTable" dxfId="37"/>
      <tableStyleElement type="headerRow" dxfId="36"/>
      <tableStyleElement type="totalRow" dxfId="35"/>
      <tableStyleElement type="firstColumn" dxfId="34"/>
      <tableStyleElement type="lastColumn" dxfId="33"/>
      <tableStyleElement type="firstRowStripe" dxfId="32"/>
      <tableStyleElement type="firstColumnStripe" dxfId="31"/>
    </tableStyle>
    <tableStyle name="TableStyleMedium9 3" pivot="0" count="7">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TimeTable" pivot="0" count="1">
      <tableStyleElement type="wholeTable" dxfId="23"/>
    </tableStyle>
  </tableStyles>
  <colors>
    <mruColors>
      <color rgb="FF0033CC"/>
      <color rgb="FF663300"/>
      <color rgb="FFF3D6AF"/>
      <color rgb="FFEEC792"/>
      <color rgb="FFFFFFCC"/>
      <color rgb="FFA24200"/>
      <color rgb="FFFEDA02"/>
      <color rgb="FF396950"/>
      <color rgb="FF60925C"/>
      <color rgb="FFFFD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1</xdr:col>
      <xdr:colOff>1588245</xdr:colOff>
      <xdr:row>5</xdr:row>
      <xdr:rowOff>215824</xdr:rowOff>
    </xdr:from>
    <xdr:to>
      <xdr:col>1</xdr:col>
      <xdr:colOff>2362508</xdr:colOff>
      <xdr:row>6</xdr:row>
      <xdr:rowOff>111332</xdr:rowOff>
    </xdr:to>
    <xdr:sp macro="" textlink="" fLocksText="0">
      <xdr:nvSpPr>
        <xdr:cNvPr id="2" name="Line Callout 1 1"/>
        <xdr:cNvSpPr/>
      </xdr:nvSpPr>
      <xdr:spPr>
        <a:xfrm>
          <a:off x="1703906" y="1249967"/>
          <a:ext cx="774263" cy="253623"/>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2440916</xdr:colOff>
      <xdr:row>5</xdr:row>
      <xdr:rowOff>240743</xdr:rowOff>
    </xdr:from>
    <xdr:to>
      <xdr:col>1</xdr:col>
      <xdr:colOff>3136974</xdr:colOff>
      <xdr:row>6</xdr:row>
      <xdr:rowOff>147062</xdr:rowOff>
    </xdr:to>
    <xdr:sp macro="" textlink="">
      <xdr:nvSpPr>
        <xdr:cNvPr id="4" name="TextBox 3"/>
        <xdr:cNvSpPr txBox="1"/>
      </xdr:nvSpPr>
      <xdr:spPr>
        <a:xfrm>
          <a:off x="2556577" y="1274886"/>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1</xdr:col>
      <xdr:colOff>588817</xdr:colOff>
      <xdr:row>8</xdr:row>
      <xdr:rowOff>77932</xdr:rowOff>
    </xdr:from>
    <xdr:to>
      <xdr:col>7</xdr:col>
      <xdr:colOff>346363</xdr:colOff>
      <xdr:row>8</xdr:row>
      <xdr:rowOff>476250</xdr:rowOff>
    </xdr:to>
    <xdr:sp macro="" textlink="">
      <xdr:nvSpPr>
        <xdr:cNvPr id="5" name="TextBox 4"/>
        <xdr:cNvSpPr txBox="1"/>
      </xdr:nvSpPr>
      <xdr:spPr>
        <a:xfrm>
          <a:off x="701385" y="1792432"/>
          <a:ext cx="5940137"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twoCellAnchor editAs="oneCell">
    <xdr:from>
      <xdr:col>4</xdr:col>
      <xdr:colOff>69272</xdr:colOff>
      <xdr:row>885</xdr:row>
      <xdr:rowOff>103909</xdr:rowOff>
    </xdr:from>
    <xdr:to>
      <xdr:col>7</xdr:col>
      <xdr:colOff>98714</xdr:colOff>
      <xdr:row>889</xdr:row>
      <xdr:rowOff>64077</xdr:rowOff>
    </xdr:to>
    <xdr:sp macro="" textlink="" fLocksText="0">
      <xdr:nvSpPr>
        <xdr:cNvPr id="52" name="Line Callout 1 51"/>
        <xdr:cNvSpPr/>
      </xdr:nvSpPr>
      <xdr:spPr>
        <a:xfrm>
          <a:off x="4857749" y="1139882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4</xdr:col>
      <xdr:colOff>221672</xdr:colOff>
      <xdr:row>886</xdr:row>
      <xdr:rowOff>74468</xdr:rowOff>
    </xdr:from>
    <xdr:to>
      <xdr:col>7</xdr:col>
      <xdr:colOff>251114</xdr:colOff>
      <xdr:row>890</xdr:row>
      <xdr:rowOff>34642</xdr:rowOff>
    </xdr:to>
    <xdr:sp macro="" textlink="" fLocksText="0">
      <xdr:nvSpPr>
        <xdr:cNvPr id="53" name="Line Callout 1 52"/>
        <xdr:cNvSpPr/>
      </xdr:nvSpPr>
      <xdr:spPr>
        <a:xfrm>
          <a:off x="5010149" y="1141406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703</xdr:col>
      <xdr:colOff>151331</xdr:colOff>
      <xdr:row>5</xdr:row>
      <xdr:rowOff>221267</xdr:rowOff>
    </xdr:from>
    <xdr:to>
      <xdr:col>708</xdr:col>
      <xdr:colOff>552450</xdr:colOff>
      <xdr:row>9</xdr:row>
      <xdr:rowOff>9525</xdr:rowOff>
    </xdr:to>
    <xdr:sp macro="" textlink="" fLocksText="0">
      <xdr:nvSpPr>
        <xdr:cNvPr id="7" name="Line Callout 1 6"/>
        <xdr:cNvSpPr/>
      </xdr:nvSpPr>
      <xdr:spPr>
        <a:xfrm>
          <a:off x="7504631" y="124996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The date the DA approves a concept development shouldn't affect subsequent dates in the schedule . The date that a DA approves concept development  could be months before we begin work on the rulemaking.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208481</xdr:colOff>
      <xdr:row>41</xdr:row>
      <xdr:rowOff>87917</xdr:rowOff>
    </xdr:from>
    <xdr:to>
      <xdr:col>710</xdr:col>
      <xdr:colOff>304800</xdr:colOff>
      <xdr:row>46</xdr:row>
      <xdr:rowOff>95250</xdr:rowOff>
    </xdr:to>
    <xdr:sp macro="" textlink="" fLocksText="0">
      <xdr:nvSpPr>
        <xdr:cNvPr id="8" name="Line Callout 1 7"/>
        <xdr:cNvSpPr/>
      </xdr:nvSpPr>
      <xdr:spPr>
        <a:xfrm>
          <a:off x="8457131" y="763171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709</xdr:col>
      <xdr:colOff>114300</xdr:colOff>
      <xdr:row>5</xdr:row>
      <xdr:rowOff>209550</xdr:rowOff>
    </xdr:from>
    <xdr:to>
      <xdr:col>710</xdr:col>
      <xdr:colOff>772594</xdr:colOff>
      <xdr:row>8</xdr:row>
      <xdr:rowOff>483583</xdr:rowOff>
    </xdr:to>
    <xdr:sp macro="" textlink="" fLocksText="0">
      <xdr:nvSpPr>
        <xdr:cNvPr id="9" name="Line Callout 1 8"/>
        <xdr:cNvSpPr/>
      </xdr:nvSpPr>
      <xdr:spPr>
        <a:xfrm>
          <a:off x="8924925" y="1238250"/>
          <a:ext cx="1296469" cy="959833"/>
        </a:xfrm>
        <a:prstGeom prst="borderCallout1">
          <a:avLst>
            <a:gd name="adj1" fmla="val 17212"/>
            <a:gd name="adj2" fmla="val -4153"/>
            <a:gd name="adj3" fmla="val 19674"/>
            <a:gd name="adj4" fmla="val -21669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198956</xdr:colOff>
      <xdr:row>36</xdr:row>
      <xdr:rowOff>68867</xdr:rowOff>
    </xdr:from>
    <xdr:to>
      <xdr:col>710</xdr:col>
      <xdr:colOff>295275</xdr:colOff>
      <xdr:row>41</xdr:row>
      <xdr:rowOff>161925</xdr:rowOff>
    </xdr:to>
    <xdr:sp macro="" textlink="" fLocksText="0">
      <xdr:nvSpPr>
        <xdr:cNvPr id="10" name="Line Callout 1 9"/>
        <xdr:cNvSpPr/>
      </xdr:nvSpPr>
      <xdr:spPr>
        <a:xfrm>
          <a:off x="8447606" y="6745892"/>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Monthly report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Add monthly report dates, in addition to EQC meeting dates.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152</xdr:row>
      <xdr:rowOff>142875</xdr:rowOff>
    </xdr:from>
    <xdr:to>
      <xdr:col>710</xdr:col>
      <xdr:colOff>267769</xdr:colOff>
      <xdr:row>157</xdr:row>
      <xdr:rowOff>102583</xdr:rowOff>
    </xdr:to>
    <xdr:sp macro="" textlink="" fLocksText="0">
      <xdr:nvSpPr>
        <xdr:cNvPr id="11" name="Line Callout 1 10"/>
        <xdr:cNvSpPr/>
      </xdr:nvSpPr>
      <xdr:spPr>
        <a:xfrm>
          <a:off x="8420100" y="292131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Where does this date comes from? the explanation doesn't make sense to me.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32</xdr:row>
      <xdr:rowOff>95250</xdr:rowOff>
    </xdr:from>
    <xdr:to>
      <xdr:col>710</xdr:col>
      <xdr:colOff>267769</xdr:colOff>
      <xdr:row>37</xdr:row>
      <xdr:rowOff>102583</xdr:rowOff>
    </xdr:to>
    <xdr:sp macro="" textlink="" fLocksText="0">
      <xdr:nvSpPr>
        <xdr:cNvPr id="12" name="Line Callout 1 11"/>
        <xdr:cNvSpPr/>
      </xdr:nvSpPr>
      <xdr:spPr>
        <a:xfrm>
          <a:off x="8420100" y="60102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Hearing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Needs correction with SIP relationship. Should be no earlier than the 15th of a month, even if it's a SIP rule.</a:t>
          </a:r>
        </a:p>
        <a:p>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707</xdr:col>
      <xdr:colOff>142875</xdr:colOff>
      <xdr:row>68</xdr:row>
      <xdr:rowOff>123825</xdr:rowOff>
    </xdr:from>
    <xdr:to>
      <xdr:col>710</xdr:col>
      <xdr:colOff>67744</xdr:colOff>
      <xdr:row>73</xdr:row>
      <xdr:rowOff>131158</xdr:rowOff>
    </xdr:to>
    <xdr:sp macro="" textlink="" fLocksText="0">
      <xdr:nvSpPr>
        <xdr:cNvPr id="13" name="Line Callout 1 12"/>
        <xdr:cNvSpPr/>
      </xdr:nvSpPr>
      <xdr:spPr>
        <a:xfrm>
          <a:off x="8220075" y="12744450"/>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default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a:solidFill>
                <a:schemeClr val="tx1"/>
              </a:solidFill>
              <a:latin typeface="Tahoma" pitchFamily="34" charset="0"/>
              <a:cs typeface="Tahoma" pitchFamily="34" charset="0"/>
            </a:rPr>
            <a:t>date is</a:t>
          </a:r>
          <a:r>
            <a:rPr lang="en-US" sz="800" baseline="0">
              <a:solidFill>
                <a:schemeClr val="tx1"/>
              </a:solidFill>
              <a:latin typeface="Tahoma" pitchFamily="34" charset="0"/>
              <a:cs typeface="Tahoma" pitchFamily="34" charset="0"/>
            </a:rPr>
            <a:t> the same as above, not 5 days after the date above (whichi t should be according to the cell explanation)</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19050</xdr:colOff>
      <xdr:row>450</xdr:row>
      <xdr:rowOff>142875</xdr:rowOff>
    </xdr:from>
    <xdr:to>
      <xdr:col>710</xdr:col>
      <xdr:colOff>115369</xdr:colOff>
      <xdr:row>455</xdr:row>
      <xdr:rowOff>150208</xdr:rowOff>
    </xdr:to>
    <xdr:sp macro="" textlink="" fLocksText="0">
      <xdr:nvSpPr>
        <xdr:cNvPr id="14" name="Line Callout 1 13"/>
        <xdr:cNvSpPr/>
      </xdr:nvSpPr>
      <xdr:spPr>
        <a:xfrm>
          <a:off x="8267700" y="457866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tx1"/>
              </a:solidFill>
              <a:latin typeface="Tahoma" pitchFamily="34" charset="0"/>
              <a:cs typeface="Tahoma" pitchFamily="34" charset="0"/>
            </a:rPr>
            <a:t>Newspaper</a:t>
          </a:r>
          <a:r>
            <a:rPr lang="en-US" sz="800" b="1" baseline="0">
              <a:solidFill>
                <a:schemeClr val="tx1"/>
              </a:solidFill>
              <a:latin typeface="Tahoma" pitchFamily="34" charset="0"/>
              <a:cs typeface="Tahoma" pitchFamily="34" charset="0"/>
            </a:rPr>
            <a:t> publication</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We publish on the date the comment period begins, not before</a:t>
          </a:r>
          <a:endParaRPr lang="en-US" sz="800">
            <a:solidFill>
              <a:schemeClr val="tx1"/>
            </a:solidFill>
            <a:latin typeface="Tahoma" pitchFamily="34" charset="0"/>
            <a:cs typeface="Tahoma" pitchFamily="34" charset="0"/>
          </a:endParaRPr>
        </a:p>
      </xdr:txBody>
    </xdr:sp>
    <xdr:clientData fLocksWithSheet="0" fPrintsWithSheet="0"/>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lc.state.or.us/arrs.htm" TargetMode="External"/><Relationship Id="rId18" Type="http://schemas.openxmlformats.org/officeDocument/2006/relationships/hyperlink" Target="http://deq05/intranet/communication/WebRequests.htm" TargetMode="External"/><Relationship Id="rId26" Type="http://schemas.openxmlformats.org/officeDocument/2006/relationships/hyperlink" Target="http://www.adobe.com/products/acrobat/merge-pdf-files.html" TargetMode="External"/><Relationship Id="rId39" Type="http://schemas.openxmlformats.org/officeDocument/2006/relationships/hyperlink" Target="file:///\\deq000\templates\General\Agenda%20Template.dotx" TargetMode="External"/><Relationship Id="rId21" Type="http://schemas.openxmlformats.org/officeDocument/2006/relationships/hyperlink" Target="file:///\\DEQHQ1\Rule_Resources\i\AUTO.REPLY.CommentBox.docx" TargetMode="External"/><Relationship Id="rId34" Type="http://schemas.openxmlformats.org/officeDocument/2006/relationships/hyperlink" Target="file:///\\DEQHQ1\..\default.aspx" TargetMode="External"/><Relationship Id="rId42" Type="http://schemas.openxmlformats.org/officeDocument/2006/relationships/hyperlink" Target="http://deq05/intranet/contentmanagement/login.asp" TargetMode="External"/><Relationship Id="rId47" Type="http://schemas.openxmlformats.org/officeDocument/2006/relationships/hyperlink" Target="http://deq05/intranet/communication/docs/DEQAgencyTemplate1.potx" TargetMode="External"/><Relationship Id="rId50" Type="http://schemas.openxmlformats.org/officeDocument/2006/relationships/hyperlink" Target="http://deq05/intranet/communication/WebRequests.htm" TargetMode="External"/><Relationship Id="rId55" Type="http://schemas.openxmlformats.org/officeDocument/2006/relationships/hyperlink" Target="file:///\\deq000\templates\General\Minutes%20Template.dotx" TargetMode="External"/><Relationship Id="rId63" Type="http://schemas.openxmlformats.org/officeDocument/2006/relationships/hyperlink" Target="mailto:MorganRider@gmail.com" TargetMode="External"/><Relationship Id="rId68" Type="http://schemas.openxmlformats.org/officeDocument/2006/relationships/hyperlink" Target="mailto:EdArmstrong2@gmail.com" TargetMode="External"/><Relationship Id="rId7" Type="http://schemas.openxmlformats.org/officeDocument/2006/relationships/hyperlink" Target="http://deq05/intranet/communication/docs/DEQAgencyTemplate1.potx" TargetMode="External"/><Relationship Id="rId71" Type="http://schemas.openxmlformats.org/officeDocument/2006/relationships/printerSettings" Target="../printerSettings/printerSettings2.bin"/><Relationship Id="rId2" Type="http://schemas.openxmlformats.org/officeDocument/2006/relationships/hyperlink" Target="http://deq05/intranet/communication/index.htm" TargetMode="External"/><Relationship Id="rId16" Type="http://schemas.openxmlformats.org/officeDocument/2006/relationships/hyperlink" Target="http://deq05/intranet/communication/publicinvolvement/signs.htm" TargetMode="External"/><Relationship Id="rId29" Type="http://schemas.openxmlformats.org/officeDocument/2006/relationships/hyperlink" Target="mailto:RulePubicatons@deq.state.or.us" TargetMode="External"/><Relationship Id="rId1" Type="http://schemas.openxmlformats.org/officeDocument/2006/relationships/hyperlink" Target="file:///\\deq000\templates\General\Minutes%20Template.dotx" TargetMode="External"/><Relationship Id="rId6" Type="http://schemas.openxmlformats.org/officeDocument/2006/relationships/hyperlink" Target="http://www.oregon.gov/transparency/Pages/PublicMeetingNotices.aspx" TargetMode="External"/><Relationship Id="rId11" Type="http://schemas.openxmlformats.org/officeDocument/2006/relationships/hyperlink" Target="http://arcweb.sos.state.or.us/pages/rules/resources/fileonline.html" TargetMode="External"/><Relationship Id="rId24" Type="http://schemas.openxmlformats.org/officeDocument/2006/relationships/hyperlink" Target="http://cms.oregon.gov/DEQ/EQC/pages/index.aspx" TargetMode="External"/><Relationship Id="rId32" Type="http://schemas.openxmlformats.org/officeDocument/2006/relationships/hyperlink" Target="http://arcweb.sos.state.or.us/pages/rules/oars_300/oar_340/340_018.html"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Agenda%20Template.dotx" TargetMode="External"/><Relationship Id="rId45" Type="http://schemas.openxmlformats.org/officeDocument/2006/relationships/hyperlink" Target="http://deq05/intranet/contentmanagement/login.asp" TargetMode="External"/><Relationship Id="rId53" Type="http://schemas.openxmlformats.org/officeDocument/2006/relationships/hyperlink" Target="http://deq05/intranet/communication/WebRequests.htm" TargetMode="External"/><Relationship Id="rId58" Type="http://schemas.openxmlformats.org/officeDocument/2006/relationships/hyperlink" Target="http://arcweb.sos.state.or.us/pages/rules/oars_300/oar_340/340_tofc.html" TargetMode="External"/><Relationship Id="rId66" Type="http://schemas.openxmlformats.org/officeDocument/2006/relationships/hyperlink" Target="mailto:Bill@WRB-consulting.com" TargetMode="External"/><Relationship Id="rId5" Type="http://schemas.openxmlformats.org/officeDocument/2006/relationships/hyperlink" Target="http://deq05/intranet/contentmanagement/login.asp" TargetMode="External"/><Relationship Id="rId15" Type="http://schemas.openxmlformats.org/officeDocument/2006/relationships/hyperlink" Target="https://www.oregonlegislature.gov/bills_laws/lawsstatutes/2011ors183.html"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mailto:RulePubicatons@deq.state.or.us" TargetMode="External"/><Relationship Id="rId36" Type="http://schemas.openxmlformats.org/officeDocument/2006/relationships/hyperlink" Target="file:///\\DEQHQ1\..\..\..\groups\eqc\docs\EQCDeadlines.docx" TargetMode="External"/><Relationship Id="rId49" Type="http://schemas.openxmlformats.org/officeDocument/2006/relationships/hyperlink" Target="http://deq05/intranet/communication/docs/DEQAgencyTemplate1.potx" TargetMode="External"/><Relationship Id="rId57" Type="http://schemas.openxmlformats.org/officeDocument/2006/relationships/hyperlink" Target="file:///\\deq000\templates\General\Minutes%20Template.dotx" TargetMode="External"/><Relationship Id="rId61" Type="http://schemas.openxmlformats.org/officeDocument/2006/relationships/hyperlink" Target="mailto:JoKRanch@hotmail.com" TargetMode="External"/><Relationship Id="rId10" Type="http://schemas.openxmlformats.org/officeDocument/2006/relationships/hyperlink" Target="http://arcweb.sos.state.or.us/pages/rules/oars_300/oar_340/340_tofc.html" TargetMode="External"/><Relationship Id="rId19" Type="http://schemas.openxmlformats.org/officeDocument/2006/relationships/hyperlink" Target="file:///\\DEQHQ1\ACURTIS\SharePoint%20Drafts\FILES\DEQHQ1\4-Public%20Notice\ACTIVE\EMAIL.TEMPLATE-PublishNotice.docx" TargetMode="External"/><Relationship Id="rId31" Type="http://schemas.openxmlformats.org/officeDocument/2006/relationships/hyperlink" Target="file:///\\DEQHQ1\..\..\..\groups\eqc\docs\EQCDeadlines.docx" TargetMode="External"/><Relationship Id="rId44" Type="http://schemas.openxmlformats.org/officeDocument/2006/relationships/hyperlink" Target="http://deq05/intranet/contentmanagement/login.asp" TargetMode="External"/><Relationship Id="rId52" Type="http://schemas.openxmlformats.org/officeDocument/2006/relationships/hyperlink" Target="http://deq05/intranet/communication/WebRequests.htm" TargetMode="External"/><Relationship Id="rId60" Type="http://schemas.openxmlformats.org/officeDocument/2006/relationships/hyperlink" Target="mailto:Bill@WRB-consulting.com" TargetMode="External"/><Relationship Id="rId65" Type="http://schemas.openxmlformats.org/officeDocument/2006/relationships/hyperlink" Target="http://deq05/intranet/communication/publicinvolvement/index.htm" TargetMode="External"/><Relationship Id="rId4" Type="http://schemas.openxmlformats.org/officeDocument/2006/relationships/hyperlink" Target="http://www.doj.state.or.us/pdf/public_records_and_meetings_manual.pdf" TargetMode="External"/><Relationship Id="rId9" Type="http://schemas.openxmlformats.org/officeDocument/2006/relationships/hyperlink" Target="file:///\\deqhq1\Rule_Archives\SharePoint%20Links\Add%20concept%20to%20DEQ%20Rulemaking%20Plan.pdf" TargetMode="External"/><Relationship Id="rId14" Type="http://schemas.openxmlformats.org/officeDocument/2006/relationships/hyperlink" Target="http://www.oregon.gov/deq/RulesandRegulations/Pages/2013/RulemakingActivities.aspx" TargetMode="External"/><Relationship Id="rId22" Type="http://schemas.openxmlformats.org/officeDocument/2006/relationships/hyperlink" Target="mailto:RulePublications@deq.state.or.us" TargetMode="External"/><Relationship Id="rId27" Type="http://schemas.openxmlformats.org/officeDocument/2006/relationships/hyperlink" Target="file:///\\DEQHQ1\Rule_Resources\i\AD.LEGAL.docx" TargetMode="External"/><Relationship Id="rId30" Type="http://schemas.openxmlformats.org/officeDocument/2006/relationships/hyperlink" Target="mailto:RulePubicatons@deq.state.or.us" TargetMode="External"/><Relationship Id="rId35" Type="http://schemas.openxmlformats.org/officeDocument/2006/relationships/hyperlink" Target="file:///\\deqhq1\Rule_Development\Currrent%20Plan" TargetMode="External"/><Relationship Id="rId43" Type="http://schemas.openxmlformats.org/officeDocument/2006/relationships/hyperlink" Target="http://deq05/intranet/contentmanagement/login.asp" TargetMode="External"/><Relationship Id="rId48" Type="http://schemas.openxmlformats.org/officeDocument/2006/relationships/hyperlink" Target="http://deq05/intranet/communication/docs/DEQAgencyTemplate1.potx" TargetMode="External"/><Relationship Id="rId56" Type="http://schemas.openxmlformats.org/officeDocument/2006/relationships/hyperlink" Target="file:///\\deq000\templates\General\Minutes%20Template.dotx" TargetMode="External"/><Relationship Id="rId64" Type="http://schemas.openxmlformats.org/officeDocument/2006/relationships/hyperlink" Target="mailto:cjohnson@eou.edu" TargetMode="External"/><Relationship Id="rId69" Type="http://schemas.openxmlformats.org/officeDocument/2006/relationships/hyperlink" Target="mailto:MorganRider@gmail.com" TargetMode="External"/><Relationship Id="rId8" Type="http://schemas.openxmlformats.org/officeDocument/2006/relationships/hyperlink" Target="http://www.uwec.edu/help/outlook07/MAIL-message.htm" TargetMode="External"/><Relationship Id="rId51" Type="http://schemas.openxmlformats.org/officeDocument/2006/relationships/hyperlink" Target="http://deq05/intranet/communication/WebRequests.htm" TargetMode="External"/><Relationship Id="rId72" Type="http://schemas.openxmlformats.org/officeDocument/2006/relationships/drawing" Target="../drawings/drawing1.xml"/><Relationship Id="rId3" Type="http://schemas.openxmlformats.org/officeDocument/2006/relationships/hyperlink" Target="http://deq05/intranet/communication/publicinvolvement/signs.htm" TargetMode="External"/><Relationship Id="rId12" Type="http://schemas.openxmlformats.org/officeDocument/2006/relationships/hyperlink" Target="http://www.oregon.gov/deq/RulesandRegulations/Pages/2013/RulemakingActivities.aspx" TargetMode="External"/><Relationship Id="rId17" Type="http://schemas.openxmlformats.org/officeDocument/2006/relationships/hyperlink" Target="http://deq05/intranet/communication/WebRequests.htm" TargetMode="External"/><Relationship Id="rId25" Type="http://schemas.openxmlformats.org/officeDocument/2006/relationships/hyperlink" Target="file:///\\DEQHQ1\Rule_Resources\0.IndividualRulemaking\1-Planning\Microsoft\Windows\Temporary%20Internet%20Files\AppData\Local\Microsoft\Windows\groups\eqc\docs\EQCDeadlines.docx" TargetMode="External"/><Relationship Id="rId33" Type="http://schemas.openxmlformats.org/officeDocument/2006/relationships/hyperlink" Target="https://www.oregonlegislature.gov/bills_laws/lawsstatutes/2011ors192.html" TargetMode="External"/><Relationship Id="rId38" Type="http://schemas.openxmlformats.org/officeDocument/2006/relationships/hyperlink" Target="file:///\\deq000\templates\General\Agenda%20Template.dotx" TargetMode="External"/><Relationship Id="rId46" Type="http://schemas.openxmlformats.org/officeDocument/2006/relationships/hyperlink" Target="http://deq05/intranet/communication/docs/DEQAgencyTemplate1.potx" TargetMode="External"/><Relationship Id="rId59" Type="http://schemas.openxmlformats.org/officeDocument/2006/relationships/hyperlink" Target="http://arcweb.sos.state.or.us/pages/rules/oars_300/oar_340/340_tofc.html" TargetMode="External"/><Relationship Id="rId67" Type="http://schemas.openxmlformats.org/officeDocument/2006/relationships/hyperlink" Target="mailto:JoKRanch@hotmail.com" TargetMode="External"/><Relationship Id="rId20" Type="http://schemas.openxmlformats.org/officeDocument/2006/relationships/hyperlink" Target="http://deq05/intranet/contentmanagement/login.asp" TargetMode="External"/><Relationship Id="rId41" Type="http://schemas.openxmlformats.org/officeDocument/2006/relationships/hyperlink" Target="file:///\\deq000\templates\General\Agenda%20Template.dotx" TargetMode="External"/><Relationship Id="rId54" Type="http://schemas.openxmlformats.org/officeDocument/2006/relationships/hyperlink" Target="file:///\\deq000\templates\General\Minutes%20Template.dotx" TargetMode="External"/><Relationship Id="rId62" Type="http://schemas.openxmlformats.org/officeDocument/2006/relationships/hyperlink" Target="mailto:EdArmstrong2@gmail.com" TargetMode="External"/><Relationship Id="rId70" Type="http://schemas.openxmlformats.org/officeDocument/2006/relationships/hyperlink" Target="mailto:cjohnson@eou.ed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DEQHQ1\ACURTIS\default.asp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deqhq1\Rule_Development\2013%20Plan\AQ-RM-IncorporateLRAPArulesIntoSIP-Andrea%20Curtis"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topLeftCell="A32" workbookViewId="0">
      <selection activeCell="A68" sqref="A68"/>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5" customWidth="1"/>
    <col min="7" max="7" width="14" style="65" customWidth="1"/>
    <col min="8" max="8" width="14.5" style="65" customWidth="1"/>
    <col min="9" max="9" width="14.75" style="1" customWidth="1"/>
    <col min="10" max="10" width="40" style="1" customWidth="1"/>
    <col min="11" max="11" width="12" style="1" customWidth="1"/>
    <col min="12" max="12" width="12.625" style="1" customWidth="1"/>
    <col min="13" max="15" width="9.625" style="1" customWidth="1"/>
    <col min="16" max="16" width="9.625" style="67" customWidth="1"/>
    <col min="17" max="17" width="21" style="67" customWidth="1"/>
    <col min="18" max="18" width="37.75" style="1" customWidth="1"/>
    <col min="19" max="19" width="30.875" style="1" customWidth="1"/>
    <col min="20" max="20" width="30.625" style="1" customWidth="1"/>
    <col min="21" max="16384" width="9" style="1"/>
  </cols>
  <sheetData>
    <row r="1" spans="1:20" ht="22.5">
      <c r="A1" s="16" t="s">
        <v>19</v>
      </c>
      <c r="B1" s="3"/>
      <c r="C1" s="2"/>
      <c r="D1" s="2"/>
      <c r="E1" s="64"/>
      <c r="F1" s="64"/>
      <c r="G1" s="64"/>
      <c r="H1" s="64"/>
      <c r="I1" s="2"/>
      <c r="J1" s="2"/>
      <c r="K1" s="2"/>
      <c r="L1" s="2"/>
      <c r="M1" s="2"/>
      <c r="N1" s="2"/>
      <c r="O1" s="2"/>
      <c r="P1" s="66"/>
      <c r="Q1" s="66"/>
      <c r="R1" s="2"/>
      <c r="S1" s="2"/>
      <c r="T1" s="2"/>
    </row>
    <row r="2" spans="1:20">
      <c r="A2" s="63">
        <v>1</v>
      </c>
      <c r="B2" s="63">
        <v>2</v>
      </c>
      <c r="C2" s="126">
        <v>3</v>
      </c>
      <c r="D2" s="63">
        <v>4</v>
      </c>
      <c r="E2" s="63">
        <v>5</v>
      </c>
      <c r="F2" s="63">
        <v>6</v>
      </c>
      <c r="G2" s="61"/>
      <c r="H2" s="61"/>
      <c r="I2" s="61"/>
      <c r="J2" s="61"/>
      <c r="K2" s="61"/>
      <c r="L2" s="61"/>
      <c r="M2" s="2"/>
      <c r="N2" s="2"/>
      <c r="O2" s="2"/>
      <c r="P2" s="1"/>
      <c r="Q2" s="1"/>
    </row>
    <row r="3" spans="1:20">
      <c r="A3" s="4" t="s">
        <v>11</v>
      </c>
      <c r="B3" s="4" t="s">
        <v>15</v>
      </c>
      <c r="C3" s="4" t="s">
        <v>16</v>
      </c>
      <c r="D3" s="124" t="s">
        <v>65</v>
      </c>
      <c r="E3" s="149" t="s">
        <v>60</v>
      </c>
      <c r="F3" s="149" t="s">
        <v>70</v>
      </c>
      <c r="G3" s="61"/>
      <c r="H3" s="61"/>
      <c r="I3" s="61"/>
      <c r="J3" s="61"/>
      <c r="K3" s="61"/>
      <c r="L3" s="61"/>
      <c r="M3" s="2"/>
      <c r="N3" s="2"/>
      <c r="O3" s="2"/>
      <c r="P3"/>
      <c r="Q3"/>
      <c r="R3"/>
      <c r="S3"/>
    </row>
    <row r="4" spans="1:20" ht="18.75" customHeight="1">
      <c r="A4" s="121">
        <v>41353</v>
      </c>
      <c r="B4" s="121">
        <v>41316</v>
      </c>
      <c r="C4" s="121">
        <v>41346</v>
      </c>
      <c r="D4" s="125">
        <f>A5-A4</f>
        <v>91</v>
      </c>
      <c r="E4" s="121">
        <f>A4+D4</f>
        <v>41444</v>
      </c>
      <c r="F4" s="121">
        <v>41259</v>
      </c>
      <c r="G4" s="61"/>
      <c r="H4" s="61"/>
      <c r="I4" s="61"/>
      <c r="J4" s="61"/>
      <c r="K4" s="61"/>
      <c r="L4" s="61"/>
      <c r="M4" s="61"/>
      <c r="N4" s="61"/>
      <c r="O4" s="61"/>
      <c r="P4"/>
      <c r="Q4"/>
      <c r="R4"/>
      <c r="S4"/>
    </row>
    <row r="5" spans="1:20" ht="18.75" customHeight="1">
      <c r="A5" s="121">
        <v>41444</v>
      </c>
      <c r="B5" s="121">
        <v>41404</v>
      </c>
      <c r="C5" s="121">
        <v>41437</v>
      </c>
      <c r="D5" s="125">
        <f t="shared" ref="D5:D14" si="0">A6-A5</f>
        <v>63</v>
      </c>
      <c r="E5" s="121">
        <f t="shared" ref="E5:E19" si="1">A5+D5</f>
        <v>41507</v>
      </c>
      <c r="F5" s="121">
        <f>A5-D4</f>
        <v>41353</v>
      </c>
      <c r="G5" s="61"/>
      <c r="H5" s="61"/>
      <c r="I5" s="61"/>
      <c r="J5" s="61"/>
      <c r="K5" s="61"/>
      <c r="L5" s="61"/>
      <c r="M5" s="61"/>
      <c r="N5" s="61"/>
      <c r="O5" s="61"/>
      <c r="P5"/>
      <c r="Q5"/>
      <c r="R5"/>
      <c r="S5"/>
    </row>
    <row r="6" spans="1:20" ht="18.75" customHeight="1">
      <c r="A6" s="121">
        <v>41507</v>
      </c>
      <c r="B6" s="121">
        <v>41471</v>
      </c>
      <c r="C6" s="121">
        <v>41500</v>
      </c>
      <c r="D6" s="125">
        <f t="shared" si="0"/>
        <v>56</v>
      </c>
      <c r="E6" s="121">
        <f t="shared" si="1"/>
        <v>41563</v>
      </c>
      <c r="F6" s="121">
        <f t="shared" ref="F6:F19" si="2">A6-D5</f>
        <v>41444</v>
      </c>
      <c r="G6" s="61"/>
      <c r="H6" s="61"/>
      <c r="I6" s="61"/>
      <c r="J6" s="61"/>
      <c r="K6" s="61"/>
      <c r="L6" s="61"/>
      <c r="M6" s="61"/>
      <c r="N6" s="61"/>
      <c r="O6" s="61"/>
      <c r="P6"/>
      <c r="Q6"/>
      <c r="R6"/>
      <c r="S6"/>
    </row>
    <row r="7" spans="1:20">
      <c r="A7" s="121">
        <v>41563</v>
      </c>
      <c r="B7" s="121">
        <v>41527</v>
      </c>
      <c r="C7" s="121">
        <v>41556</v>
      </c>
      <c r="D7" s="125">
        <f t="shared" si="0"/>
        <v>56</v>
      </c>
      <c r="E7" s="121">
        <f t="shared" si="1"/>
        <v>41619</v>
      </c>
      <c r="F7" s="121">
        <f t="shared" si="2"/>
        <v>41507</v>
      </c>
      <c r="G7" s="61"/>
      <c r="H7" s="61"/>
      <c r="I7" s="61"/>
      <c r="J7" s="61"/>
      <c r="K7" s="61"/>
      <c r="L7" s="61"/>
      <c r="M7" s="61"/>
      <c r="N7" s="61"/>
      <c r="O7" s="61"/>
      <c r="P7"/>
      <c r="Q7"/>
      <c r="R7"/>
      <c r="S7"/>
    </row>
    <row r="8" spans="1:20">
      <c r="A8" s="121">
        <v>41619</v>
      </c>
      <c r="B8" s="121">
        <v>41579</v>
      </c>
      <c r="C8" s="121">
        <v>41612</v>
      </c>
      <c r="D8" s="125">
        <f t="shared" si="0"/>
        <v>98</v>
      </c>
      <c r="E8" s="121">
        <f t="shared" si="1"/>
        <v>41717</v>
      </c>
      <c r="F8" s="121">
        <f t="shared" si="2"/>
        <v>41563</v>
      </c>
      <c r="G8" s="61"/>
      <c r="H8" s="61"/>
      <c r="I8" s="61"/>
      <c r="J8" s="61"/>
      <c r="K8" s="61"/>
      <c r="L8" s="61"/>
      <c r="M8" s="61"/>
      <c r="N8" s="61"/>
      <c r="O8" s="61"/>
      <c r="P8"/>
      <c r="Q8"/>
      <c r="R8"/>
      <c r="S8"/>
    </row>
    <row r="9" spans="1:20">
      <c r="A9" s="123">
        <v>41717</v>
      </c>
      <c r="B9" s="123">
        <f t="shared" ref="B9:B20" si="3">WORKDAY(A9-40,-1,S.DDL_DEQClosed)</f>
        <v>41676</v>
      </c>
      <c r="C9" s="123">
        <f t="shared" ref="C9:C20" si="4">WORKDAY(A9-9,-1,S.DDL_DEQClosed)</f>
        <v>41705</v>
      </c>
      <c r="D9" s="125">
        <f t="shared" si="0"/>
        <v>91</v>
      </c>
      <c r="E9" s="121">
        <f t="shared" si="1"/>
        <v>41808</v>
      </c>
      <c r="F9" s="121">
        <f t="shared" si="2"/>
        <v>41619</v>
      </c>
      <c r="G9" s="61"/>
      <c r="H9" s="61"/>
      <c r="I9" s="61"/>
      <c r="J9" s="61"/>
      <c r="K9" s="61"/>
      <c r="L9" s="61"/>
      <c r="M9" s="61"/>
      <c r="N9" s="61"/>
      <c r="O9" s="61"/>
      <c r="P9"/>
      <c r="Q9"/>
      <c r="R9"/>
      <c r="S9"/>
    </row>
    <row r="10" spans="1:20">
      <c r="A10" s="123">
        <v>41808</v>
      </c>
      <c r="B10" s="123">
        <f t="shared" si="3"/>
        <v>41767</v>
      </c>
      <c r="C10" s="123">
        <f t="shared" si="4"/>
        <v>41796</v>
      </c>
      <c r="D10" s="125">
        <f t="shared" si="0"/>
        <v>63</v>
      </c>
      <c r="E10" s="121">
        <f t="shared" si="1"/>
        <v>41871</v>
      </c>
      <c r="F10" s="121">
        <f t="shared" si="2"/>
        <v>41717</v>
      </c>
      <c r="G10" s="61"/>
      <c r="H10" s="61"/>
      <c r="I10" s="61"/>
      <c r="J10" s="61"/>
      <c r="K10" s="61"/>
      <c r="L10" s="61"/>
      <c r="M10" s="61"/>
      <c r="N10" s="61"/>
      <c r="O10" s="61"/>
      <c r="P10"/>
      <c r="Q10"/>
      <c r="R10"/>
      <c r="S10"/>
    </row>
    <row r="11" spans="1:20">
      <c r="A11" s="123">
        <v>41871</v>
      </c>
      <c r="B11" s="123">
        <f t="shared" si="3"/>
        <v>41830</v>
      </c>
      <c r="C11" s="123">
        <f t="shared" si="4"/>
        <v>41859</v>
      </c>
      <c r="D11" s="125">
        <f t="shared" si="0"/>
        <v>56</v>
      </c>
      <c r="E11" s="121">
        <f t="shared" si="1"/>
        <v>41927</v>
      </c>
      <c r="F11" s="121">
        <f t="shared" si="2"/>
        <v>41808</v>
      </c>
      <c r="G11" s="61"/>
      <c r="H11" s="61"/>
      <c r="I11" s="61"/>
      <c r="J11" s="61"/>
      <c r="K11" s="61"/>
      <c r="L11" s="61"/>
      <c r="M11" s="61"/>
      <c r="N11" s="61"/>
      <c r="O11" s="61"/>
      <c r="P11"/>
      <c r="Q11"/>
      <c r="R11"/>
      <c r="S11"/>
    </row>
    <row r="12" spans="1:20">
      <c r="A12" s="123">
        <v>41927</v>
      </c>
      <c r="B12" s="123">
        <f t="shared" si="3"/>
        <v>41886</v>
      </c>
      <c r="C12" s="123">
        <f t="shared" si="4"/>
        <v>41915</v>
      </c>
      <c r="D12" s="125">
        <f t="shared" si="0"/>
        <v>56</v>
      </c>
      <c r="E12" s="121">
        <f t="shared" si="1"/>
        <v>41983</v>
      </c>
      <c r="F12" s="121">
        <f t="shared" si="2"/>
        <v>41871</v>
      </c>
      <c r="G12" s="61"/>
      <c r="H12" s="61"/>
      <c r="I12" s="61"/>
      <c r="J12" s="61"/>
      <c r="K12" s="61"/>
      <c r="L12" s="61"/>
      <c r="M12" s="61"/>
      <c r="N12" s="61"/>
      <c r="O12" s="61"/>
      <c r="P12"/>
      <c r="Q12"/>
      <c r="R12"/>
      <c r="S12"/>
    </row>
    <row r="13" spans="1:20">
      <c r="A13" s="123">
        <v>41983</v>
      </c>
      <c r="B13" s="123">
        <f t="shared" si="3"/>
        <v>41942</v>
      </c>
      <c r="C13" s="123">
        <f t="shared" si="4"/>
        <v>41971</v>
      </c>
      <c r="D13" s="125">
        <f t="shared" si="0"/>
        <v>98</v>
      </c>
      <c r="E13" s="121">
        <f t="shared" si="1"/>
        <v>42081</v>
      </c>
      <c r="F13" s="121">
        <f t="shared" si="2"/>
        <v>41927</v>
      </c>
      <c r="G13" s="61"/>
      <c r="H13" s="61"/>
      <c r="I13" s="61"/>
      <c r="J13" s="61"/>
      <c r="K13" s="61"/>
      <c r="L13" s="61"/>
      <c r="M13" s="61"/>
      <c r="N13" s="61"/>
      <c r="O13" s="61"/>
      <c r="P13"/>
      <c r="Q13"/>
      <c r="R13"/>
      <c r="S13"/>
    </row>
    <row r="14" spans="1:20">
      <c r="A14" s="123">
        <v>42081</v>
      </c>
      <c r="B14" s="123">
        <f t="shared" si="3"/>
        <v>42040</v>
      </c>
      <c r="C14" s="123">
        <f t="shared" si="4"/>
        <v>42069</v>
      </c>
      <c r="D14" s="125">
        <f t="shared" si="0"/>
        <v>92</v>
      </c>
      <c r="E14" s="121">
        <f t="shared" si="1"/>
        <v>42173</v>
      </c>
      <c r="F14" s="121">
        <f t="shared" si="2"/>
        <v>41983</v>
      </c>
      <c r="G14" s="2"/>
      <c r="H14" s="2"/>
      <c r="I14" s="61"/>
      <c r="J14" s="61"/>
      <c r="K14" s="61"/>
      <c r="L14" s="61"/>
      <c r="M14" s="61"/>
      <c r="N14" s="61"/>
      <c r="O14" s="61"/>
      <c r="P14"/>
      <c r="Q14"/>
      <c r="R14"/>
      <c r="S14"/>
    </row>
    <row r="15" spans="1:20">
      <c r="A15" s="123">
        <v>42173</v>
      </c>
      <c r="B15" s="123">
        <f t="shared" si="3"/>
        <v>42132</v>
      </c>
      <c r="C15" s="123">
        <f t="shared" si="4"/>
        <v>42163</v>
      </c>
      <c r="D15" s="125">
        <f>A16-A15</f>
        <v>63</v>
      </c>
      <c r="E15" s="121">
        <f t="shared" si="1"/>
        <v>42236</v>
      </c>
      <c r="F15" s="121">
        <f t="shared" si="2"/>
        <v>42081</v>
      </c>
      <c r="G15" s="2"/>
      <c r="H15" s="2"/>
      <c r="I15" s="2"/>
      <c r="J15" s="2"/>
      <c r="K15" s="66"/>
      <c r="L15" s="66"/>
      <c r="M15" s="2"/>
      <c r="N15" s="2"/>
      <c r="O15" s="2"/>
      <c r="P15" s="1"/>
      <c r="Q15" s="1"/>
    </row>
    <row r="16" spans="1:20">
      <c r="A16" s="123">
        <v>42236</v>
      </c>
      <c r="B16" s="123">
        <f t="shared" si="3"/>
        <v>42195</v>
      </c>
      <c r="C16" s="123">
        <f t="shared" si="4"/>
        <v>42226</v>
      </c>
      <c r="D16" s="125">
        <f>A17-A16</f>
        <v>63</v>
      </c>
      <c r="E16" s="121">
        <f t="shared" si="1"/>
        <v>42299</v>
      </c>
      <c r="F16" s="121">
        <f t="shared" si="2"/>
        <v>42173</v>
      </c>
      <c r="G16" s="2"/>
      <c r="H16" s="2"/>
      <c r="I16" s="2"/>
      <c r="J16" s="2"/>
      <c r="K16" s="66"/>
      <c r="L16" s="66"/>
      <c r="M16" s="2"/>
      <c r="N16" s="2"/>
      <c r="O16" s="2"/>
      <c r="P16" s="1"/>
      <c r="Q16" s="1"/>
    </row>
    <row r="17" spans="1:20">
      <c r="A17" s="123">
        <v>42299</v>
      </c>
      <c r="B17" s="123">
        <f t="shared" si="3"/>
        <v>42258</v>
      </c>
      <c r="C17" s="123">
        <f t="shared" si="4"/>
        <v>42289</v>
      </c>
      <c r="D17" s="125">
        <f>A18-A17</f>
        <v>56</v>
      </c>
      <c r="E17" s="121">
        <f t="shared" si="1"/>
        <v>42355</v>
      </c>
      <c r="F17" s="121">
        <f t="shared" si="2"/>
        <v>42236</v>
      </c>
      <c r="G17" s="2"/>
      <c r="H17" s="2"/>
      <c r="I17" s="2"/>
      <c r="J17" s="2"/>
      <c r="K17" s="66"/>
      <c r="L17" s="66"/>
      <c r="M17" s="2"/>
      <c r="N17" s="2"/>
      <c r="O17" s="2"/>
      <c r="P17" s="1"/>
      <c r="Q17" s="1"/>
    </row>
    <row r="18" spans="1:20">
      <c r="A18" s="123">
        <v>42355</v>
      </c>
      <c r="B18" s="123">
        <f t="shared" si="3"/>
        <v>42314</v>
      </c>
      <c r="C18" s="123">
        <f t="shared" si="4"/>
        <v>42345</v>
      </c>
      <c r="D18" s="125">
        <f>A19-A18</f>
        <v>90</v>
      </c>
      <c r="E18" s="121">
        <f t="shared" si="1"/>
        <v>42445</v>
      </c>
      <c r="F18" s="121">
        <f t="shared" si="2"/>
        <v>42299</v>
      </c>
      <c r="G18" s="2"/>
      <c r="H18" s="2"/>
      <c r="I18" s="2"/>
      <c r="J18" s="2"/>
      <c r="K18" s="66"/>
      <c r="L18" s="66"/>
      <c r="M18" s="2"/>
      <c r="N18" s="2"/>
      <c r="O18" s="2"/>
      <c r="P18" s="1"/>
      <c r="Q18" s="1"/>
    </row>
    <row r="19" spans="1:20">
      <c r="A19" s="123">
        <v>42445</v>
      </c>
      <c r="B19" s="123">
        <f t="shared" si="3"/>
        <v>42404</v>
      </c>
      <c r="C19" s="123">
        <f t="shared" si="4"/>
        <v>42433</v>
      </c>
      <c r="D19" s="125">
        <f>A20-A19</f>
        <v>91</v>
      </c>
      <c r="E19" s="121">
        <f t="shared" si="1"/>
        <v>42536</v>
      </c>
      <c r="F19" s="121">
        <f t="shared" si="2"/>
        <v>42355</v>
      </c>
      <c r="G19" s="2"/>
      <c r="H19" s="2"/>
      <c r="I19" s="2"/>
      <c r="J19" s="2"/>
      <c r="K19" s="66"/>
      <c r="L19" s="66"/>
      <c r="M19" s="2"/>
      <c r="N19" s="2"/>
      <c r="O19" s="2"/>
      <c r="P19" s="1"/>
      <c r="Q19" s="1"/>
    </row>
    <row r="20" spans="1:20">
      <c r="A20" s="123">
        <v>42536</v>
      </c>
      <c r="B20" s="123">
        <f t="shared" si="3"/>
        <v>42495</v>
      </c>
      <c r="C20" s="123">
        <f t="shared" si="4"/>
        <v>42524</v>
      </c>
      <c r="D20" s="146">
        <f>D19</f>
        <v>91</v>
      </c>
      <c r="E20" s="2"/>
      <c r="F20" s="2"/>
      <c r="G20" s="2"/>
      <c r="H20" s="2"/>
      <c r="I20" s="2"/>
      <c r="J20" s="2"/>
      <c r="K20" s="66"/>
      <c r="L20" s="66"/>
      <c r="M20" s="2"/>
      <c r="N20" s="2"/>
      <c r="O20" s="2"/>
      <c r="P20" s="1"/>
      <c r="Q20" s="1"/>
    </row>
    <row r="21" spans="1:20">
      <c r="A21" s="8"/>
      <c r="B21" s="8"/>
      <c r="C21" s="9"/>
      <c r="D21" s="9"/>
      <c r="E21" s="68"/>
      <c r="F21" s="68"/>
      <c r="G21" s="68"/>
      <c r="H21" s="68"/>
      <c r="I21" s="2"/>
      <c r="J21" s="34" t="s">
        <v>39</v>
      </c>
      <c r="K21" s="2"/>
      <c r="L21" s="9"/>
      <c r="M21" s="9"/>
      <c r="N21" s="61"/>
      <c r="O21" s="61"/>
      <c r="P21" s="66"/>
      <c r="Q21" s="66"/>
      <c r="R21" s="2"/>
      <c r="S21" s="2"/>
      <c r="T21" s="2"/>
    </row>
    <row r="22" spans="1:20">
      <c r="A22" s="10" t="s">
        <v>20</v>
      </c>
      <c r="B22" s="10"/>
      <c r="C22" s="9"/>
      <c r="D22" s="9"/>
      <c r="E22" s="68"/>
      <c r="F22" s="68"/>
      <c r="G22" s="68"/>
      <c r="H22" s="68"/>
      <c r="I22" s="2"/>
      <c r="J22" s="843" t="s">
        <v>38</v>
      </c>
      <c r="K22" s="843"/>
      <c r="L22" s="843"/>
      <c r="M22" s="843"/>
      <c r="N22" s="843"/>
      <c r="O22" s="843"/>
      <c r="P22" s="843"/>
      <c r="Q22" s="66"/>
      <c r="R22" s="2"/>
      <c r="S22" s="2"/>
      <c r="T22" s="2"/>
    </row>
    <row r="23" spans="1:20">
      <c r="A23" s="22">
        <v>41275</v>
      </c>
      <c r="B23" s="20" t="s">
        <v>5</v>
      </c>
      <c r="C23" s="33">
        <f>A23</f>
        <v>41275</v>
      </c>
      <c r="D23" s="33"/>
      <c r="E23" s="68"/>
      <c r="F23" s="68"/>
      <c r="G23" s="68"/>
      <c r="H23" s="68"/>
      <c r="I23" s="2"/>
      <c r="J23" s="843"/>
      <c r="K23" s="843"/>
      <c r="L23" s="843"/>
      <c r="M23" s="843"/>
      <c r="N23" s="843"/>
      <c r="O23" s="843"/>
      <c r="P23" s="843"/>
      <c r="Q23" s="66"/>
      <c r="R23" s="2"/>
      <c r="S23" s="2"/>
      <c r="T23" s="2"/>
    </row>
    <row r="24" spans="1:20">
      <c r="A24" s="22">
        <v>41292</v>
      </c>
      <c r="B24" s="20" t="s">
        <v>3</v>
      </c>
      <c r="C24" s="33">
        <f t="shared" ref="C24:C71" si="5">A24</f>
        <v>41292</v>
      </c>
      <c r="D24" s="33"/>
      <c r="E24" s="68"/>
      <c r="F24" s="68"/>
      <c r="G24" s="68"/>
      <c r="H24" s="68"/>
      <c r="I24" s="2"/>
      <c r="J24" s="843"/>
      <c r="K24" s="843"/>
      <c r="L24" s="843"/>
      <c r="M24" s="843"/>
      <c r="N24" s="843"/>
      <c r="O24" s="843"/>
      <c r="P24" s="843"/>
      <c r="Q24" s="66"/>
      <c r="R24" s="2"/>
      <c r="S24" s="2"/>
      <c r="T24" s="2"/>
    </row>
    <row r="25" spans="1:20">
      <c r="A25" s="22">
        <v>41295</v>
      </c>
      <c r="B25" s="20" t="s">
        <v>6</v>
      </c>
      <c r="C25" s="33">
        <f t="shared" si="5"/>
        <v>41295</v>
      </c>
      <c r="D25" s="33"/>
      <c r="E25" s="68"/>
      <c r="F25" s="68"/>
      <c r="G25" s="68"/>
      <c r="H25" s="68"/>
      <c r="I25" s="2"/>
      <c r="J25" s="843"/>
      <c r="K25" s="843"/>
      <c r="L25" s="843"/>
      <c r="M25" s="843"/>
      <c r="N25" s="843"/>
      <c r="O25" s="843"/>
      <c r="P25" s="843"/>
      <c r="Q25" s="66"/>
      <c r="R25" s="2"/>
      <c r="S25" s="2"/>
      <c r="T25" s="2"/>
    </row>
    <row r="26" spans="1:20">
      <c r="A26" s="22">
        <v>41323</v>
      </c>
      <c r="B26" s="20" t="s">
        <v>7</v>
      </c>
      <c r="C26" s="33">
        <f t="shared" si="5"/>
        <v>41323</v>
      </c>
      <c r="D26" s="33"/>
      <c r="E26" s="68"/>
      <c r="F26" s="68"/>
      <c r="G26" s="68"/>
      <c r="H26" s="68"/>
      <c r="I26" s="2"/>
      <c r="J26" s="843"/>
      <c r="K26" s="843"/>
      <c r="L26" s="843"/>
      <c r="M26" s="843"/>
      <c r="N26" s="843"/>
      <c r="O26" s="843"/>
      <c r="P26" s="843"/>
      <c r="Q26" s="66"/>
      <c r="R26" s="2"/>
      <c r="S26" s="2"/>
      <c r="T26" s="2"/>
    </row>
    <row r="27" spans="1:20">
      <c r="A27" s="22">
        <v>41383</v>
      </c>
      <c r="B27" s="20" t="s">
        <v>3</v>
      </c>
      <c r="C27" s="33">
        <f t="shared" si="5"/>
        <v>41383</v>
      </c>
      <c r="D27" s="33"/>
      <c r="E27" s="68"/>
      <c r="F27" s="68"/>
      <c r="G27" s="68"/>
      <c r="H27" s="68"/>
      <c r="I27" s="2"/>
      <c r="J27" s="843"/>
      <c r="K27" s="843"/>
      <c r="L27" s="843"/>
      <c r="M27" s="843"/>
      <c r="N27" s="843"/>
      <c r="O27" s="843"/>
      <c r="P27" s="843"/>
      <c r="Q27" s="66"/>
      <c r="R27" s="2"/>
      <c r="S27" s="2"/>
      <c r="T27" s="2"/>
    </row>
    <row r="28" spans="1:20">
      <c r="A28" s="22">
        <v>41418</v>
      </c>
      <c r="B28" s="20" t="s">
        <v>3</v>
      </c>
      <c r="C28" s="33">
        <f t="shared" si="5"/>
        <v>41418</v>
      </c>
      <c r="D28" s="33"/>
      <c r="E28" s="68"/>
      <c r="F28" s="68"/>
      <c r="G28" s="68"/>
      <c r="H28" s="68"/>
      <c r="I28" s="2"/>
      <c r="J28" s="843"/>
      <c r="K28" s="843"/>
      <c r="L28" s="843"/>
      <c r="M28" s="843"/>
      <c r="N28" s="843"/>
      <c r="O28" s="843"/>
      <c r="P28" s="843"/>
      <c r="Q28" s="66"/>
      <c r="R28" s="2"/>
      <c r="S28" s="2"/>
      <c r="T28" s="2"/>
    </row>
    <row r="29" spans="1:20">
      <c r="A29" s="22">
        <v>41421</v>
      </c>
      <c r="B29" s="20" t="s">
        <v>8</v>
      </c>
      <c r="C29" s="33">
        <f t="shared" si="5"/>
        <v>41421</v>
      </c>
      <c r="D29" s="33"/>
      <c r="E29" s="68"/>
      <c r="F29" s="68"/>
      <c r="G29" s="68"/>
      <c r="H29" s="68"/>
      <c r="I29" s="2"/>
      <c r="J29" s="843"/>
      <c r="K29" s="843"/>
      <c r="L29" s="843"/>
      <c r="M29" s="843"/>
      <c r="N29" s="843"/>
      <c r="O29" s="843"/>
      <c r="P29" s="843"/>
      <c r="Q29" s="66"/>
      <c r="R29" s="2"/>
      <c r="S29" s="2"/>
      <c r="T29" s="2"/>
    </row>
    <row r="30" spans="1:20">
      <c r="A30" s="22">
        <v>41459</v>
      </c>
      <c r="B30" s="20" t="s">
        <v>9</v>
      </c>
      <c r="C30" s="33">
        <f t="shared" si="5"/>
        <v>41459</v>
      </c>
      <c r="D30" s="33"/>
      <c r="E30" s="68"/>
      <c r="F30" s="68"/>
      <c r="G30" s="68"/>
      <c r="H30" s="68"/>
      <c r="I30" s="2"/>
      <c r="J30" s="843"/>
      <c r="K30" s="843"/>
      <c r="L30" s="843"/>
      <c r="M30" s="843"/>
      <c r="N30" s="843"/>
      <c r="O30" s="843"/>
      <c r="P30" s="843"/>
      <c r="Q30" s="66"/>
      <c r="R30" s="2"/>
      <c r="S30" s="2"/>
      <c r="T30" s="2"/>
    </row>
    <row r="31" spans="1:20">
      <c r="A31" s="22">
        <v>41519</v>
      </c>
      <c r="B31" s="20" t="s">
        <v>10</v>
      </c>
      <c r="C31" s="33">
        <f t="shared" si="5"/>
        <v>41519</v>
      </c>
      <c r="D31" s="33"/>
      <c r="E31" s="68"/>
      <c r="F31" s="68"/>
      <c r="G31" s="68"/>
      <c r="H31" s="68"/>
      <c r="I31" s="2"/>
      <c r="J31" s="843"/>
      <c r="K31" s="843"/>
      <c r="L31" s="843"/>
      <c r="M31" s="843"/>
      <c r="N31" s="843"/>
      <c r="O31" s="843"/>
      <c r="P31" s="843"/>
      <c r="Q31" s="66"/>
      <c r="R31" s="2"/>
      <c r="S31" s="2"/>
      <c r="T31" s="2"/>
    </row>
    <row r="32" spans="1:20">
      <c r="A32" s="22">
        <v>41589</v>
      </c>
      <c r="B32" s="20" t="s">
        <v>1</v>
      </c>
      <c r="C32" s="33">
        <f t="shared" si="5"/>
        <v>41589</v>
      </c>
      <c r="D32" s="33"/>
      <c r="E32" s="68"/>
      <c r="F32" s="68"/>
      <c r="G32" s="68"/>
      <c r="H32" s="68"/>
      <c r="I32" s="2"/>
      <c r="J32" s="843"/>
      <c r="K32" s="843"/>
      <c r="L32" s="843"/>
      <c r="M32" s="843"/>
      <c r="N32" s="843"/>
      <c r="O32" s="843"/>
      <c r="P32" s="843"/>
      <c r="Q32" s="66"/>
      <c r="R32" s="2"/>
      <c r="S32" s="2"/>
      <c r="T32" s="2"/>
    </row>
    <row r="33" spans="1:20">
      <c r="A33" s="22">
        <v>41606</v>
      </c>
      <c r="B33" s="20" t="s">
        <v>2</v>
      </c>
      <c r="C33" s="33">
        <f t="shared" si="5"/>
        <v>41606</v>
      </c>
      <c r="D33" s="33"/>
      <c r="E33" s="68"/>
      <c r="F33" s="68"/>
      <c r="G33" s="68"/>
      <c r="H33" s="68"/>
      <c r="I33" s="2"/>
      <c r="J33" s="843"/>
      <c r="K33" s="843"/>
      <c r="L33" s="843"/>
      <c r="M33" s="843"/>
      <c r="N33" s="843"/>
      <c r="O33" s="843"/>
      <c r="P33" s="843"/>
      <c r="Q33" s="66"/>
      <c r="R33" s="2"/>
      <c r="S33" s="2"/>
      <c r="T33" s="2"/>
    </row>
    <row r="34" spans="1:20">
      <c r="A34" s="22">
        <v>41633</v>
      </c>
      <c r="B34" s="20" t="s">
        <v>4</v>
      </c>
      <c r="C34" s="33">
        <f t="shared" si="5"/>
        <v>41633</v>
      </c>
      <c r="D34" s="33"/>
      <c r="E34" s="68"/>
      <c r="F34" s="68"/>
      <c r="G34" s="68"/>
      <c r="H34" s="68"/>
      <c r="I34" s="2"/>
      <c r="J34" s="843"/>
      <c r="K34" s="843"/>
      <c r="L34" s="843"/>
      <c r="M34" s="843"/>
      <c r="N34" s="843"/>
      <c r="O34" s="843"/>
      <c r="P34" s="843"/>
      <c r="Q34" s="66"/>
      <c r="R34" s="2"/>
      <c r="S34" s="2"/>
      <c r="T34" s="2"/>
    </row>
    <row r="35" spans="1:20">
      <c r="A35" s="22">
        <v>41640</v>
      </c>
      <c r="B35" s="20" t="s">
        <v>5</v>
      </c>
      <c r="C35" s="33">
        <f t="shared" si="5"/>
        <v>41640</v>
      </c>
      <c r="D35" s="33"/>
      <c r="E35" s="68"/>
      <c r="F35" s="68"/>
      <c r="G35" s="68"/>
      <c r="H35" s="68"/>
      <c r="I35" s="2"/>
      <c r="J35" s="843"/>
      <c r="K35" s="843"/>
      <c r="L35" s="843"/>
      <c r="M35" s="843"/>
      <c r="N35" s="843"/>
      <c r="O35" s="843"/>
      <c r="P35" s="843"/>
      <c r="Q35" s="66"/>
      <c r="R35" s="2"/>
      <c r="S35" s="2"/>
      <c r="T35" s="2"/>
    </row>
    <row r="36" spans="1:20">
      <c r="A36" s="22">
        <v>41659</v>
      </c>
      <c r="B36" s="20" t="s">
        <v>6</v>
      </c>
      <c r="C36" s="33">
        <f t="shared" si="5"/>
        <v>41659</v>
      </c>
      <c r="D36" s="33"/>
      <c r="E36" s="68"/>
      <c r="F36" s="68"/>
      <c r="G36" s="68"/>
      <c r="H36" s="68"/>
      <c r="I36" s="2"/>
      <c r="J36" s="843"/>
      <c r="K36" s="843"/>
      <c r="L36" s="843"/>
      <c r="M36" s="843"/>
      <c r="N36" s="843"/>
      <c r="O36" s="843"/>
      <c r="P36" s="843"/>
      <c r="Q36" s="66"/>
      <c r="R36" s="2"/>
      <c r="S36" s="2"/>
      <c r="T36" s="2"/>
    </row>
    <row r="37" spans="1:20">
      <c r="A37" s="22">
        <v>41687</v>
      </c>
      <c r="B37" s="20" t="s">
        <v>7</v>
      </c>
      <c r="C37" s="33">
        <f t="shared" si="5"/>
        <v>41687</v>
      </c>
      <c r="D37" s="33"/>
      <c r="E37" s="68"/>
      <c r="F37" s="68"/>
      <c r="G37" s="68"/>
      <c r="H37" s="68"/>
      <c r="I37" s="2"/>
      <c r="J37" s="843"/>
      <c r="K37" s="843"/>
      <c r="L37" s="843"/>
      <c r="M37" s="843"/>
      <c r="N37" s="843"/>
      <c r="O37" s="843"/>
      <c r="P37" s="843"/>
      <c r="Q37" s="66"/>
      <c r="R37" s="2"/>
      <c r="S37" s="2"/>
      <c r="T37" s="2"/>
    </row>
    <row r="38" spans="1:20">
      <c r="A38" s="22">
        <v>41785</v>
      </c>
      <c r="B38" s="20" t="s">
        <v>8</v>
      </c>
      <c r="C38" s="33">
        <f t="shared" si="5"/>
        <v>41785</v>
      </c>
      <c r="D38" s="33"/>
      <c r="E38" s="68"/>
      <c r="F38" s="68"/>
      <c r="G38" s="68"/>
      <c r="H38" s="68"/>
      <c r="I38" s="2"/>
      <c r="J38" s="843"/>
      <c r="K38" s="843"/>
      <c r="L38" s="843"/>
      <c r="M38" s="843"/>
      <c r="N38" s="843"/>
      <c r="O38" s="843"/>
      <c r="P38" s="843"/>
      <c r="Q38" s="66"/>
      <c r="R38" s="2"/>
      <c r="S38" s="2"/>
      <c r="T38" s="2"/>
    </row>
    <row r="39" spans="1:20">
      <c r="A39" s="22">
        <v>41824</v>
      </c>
      <c r="B39" s="20" t="s">
        <v>9</v>
      </c>
      <c r="C39" s="33">
        <f t="shared" si="5"/>
        <v>41824</v>
      </c>
      <c r="D39" s="33"/>
      <c r="E39" s="68"/>
      <c r="F39" s="68"/>
      <c r="G39" s="68"/>
      <c r="H39" s="68"/>
      <c r="I39" s="2"/>
      <c r="J39" s="843"/>
      <c r="K39" s="843"/>
      <c r="L39" s="843"/>
      <c r="M39" s="843"/>
      <c r="N39" s="843"/>
      <c r="O39" s="843"/>
      <c r="P39" s="843"/>
      <c r="Q39" s="66"/>
      <c r="R39" s="2"/>
      <c r="S39" s="2"/>
      <c r="T39" s="2"/>
    </row>
    <row r="40" spans="1:20">
      <c r="A40" s="22">
        <v>41884</v>
      </c>
      <c r="B40" s="20" t="s">
        <v>10</v>
      </c>
      <c r="C40" s="33">
        <f t="shared" si="5"/>
        <v>41884</v>
      </c>
      <c r="D40" s="33"/>
      <c r="E40" s="68"/>
      <c r="F40" s="68"/>
      <c r="G40" s="68"/>
      <c r="H40" s="68"/>
      <c r="I40" s="2"/>
      <c r="J40" s="843"/>
      <c r="K40" s="843"/>
      <c r="L40" s="843"/>
      <c r="M40" s="843"/>
      <c r="N40" s="843"/>
      <c r="O40" s="843"/>
      <c r="P40" s="843"/>
      <c r="Q40" s="66"/>
      <c r="R40" s="2"/>
      <c r="S40" s="2"/>
      <c r="T40" s="2"/>
    </row>
    <row r="41" spans="1:20">
      <c r="A41" s="22">
        <v>41954</v>
      </c>
      <c r="B41" s="20" t="s">
        <v>1</v>
      </c>
      <c r="C41" s="33">
        <f t="shared" si="5"/>
        <v>41954</v>
      </c>
      <c r="D41" s="33"/>
      <c r="E41" s="68"/>
      <c r="F41" s="68"/>
      <c r="G41" s="68"/>
      <c r="H41" s="68"/>
      <c r="I41" s="2"/>
      <c r="J41" s="843"/>
      <c r="K41" s="843"/>
      <c r="L41" s="843"/>
      <c r="M41" s="843"/>
      <c r="N41" s="843"/>
      <c r="O41" s="843"/>
      <c r="P41" s="843"/>
      <c r="Q41" s="66"/>
      <c r="R41" s="2"/>
      <c r="S41" s="2"/>
      <c r="T41" s="2"/>
    </row>
    <row r="42" spans="1:20">
      <c r="A42" s="22">
        <v>41970</v>
      </c>
      <c r="B42" s="20" t="s">
        <v>2</v>
      </c>
      <c r="C42" s="33">
        <f t="shared" si="5"/>
        <v>41970</v>
      </c>
      <c r="D42" s="33"/>
      <c r="E42" s="68"/>
      <c r="F42" s="68"/>
      <c r="G42" s="68"/>
      <c r="H42" s="68"/>
      <c r="I42" s="2"/>
      <c r="J42" s="843"/>
      <c r="K42" s="843"/>
      <c r="L42" s="843"/>
      <c r="M42" s="843"/>
      <c r="N42" s="843"/>
      <c r="O42" s="843"/>
      <c r="P42" s="843"/>
      <c r="Q42" s="66"/>
      <c r="R42" s="2"/>
      <c r="S42" s="2"/>
      <c r="T42" s="2"/>
    </row>
    <row r="43" spans="1:20">
      <c r="A43" s="22">
        <v>41998</v>
      </c>
      <c r="B43" s="20" t="s">
        <v>4</v>
      </c>
      <c r="C43" s="33">
        <f t="shared" si="5"/>
        <v>41998</v>
      </c>
      <c r="D43" s="33"/>
      <c r="E43" s="68"/>
      <c r="F43" s="68"/>
      <c r="G43" s="68"/>
      <c r="H43" s="68"/>
      <c r="I43" s="2"/>
      <c r="J43" s="843"/>
      <c r="K43" s="843"/>
      <c r="L43" s="843"/>
      <c r="M43" s="843"/>
      <c r="N43" s="843"/>
      <c r="O43" s="843"/>
      <c r="P43" s="843"/>
      <c r="Q43" s="66"/>
      <c r="R43" s="2"/>
      <c r="S43" s="2"/>
      <c r="T43" s="2"/>
    </row>
    <row r="44" spans="1:20">
      <c r="A44" s="22">
        <v>42005</v>
      </c>
      <c r="B44" s="20" t="s">
        <v>5</v>
      </c>
      <c r="C44" s="33">
        <f t="shared" si="5"/>
        <v>42005</v>
      </c>
      <c r="D44" s="33"/>
      <c r="E44" s="68"/>
      <c r="F44" s="68"/>
      <c r="G44" s="68"/>
      <c r="H44" s="68"/>
      <c r="I44" s="2"/>
      <c r="J44" s="843"/>
      <c r="K44" s="843"/>
      <c r="L44" s="843"/>
      <c r="M44" s="843"/>
      <c r="N44" s="843"/>
      <c r="O44" s="843"/>
      <c r="P44" s="843"/>
      <c r="Q44" s="66"/>
      <c r="R44" s="2"/>
      <c r="S44" s="2"/>
      <c r="T44" s="2"/>
    </row>
    <row r="45" spans="1:20">
      <c r="A45" s="22">
        <v>42023</v>
      </c>
      <c r="B45" s="20" t="s">
        <v>6</v>
      </c>
      <c r="C45" s="33">
        <f t="shared" si="5"/>
        <v>42023</v>
      </c>
      <c r="D45" s="33"/>
      <c r="E45" s="68"/>
      <c r="F45" s="68"/>
      <c r="G45" s="68"/>
      <c r="H45" s="68"/>
      <c r="I45" s="2"/>
      <c r="J45" s="843"/>
      <c r="K45" s="843"/>
      <c r="L45" s="843"/>
      <c r="M45" s="843"/>
      <c r="N45" s="843"/>
      <c r="O45" s="843"/>
      <c r="P45" s="843"/>
      <c r="Q45" s="66"/>
      <c r="R45" s="2"/>
      <c r="S45" s="2"/>
      <c r="T45" s="2"/>
    </row>
    <row r="46" spans="1:20">
      <c r="A46" s="22">
        <v>42051</v>
      </c>
      <c r="B46" s="20" t="s">
        <v>7</v>
      </c>
      <c r="C46" s="33">
        <f t="shared" si="5"/>
        <v>42051</v>
      </c>
      <c r="D46" s="33"/>
      <c r="E46" s="68"/>
      <c r="F46" s="68"/>
      <c r="G46" s="68"/>
      <c r="H46" s="68"/>
      <c r="I46" s="2"/>
      <c r="J46" s="843"/>
      <c r="K46" s="843"/>
      <c r="L46" s="843"/>
      <c r="M46" s="843"/>
      <c r="N46" s="843"/>
      <c r="O46" s="843"/>
      <c r="P46" s="843"/>
      <c r="Q46" s="66"/>
      <c r="R46" s="2"/>
      <c r="S46" s="2"/>
      <c r="T46" s="2"/>
    </row>
    <row r="47" spans="1:20">
      <c r="A47" s="22">
        <v>42149</v>
      </c>
      <c r="B47" s="20" t="s">
        <v>8</v>
      </c>
      <c r="C47" s="33">
        <f t="shared" si="5"/>
        <v>42149</v>
      </c>
      <c r="D47" s="33"/>
      <c r="E47" s="68"/>
      <c r="F47" s="68"/>
      <c r="G47" s="68"/>
      <c r="H47" s="68"/>
      <c r="I47" s="2"/>
      <c r="J47" s="843"/>
      <c r="K47" s="843"/>
      <c r="L47" s="843"/>
      <c r="M47" s="843"/>
      <c r="N47" s="843"/>
      <c r="O47" s="843"/>
      <c r="P47" s="843"/>
      <c r="Q47" s="66"/>
      <c r="R47" s="2"/>
      <c r="S47" s="2"/>
      <c r="T47" s="2"/>
    </row>
    <row r="48" spans="1:20">
      <c r="A48" s="22">
        <v>42188</v>
      </c>
      <c r="B48" s="20" t="s">
        <v>9</v>
      </c>
      <c r="C48" s="33">
        <f t="shared" si="5"/>
        <v>42188</v>
      </c>
      <c r="D48" s="33"/>
      <c r="E48" s="68"/>
      <c r="F48" s="68"/>
      <c r="G48" s="68"/>
      <c r="H48" s="68"/>
      <c r="I48" s="2"/>
      <c r="J48" s="843"/>
      <c r="K48" s="843"/>
      <c r="L48" s="843"/>
      <c r="M48" s="843"/>
      <c r="N48" s="843"/>
      <c r="O48" s="843"/>
      <c r="P48" s="843"/>
      <c r="Q48" s="66"/>
      <c r="R48" s="2"/>
      <c r="S48" s="2"/>
      <c r="T48" s="2"/>
    </row>
    <row r="49" spans="1:20">
      <c r="A49" s="22">
        <v>42254</v>
      </c>
      <c r="B49" s="20" t="s">
        <v>10</v>
      </c>
      <c r="C49" s="33">
        <f t="shared" si="5"/>
        <v>42254</v>
      </c>
      <c r="D49" s="33"/>
      <c r="E49" s="68"/>
      <c r="F49" s="68"/>
      <c r="G49" s="68"/>
      <c r="H49" s="68"/>
      <c r="I49" s="2"/>
      <c r="J49" s="843"/>
      <c r="K49" s="843"/>
      <c r="L49" s="843"/>
      <c r="M49" s="843"/>
      <c r="N49" s="843"/>
      <c r="O49" s="843"/>
      <c r="P49" s="843"/>
      <c r="Q49" s="66"/>
      <c r="R49" s="2"/>
      <c r="S49" s="2"/>
      <c r="T49" s="2"/>
    </row>
    <row r="50" spans="1:20">
      <c r="A50" s="22">
        <v>42319</v>
      </c>
      <c r="B50" s="20" t="s">
        <v>1</v>
      </c>
      <c r="C50" s="33">
        <f t="shared" si="5"/>
        <v>42319</v>
      </c>
      <c r="D50" s="33"/>
      <c r="E50" s="68"/>
      <c r="F50" s="68"/>
      <c r="G50" s="68"/>
      <c r="H50" s="68"/>
      <c r="I50" s="2"/>
      <c r="J50" s="843"/>
      <c r="K50" s="843"/>
      <c r="L50" s="843"/>
      <c r="M50" s="843"/>
      <c r="N50" s="843"/>
      <c r="O50" s="843"/>
      <c r="P50" s="843"/>
      <c r="Q50" s="66"/>
      <c r="R50" s="2"/>
      <c r="S50" s="2"/>
      <c r="T50" s="2"/>
    </row>
    <row r="51" spans="1:20">
      <c r="A51" s="22">
        <v>42334</v>
      </c>
      <c r="B51" s="20" t="s">
        <v>2</v>
      </c>
      <c r="C51" s="33">
        <f t="shared" si="5"/>
        <v>42334</v>
      </c>
      <c r="D51" s="33"/>
      <c r="E51" s="68"/>
      <c r="F51" s="68"/>
      <c r="G51" s="68"/>
      <c r="H51" s="68"/>
      <c r="I51" s="2"/>
      <c r="J51" s="843"/>
      <c r="K51" s="843"/>
      <c r="L51" s="843"/>
      <c r="M51" s="843"/>
      <c r="N51" s="843"/>
      <c r="O51" s="843"/>
      <c r="P51" s="843"/>
      <c r="Q51" s="66"/>
      <c r="R51" s="2"/>
      <c r="S51" s="2"/>
      <c r="T51" s="2"/>
    </row>
    <row r="52" spans="1:20">
      <c r="A52" s="22">
        <v>42363</v>
      </c>
      <c r="B52" s="20" t="s">
        <v>4</v>
      </c>
      <c r="C52" s="33">
        <f t="shared" si="5"/>
        <v>42363</v>
      </c>
      <c r="D52" s="33"/>
      <c r="E52" s="68"/>
      <c r="F52" s="68"/>
      <c r="G52" s="68"/>
      <c r="H52" s="68"/>
      <c r="I52" s="2"/>
      <c r="J52" s="843"/>
      <c r="K52" s="843"/>
      <c r="L52" s="843"/>
      <c r="M52" s="843"/>
      <c r="N52" s="843"/>
      <c r="O52" s="843"/>
      <c r="P52" s="843"/>
      <c r="Q52" s="66"/>
      <c r="R52" s="2"/>
      <c r="S52" s="2"/>
      <c r="T52" s="2"/>
    </row>
    <row r="53" spans="1:20">
      <c r="A53" s="22">
        <v>42370</v>
      </c>
      <c r="B53" s="20" t="s">
        <v>5</v>
      </c>
      <c r="C53" s="33">
        <f t="shared" ref="C53:C61" si="6">A53</f>
        <v>42370</v>
      </c>
      <c r="D53" s="33"/>
      <c r="E53" s="68"/>
      <c r="F53" s="68"/>
      <c r="G53" s="68"/>
      <c r="H53" s="68"/>
      <c r="I53" s="2"/>
      <c r="J53" s="843"/>
      <c r="K53" s="843"/>
      <c r="L53" s="843"/>
      <c r="M53" s="843"/>
      <c r="N53" s="843"/>
      <c r="O53" s="843"/>
      <c r="P53" s="843"/>
      <c r="Q53" s="66"/>
      <c r="R53" s="2"/>
      <c r="S53" s="2"/>
      <c r="T53" s="2"/>
    </row>
    <row r="54" spans="1:20">
      <c r="A54" s="22">
        <v>42387</v>
      </c>
      <c r="B54" s="20" t="s">
        <v>6</v>
      </c>
      <c r="C54" s="33">
        <f t="shared" si="6"/>
        <v>42387</v>
      </c>
      <c r="D54" s="33"/>
      <c r="E54" s="68"/>
      <c r="F54" s="68"/>
      <c r="G54" s="68"/>
      <c r="H54" s="68"/>
      <c r="I54" s="2"/>
      <c r="J54" s="843"/>
      <c r="K54" s="843"/>
      <c r="L54" s="843"/>
      <c r="M54" s="843"/>
      <c r="N54" s="843"/>
      <c r="O54" s="843"/>
      <c r="P54" s="843"/>
      <c r="Q54" s="66"/>
      <c r="R54" s="2"/>
      <c r="S54" s="2"/>
      <c r="T54" s="2"/>
    </row>
    <row r="55" spans="1:20">
      <c r="A55" s="22">
        <v>42415</v>
      </c>
      <c r="B55" s="20" t="s">
        <v>7</v>
      </c>
      <c r="C55" s="33">
        <f t="shared" si="6"/>
        <v>42415</v>
      </c>
      <c r="D55" s="33"/>
      <c r="E55" s="68"/>
      <c r="F55" s="68"/>
      <c r="G55" s="68"/>
      <c r="H55" s="68"/>
      <c r="I55" s="2"/>
      <c r="J55" s="843"/>
      <c r="K55" s="843"/>
      <c r="L55" s="843"/>
      <c r="M55" s="843"/>
      <c r="N55" s="843"/>
      <c r="O55" s="843"/>
      <c r="P55" s="843"/>
      <c r="Q55" s="66"/>
      <c r="R55" s="2"/>
      <c r="S55" s="2"/>
      <c r="T55" s="2"/>
    </row>
    <row r="56" spans="1:20">
      <c r="A56" s="22">
        <v>42520</v>
      </c>
      <c r="B56" s="20" t="s">
        <v>8</v>
      </c>
      <c r="C56" s="33">
        <f t="shared" si="6"/>
        <v>42520</v>
      </c>
      <c r="D56" s="33"/>
      <c r="E56" s="68"/>
      <c r="F56" s="68"/>
      <c r="G56" s="68"/>
      <c r="H56" s="68"/>
      <c r="I56" s="2"/>
      <c r="J56" s="843"/>
      <c r="K56" s="843"/>
      <c r="L56" s="843"/>
      <c r="M56" s="843"/>
      <c r="N56" s="843"/>
      <c r="O56" s="843"/>
      <c r="P56" s="843"/>
      <c r="Q56" s="66"/>
      <c r="R56" s="2"/>
      <c r="S56" s="2"/>
      <c r="T56" s="2"/>
    </row>
    <row r="57" spans="1:20">
      <c r="A57" s="22">
        <v>42555</v>
      </c>
      <c r="B57" s="20" t="s">
        <v>9</v>
      </c>
      <c r="C57" s="33">
        <f t="shared" si="6"/>
        <v>42555</v>
      </c>
      <c r="D57" s="33"/>
      <c r="E57" s="68"/>
      <c r="F57" s="68"/>
      <c r="G57" s="68"/>
      <c r="H57" s="68"/>
      <c r="I57" s="2"/>
      <c r="J57" s="843"/>
      <c r="K57" s="843"/>
      <c r="L57" s="843"/>
      <c r="M57" s="843"/>
      <c r="N57" s="843"/>
      <c r="O57" s="843"/>
      <c r="P57" s="843"/>
      <c r="Q57" s="66"/>
      <c r="R57" s="2"/>
      <c r="S57" s="2"/>
      <c r="T57" s="2"/>
    </row>
    <row r="58" spans="1:20">
      <c r="A58" s="22">
        <v>42618</v>
      </c>
      <c r="B58" s="20" t="s">
        <v>10</v>
      </c>
      <c r="C58" s="33">
        <f t="shared" si="6"/>
        <v>42618</v>
      </c>
      <c r="D58" s="33"/>
      <c r="E58" s="68"/>
      <c r="F58" s="68"/>
      <c r="G58" s="68"/>
      <c r="H58" s="68"/>
      <c r="I58" s="2"/>
      <c r="J58" s="843"/>
      <c r="K58" s="843"/>
      <c r="L58" s="843"/>
      <c r="M58" s="843"/>
      <c r="N58" s="843"/>
      <c r="O58" s="843"/>
      <c r="P58" s="843"/>
      <c r="Q58" s="66"/>
      <c r="R58" s="2"/>
      <c r="S58" s="2"/>
      <c r="T58" s="2"/>
    </row>
    <row r="59" spans="1:20">
      <c r="A59" s="22">
        <v>42685</v>
      </c>
      <c r="B59" s="20" t="s">
        <v>1</v>
      </c>
      <c r="C59" s="33">
        <f t="shared" si="6"/>
        <v>42685</v>
      </c>
      <c r="D59" s="33"/>
      <c r="E59" s="68"/>
      <c r="F59" s="68"/>
      <c r="G59" s="68"/>
      <c r="H59" s="68"/>
      <c r="I59" s="2"/>
      <c r="J59" s="843"/>
      <c r="K59" s="843"/>
      <c r="L59" s="843"/>
      <c r="M59" s="843"/>
      <c r="N59" s="843"/>
      <c r="O59" s="843"/>
      <c r="P59" s="843"/>
      <c r="Q59" s="66"/>
      <c r="R59" s="2"/>
      <c r="S59" s="2"/>
      <c r="T59" s="2"/>
    </row>
    <row r="60" spans="1:20">
      <c r="A60" s="22">
        <v>42698</v>
      </c>
      <c r="B60" s="20" t="s">
        <v>2</v>
      </c>
      <c r="C60" s="33">
        <f t="shared" si="6"/>
        <v>42698</v>
      </c>
      <c r="D60" s="33"/>
      <c r="E60" s="68"/>
      <c r="F60" s="68"/>
      <c r="G60" s="68"/>
      <c r="H60" s="68"/>
      <c r="I60" s="2"/>
      <c r="J60" s="843"/>
      <c r="K60" s="843"/>
      <c r="L60" s="843"/>
      <c r="M60" s="843"/>
      <c r="N60" s="843"/>
      <c r="O60" s="843"/>
      <c r="P60" s="843"/>
      <c r="Q60" s="66"/>
      <c r="R60" s="2"/>
      <c r="S60" s="2"/>
      <c r="T60" s="2"/>
    </row>
    <row r="61" spans="1:20">
      <c r="A61" s="22">
        <v>42730</v>
      </c>
      <c r="B61" s="20" t="s">
        <v>4</v>
      </c>
      <c r="C61" s="33">
        <f t="shared" si="6"/>
        <v>42730</v>
      </c>
      <c r="D61" s="33"/>
      <c r="E61" s="68"/>
      <c r="F61" s="68"/>
      <c r="G61" s="68"/>
      <c r="H61" s="68"/>
      <c r="I61" s="2"/>
      <c r="J61" s="843"/>
      <c r="K61" s="843"/>
      <c r="L61" s="843"/>
      <c r="M61" s="843"/>
      <c r="N61" s="843"/>
      <c r="O61" s="843"/>
      <c r="P61" s="843"/>
      <c r="Q61" s="66"/>
      <c r="R61" s="2"/>
      <c r="S61" s="2"/>
      <c r="T61" s="2"/>
    </row>
    <row r="62" spans="1:20">
      <c r="A62" s="22">
        <v>42737</v>
      </c>
      <c r="B62" s="20" t="s">
        <v>5</v>
      </c>
      <c r="C62" s="33">
        <f t="shared" ref="C62:C70" si="7">A62</f>
        <v>42737</v>
      </c>
      <c r="D62" s="33"/>
      <c r="E62" s="68"/>
      <c r="F62" s="68"/>
      <c r="G62" s="68"/>
      <c r="H62" s="68"/>
      <c r="I62" s="2"/>
      <c r="J62" s="843"/>
      <c r="K62" s="843"/>
      <c r="L62" s="843"/>
      <c r="M62" s="843"/>
      <c r="N62" s="843"/>
      <c r="O62" s="843"/>
      <c r="P62" s="843"/>
      <c r="Q62" s="66"/>
      <c r="R62" s="2"/>
      <c r="S62" s="2"/>
      <c r="T62" s="2"/>
    </row>
    <row r="63" spans="1:20">
      <c r="A63" s="22">
        <v>42751</v>
      </c>
      <c r="B63" s="20" t="s">
        <v>6</v>
      </c>
      <c r="C63" s="33">
        <f t="shared" si="7"/>
        <v>42751</v>
      </c>
      <c r="D63" s="33"/>
      <c r="E63" s="68"/>
      <c r="F63" s="68"/>
      <c r="G63" s="68"/>
      <c r="H63" s="68"/>
      <c r="I63" s="2"/>
      <c r="J63" s="843"/>
      <c r="K63" s="843"/>
      <c r="L63" s="843"/>
      <c r="M63" s="843"/>
      <c r="N63" s="843"/>
      <c r="O63" s="843"/>
      <c r="P63" s="843"/>
      <c r="Q63" s="66"/>
      <c r="R63" s="2"/>
      <c r="S63" s="2"/>
      <c r="T63" s="2"/>
    </row>
    <row r="64" spans="1:20">
      <c r="A64" s="22">
        <v>42786</v>
      </c>
      <c r="B64" s="20" t="s">
        <v>7</v>
      </c>
      <c r="C64" s="33">
        <f t="shared" si="7"/>
        <v>42786</v>
      </c>
      <c r="D64" s="33"/>
      <c r="E64" s="68"/>
      <c r="F64" s="68"/>
      <c r="G64" s="68"/>
      <c r="H64" s="68"/>
      <c r="I64" s="2"/>
      <c r="J64" s="843"/>
      <c r="K64" s="843"/>
      <c r="L64" s="843"/>
      <c r="M64" s="843"/>
      <c r="N64" s="843"/>
      <c r="O64" s="843"/>
      <c r="P64" s="843"/>
      <c r="Q64" s="66"/>
      <c r="R64" s="2"/>
      <c r="S64" s="2"/>
      <c r="T64" s="2"/>
    </row>
    <row r="65" spans="1:20">
      <c r="A65" s="22">
        <v>42884</v>
      </c>
      <c r="B65" s="20" t="s">
        <v>8</v>
      </c>
      <c r="C65" s="33">
        <f t="shared" si="7"/>
        <v>42884</v>
      </c>
      <c r="D65" s="33"/>
      <c r="E65" s="68"/>
      <c r="F65" s="68"/>
      <c r="G65" s="68"/>
      <c r="H65" s="68"/>
      <c r="I65" s="2"/>
      <c r="J65" s="843"/>
      <c r="K65" s="843"/>
      <c r="L65" s="843"/>
      <c r="M65" s="843"/>
      <c r="N65" s="843"/>
      <c r="O65" s="843"/>
      <c r="P65" s="843"/>
      <c r="Q65" s="66"/>
      <c r="R65" s="2"/>
      <c r="S65" s="2"/>
      <c r="T65" s="2"/>
    </row>
    <row r="66" spans="1:20">
      <c r="A66" s="22">
        <v>42920</v>
      </c>
      <c r="B66" s="20" t="s">
        <v>9</v>
      </c>
      <c r="C66" s="33">
        <f t="shared" si="7"/>
        <v>42920</v>
      </c>
      <c r="D66" s="33"/>
      <c r="E66" s="68"/>
      <c r="F66" s="68"/>
      <c r="G66" s="68"/>
      <c r="H66" s="68"/>
      <c r="I66" s="2"/>
      <c r="J66" s="843"/>
      <c r="K66" s="843"/>
      <c r="L66" s="843"/>
      <c r="M66" s="843"/>
      <c r="N66" s="843"/>
      <c r="O66" s="843"/>
      <c r="P66" s="843"/>
      <c r="Q66" s="66"/>
      <c r="R66" s="2"/>
      <c r="S66" s="2"/>
      <c r="T66" s="2"/>
    </row>
    <row r="67" spans="1:20">
      <c r="A67" s="22">
        <v>42982</v>
      </c>
      <c r="B67" s="20" t="s">
        <v>10</v>
      </c>
      <c r="C67" s="33">
        <f t="shared" si="7"/>
        <v>42982</v>
      </c>
      <c r="D67" s="33"/>
      <c r="E67" s="68"/>
      <c r="F67" s="68"/>
      <c r="G67" s="68"/>
      <c r="H67" s="68"/>
      <c r="I67" s="2"/>
      <c r="J67" s="843"/>
      <c r="K67" s="843"/>
      <c r="L67" s="843"/>
      <c r="M67" s="843"/>
      <c r="N67" s="843"/>
      <c r="O67" s="843"/>
      <c r="P67" s="843"/>
      <c r="Q67" s="66"/>
      <c r="R67" s="2"/>
      <c r="S67" s="2"/>
      <c r="T67" s="2"/>
    </row>
    <row r="68" spans="1:20">
      <c r="A68" s="22">
        <v>43049</v>
      </c>
      <c r="B68" s="20" t="s">
        <v>1</v>
      </c>
      <c r="C68" s="33">
        <f t="shared" si="7"/>
        <v>43049</v>
      </c>
      <c r="D68" s="33"/>
      <c r="E68" s="68"/>
      <c r="F68" s="68"/>
      <c r="G68" s="68"/>
      <c r="H68" s="68"/>
      <c r="I68" s="2"/>
      <c r="J68" s="843"/>
      <c r="K68" s="843"/>
      <c r="L68" s="843"/>
      <c r="M68" s="843"/>
      <c r="N68" s="843"/>
      <c r="O68" s="843"/>
      <c r="P68" s="843"/>
      <c r="Q68" s="66"/>
      <c r="R68" s="2"/>
      <c r="S68" s="2"/>
      <c r="T68" s="2"/>
    </row>
    <row r="69" spans="1:20">
      <c r="A69" s="22">
        <v>43062</v>
      </c>
      <c r="B69" s="20" t="s">
        <v>2</v>
      </c>
      <c r="C69" s="33">
        <f t="shared" si="7"/>
        <v>43062</v>
      </c>
      <c r="D69" s="33"/>
      <c r="E69" s="68"/>
      <c r="F69" s="68"/>
      <c r="G69" s="68"/>
      <c r="H69" s="68"/>
      <c r="I69" s="2"/>
      <c r="J69" s="843"/>
      <c r="K69" s="843"/>
      <c r="L69" s="843"/>
      <c r="M69" s="843"/>
      <c r="N69" s="843"/>
      <c r="O69" s="843"/>
      <c r="P69" s="843"/>
      <c r="Q69" s="66"/>
      <c r="R69" s="2"/>
      <c r="S69" s="2"/>
      <c r="T69" s="2"/>
    </row>
    <row r="70" spans="1:20">
      <c r="A70" s="22">
        <v>43094</v>
      </c>
      <c r="B70" s="20" t="s">
        <v>4</v>
      </c>
      <c r="C70" s="33">
        <f t="shared" si="7"/>
        <v>43094</v>
      </c>
      <c r="D70" s="33"/>
      <c r="E70" s="68"/>
      <c r="F70" s="68"/>
      <c r="G70" s="68"/>
      <c r="H70" s="68"/>
      <c r="I70" s="2"/>
      <c r="J70" s="843"/>
      <c r="K70" s="843"/>
      <c r="L70" s="843"/>
      <c r="M70" s="843"/>
      <c r="N70" s="843"/>
      <c r="O70" s="843"/>
      <c r="P70" s="843"/>
      <c r="Q70" s="66"/>
      <c r="R70" s="2"/>
      <c r="S70" s="2"/>
      <c r="T70" s="2"/>
    </row>
    <row r="71" spans="1:20">
      <c r="A71" s="22">
        <v>43101</v>
      </c>
      <c r="B71" s="20" t="s">
        <v>5</v>
      </c>
      <c r="C71" s="33">
        <f t="shared" si="5"/>
        <v>43101</v>
      </c>
      <c r="D71" s="33"/>
      <c r="E71" s="68"/>
      <c r="F71" s="68"/>
      <c r="G71" s="68"/>
      <c r="H71" s="68"/>
      <c r="I71" s="2"/>
      <c r="J71" s="843"/>
      <c r="K71" s="843"/>
      <c r="L71" s="843"/>
      <c r="M71" s="843"/>
      <c r="N71" s="843"/>
      <c r="O71" s="843"/>
      <c r="P71" s="843"/>
      <c r="Q71" s="66"/>
      <c r="R71" s="2"/>
      <c r="S71" s="2"/>
      <c r="T71" s="2"/>
    </row>
    <row r="72" spans="1:20">
      <c r="A72" s="18" t="s">
        <v>18</v>
      </c>
      <c r="B72" s="19"/>
      <c r="C72" s="7"/>
      <c r="D72" s="7"/>
      <c r="E72" s="69"/>
      <c r="F72" s="69"/>
      <c r="G72" s="69"/>
      <c r="H72" s="69"/>
      <c r="I72" s="2"/>
      <c r="J72" s="843"/>
      <c r="K72" s="843"/>
      <c r="L72" s="843"/>
      <c r="M72" s="843"/>
      <c r="N72" s="843"/>
      <c r="O72" s="843"/>
      <c r="P72" s="843"/>
      <c r="Q72" s="66"/>
      <c r="R72" s="2"/>
      <c r="S72" s="2"/>
      <c r="T72" s="2"/>
    </row>
    <row r="73" spans="1:20">
      <c r="A73" s="11"/>
      <c r="B73" s="11"/>
      <c r="C73" s="12"/>
      <c r="D73" s="12"/>
      <c r="E73" s="70"/>
      <c r="F73" s="70"/>
      <c r="G73" s="70"/>
      <c r="H73" s="70"/>
      <c r="I73" s="2"/>
      <c r="J73" s="2"/>
      <c r="K73" s="2"/>
      <c r="L73" s="12"/>
      <c r="M73" s="12"/>
      <c r="N73" s="2"/>
      <c r="O73" s="2"/>
      <c r="P73" s="66"/>
      <c r="Q73" s="66"/>
      <c r="R73" s="2"/>
      <c r="S73" s="2"/>
      <c r="T73" s="2"/>
    </row>
    <row r="74" spans="1:20">
      <c r="A74" s="21" t="s">
        <v>13</v>
      </c>
      <c r="B74" s="21" t="s">
        <v>14</v>
      </c>
      <c r="C74" s="2"/>
      <c r="D74" s="2"/>
      <c r="E74" s="64"/>
      <c r="F74" s="64"/>
      <c r="G74" s="64"/>
      <c r="H74" s="64"/>
      <c r="I74" s="2"/>
      <c r="J74" s="2"/>
      <c r="K74" s="2"/>
      <c r="L74" s="2"/>
      <c r="M74" s="2"/>
      <c r="N74" s="2"/>
      <c r="O74" s="2"/>
      <c r="P74" s="66"/>
      <c r="Q74" s="66"/>
      <c r="R74" s="2"/>
      <c r="S74" s="2"/>
      <c r="T74" s="2"/>
    </row>
    <row r="75" spans="1:20">
      <c r="A75" s="28">
        <v>41275</v>
      </c>
      <c r="B75" s="28">
        <v>41257</v>
      </c>
      <c r="C75" s="31">
        <f>WORKDAY(B75,0,S.DDL_DEQClosed)</f>
        <v>41257</v>
      </c>
      <c r="D75" s="31"/>
      <c r="E75" s="23"/>
      <c r="F75" s="23"/>
      <c r="G75" s="23"/>
      <c r="H75" s="23"/>
      <c r="I75" s="2"/>
      <c r="J75" s="2"/>
      <c r="K75" s="61"/>
      <c r="L75" s="61"/>
      <c r="M75" s="13"/>
      <c r="N75" s="2"/>
      <c r="O75" s="2"/>
      <c r="P75" s="66"/>
      <c r="Q75" s="66"/>
      <c r="R75" s="2"/>
      <c r="S75" s="2"/>
      <c r="T75" s="2"/>
    </row>
    <row r="76" spans="1:20">
      <c r="A76" s="28">
        <v>41306</v>
      </c>
      <c r="B76" s="28">
        <v>41289</v>
      </c>
      <c r="C76" s="31">
        <f t="shared" ref="C76:C93" si="8">WORKDAY(B76,0,S.DDL_DEQClosed)</f>
        <v>41289</v>
      </c>
      <c r="D76" s="31"/>
      <c r="E76" s="23"/>
      <c r="F76" s="23"/>
      <c r="G76" s="23"/>
      <c r="H76" s="23"/>
      <c r="I76" s="2"/>
      <c r="J76" s="2"/>
      <c r="K76" s="61"/>
      <c r="L76" s="61"/>
      <c r="M76" s="13"/>
      <c r="N76" s="2"/>
      <c r="O76" s="2"/>
      <c r="P76" s="66"/>
      <c r="Q76" s="66"/>
      <c r="R76" s="2"/>
      <c r="S76" s="2"/>
      <c r="T76" s="2"/>
    </row>
    <row r="77" spans="1:20">
      <c r="A77" s="28">
        <v>41334</v>
      </c>
      <c r="B77" s="28">
        <v>41320</v>
      </c>
      <c r="C77" s="31">
        <f t="shared" si="8"/>
        <v>41320</v>
      </c>
      <c r="D77" s="31"/>
      <c r="E77" s="23"/>
      <c r="F77" s="23"/>
      <c r="G77" s="23"/>
      <c r="H77" s="23"/>
      <c r="I77" s="2"/>
      <c r="J77" s="2"/>
      <c r="K77" s="61"/>
      <c r="L77" s="61"/>
      <c r="M77" s="13"/>
      <c r="N77" s="2"/>
      <c r="O77" s="2"/>
      <c r="P77" s="66"/>
      <c r="Q77" s="66"/>
      <c r="R77" s="2"/>
      <c r="S77" s="2"/>
      <c r="T77" s="2"/>
    </row>
    <row r="78" spans="1:20">
      <c r="A78" s="28">
        <v>41365</v>
      </c>
      <c r="B78" s="28">
        <v>41348</v>
      </c>
      <c r="C78" s="31">
        <f t="shared" si="8"/>
        <v>41348</v>
      </c>
      <c r="D78" s="31"/>
      <c r="E78" s="23"/>
      <c r="F78" s="23"/>
      <c r="G78" s="23"/>
      <c r="H78" s="23"/>
      <c r="I78" s="2"/>
      <c r="J78" s="2"/>
      <c r="K78" s="61"/>
      <c r="L78" s="61"/>
      <c r="M78" s="13"/>
      <c r="N78" s="2"/>
      <c r="O78" s="2"/>
      <c r="P78" s="66"/>
      <c r="Q78" s="66"/>
      <c r="R78" s="2"/>
      <c r="S78" s="2"/>
      <c r="T78" s="2"/>
    </row>
    <row r="79" spans="1:20">
      <c r="A79" s="28">
        <v>41395</v>
      </c>
      <c r="B79" s="28">
        <v>41379</v>
      </c>
      <c r="C79" s="31">
        <f t="shared" si="8"/>
        <v>41379</v>
      </c>
      <c r="D79" s="31"/>
      <c r="E79" s="23"/>
      <c r="F79" s="23"/>
      <c r="G79" s="23"/>
      <c r="H79" s="23"/>
      <c r="I79" s="2"/>
      <c r="J79" s="2"/>
      <c r="K79" s="61"/>
      <c r="L79" s="61"/>
      <c r="M79" s="13"/>
      <c r="N79" s="2"/>
      <c r="O79" s="2"/>
      <c r="P79" s="66"/>
      <c r="Q79" s="66"/>
      <c r="R79" s="2"/>
      <c r="S79" s="2"/>
      <c r="T79" s="2"/>
    </row>
    <row r="80" spans="1:20">
      <c r="A80" s="28">
        <v>41426</v>
      </c>
      <c r="B80" s="28">
        <v>41409</v>
      </c>
      <c r="C80" s="31">
        <f t="shared" si="8"/>
        <v>41409</v>
      </c>
      <c r="D80" s="31"/>
      <c r="E80" s="23"/>
      <c r="F80" s="23"/>
      <c r="G80" s="23"/>
      <c r="H80" s="23"/>
      <c r="I80" s="2"/>
      <c r="J80" s="2"/>
      <c r="K80" s="61"/>
      <c r="L80" s="61"/>
      <c r="M80" s="13"/>
      <c r="N80" s="2"/>
      <c r="O80" s="2"/>
      <c r="P80" s="66"/>
      <c r="Q80" s="66"/>
      <c r="R80" s="2"/>
      <c r="S80" s="2"/>
      <c r="T80" s="2"/>
    </row>
    <row r="81" spans="1:20">
      <c r="A81" s="28">
        <v>41456</v>
      </c>
      <c r="B81" s="28">
        <v>41439</v>
      </c>
      <c r="C81" s="31">
        <f t="shared" si="8"/>
        <v>41439</v>
      </c>
      <c r="D81" s="31"/>
      <c r="E81" s="23"/>
      <c r="F81" s="23"/>
      <c r="G81" s="23"/>
      <c r="H81" s="23"/>
      <c r="I81" s="2"/>
      <c r="J81" s="2"/>
      <c r="K81" s="61"/>
      <c r="L81" s="61"/>
      <c r="M81" s="13"/>
      <c r="N81" s="2"/>
      <c r="O81" s="2"/>
      <c r="P81" s="66"/>
      <c r="Q81" s="66"/>
      <c r="R81" s="2"/>
      <c r="S81" s="2"/>
      <c r="T81" s="2"/>
    </row>
    <row r="82" spans="1:20">
      <c r="A82" s="28">
        <v>41487</v>
      </c>
      <c r="B82" s="28">
        <v>41470</v>
      </c>
      <c r="C82" s="31">
        <f t="shared" si="8"/>
        <v>41470</v>
      </c>
      <c r="D82" s="31"/>
      <c r="E82" s="23"/>
      <c r="F82" s="23"/>
      <c r="G82" s="23"/>
      <c r="H82" s="23"/>
      <c r="I82" s="2"/>
      <c r="J82" s="2"/>
      <c r="K82" s="61"/>
      <c r="L82" s="61"/>
      <c r="M82" s="13"/>
      <c r="N82" s="2"/>
      <c r="O82" s="2"/>
      <c r="P82" s="66"/>
      <c r="Q82" s="66"/>
      <c r="R82" s="2"/>
      <c r="S82" s="2"/>
      <c r="T82" s="2"/>
    </row>
    <row r="83" spans="1:20">
      <c r="A83" s="28">
        <v>41518</v>
      </c>
      <c r="B83" s="28">
        <v>41501</v>
      </c>
      <c r="C83" s="31">
        <f t="shared" si="8"/>
        <v>41501</v>
      </c>
      <c r="D83" s="31"/>
      <c r="E83" s="23"/>
      <c r="F83" s="23"/>
      <c r="G83" s="23"/>
      <c r="H83" s="23"/>
      <c r="I83" s="2"/>
      <c r="J83" s="2"/>
      <c r="K83" s="61"/>
      <c r="L83" s="61"/>
      <c r="M83" s="13"/>
      <c r="N83" s="2"/>
      <c r="O83" s="2"/>
      <c r="P83" s="66"/>
      <c r="Q83" s="66"/>
      <c r="R83" s="2"/>
      <c r="S83" s="2"/>
      <c r="T83" s="2"/>
    </row>
    <row r="84" spans="1:20">
      <c r="A84" s="28">
        <v>41548</v>
      </c>
      <c r="B84" s="28">
        <v>41530</v>
      </c>
      <c r="C84" s="31">
        <f t="shared" si="8"/>
        <v>41530</v>
      </c>
      <c r="D84" s="31"/>
      <c r="E84" s="23"/>
      <c r="F84" s="23"/>
      <c r="G84" s="23"/>
      <c r="H84" s="23"/>
      <c r="I84" s="2"/>
      <c r="J84" s="2"/>
      <c r="K84" s="61"/>
      <c r="L84" s="61"/>
      <c r="M84" s="13"/>
      <c r="N84" s="2"/>
      <c r="O84" s="2"/>
      <c r="P84" s="66"/>
      <c r="Q84" s="66"/>
      <c r="R84" s="2"/>
      <c r="S84" s="2"/>
      <c r="T84" s="2"/>
    </row>
    <row r="85" spans="1:20">
      <c r="A85" s="28">
        <v>41579</v>
      </c>
      <c r="B85" s="28">
        <v>41562</v>
      </c>
      <c r="C85" s="31">
        <f t="shared" si="8"/>
        <v>41562</v>
      </c>
      <c r="D85" s="31"/>
      <c r="E85" s="23"/>
      <c r="F85" s="23"/>
      <c r="G85" s="23"/>
      <c r="H85" s="23"/>
      <c r="I85" s="2"/>
      <c r="J85" s="2"/>
      <c r="K85" s="61"/>
      <c r="L85" s="61"/>
      <c r="M85" s="13"/>
      <c r="N85" s="2"/>
      <c r="O85" s="2"/>
      <c r="P85" s="66"/>
      <c r="Q85" s="66"/>
      <c r="R85" s="2"/>
      <c r="S85" s="2"/>
      <c r="T85" s="2"/>
    </row>
    <row r="86" spans="1:20">
      <c r="A86" s="28">
        <v>41609</v>
      </c>
      <c r="B86" s="28">
        <v>41593</v>
      </c>
      <c r="C86" s="31">
        <f t="shared" si="8"/>
        <v>41593</v>
      </c>
      <c r="D86" s="31"/>
      <c r="E86" s="23"/>
      <c r="F86" s="23"/>
      <c r="G86" s="23"/>
      <c r="H86" s="23"/>
      <c r="I86" s="2"/>
      <c r="J86" s="2"/>
      <c r="K86" s="61"/>
      <c r="L86" s="61"/>
      <c r="M86" s="13"/>
      <c r="N86" s="2"/>
      <c r="O86" s="2"/>
      <c r="P86" s="66"/>
      <c r="Q86" s="66"/>
      <c r="R86" s="2"/>
      <c r="S86" s="2"/>
      <c r="T86" s="2"/>
    </row>
    <row r="87" spans="1:20">
      <c r="A87" s="28">
        <v>41640</v>
      </c>
      <c r="B87" s="28">
        <v>41621</v>
      </c>
      <c r="C87" s="31">
        <f t="shared" si="8"/>
        <v>41621</v>
      </c>
      <c r="D87" s="31"/>
      <c r="E87" s="23"/>
      <c r="F87" s="23"/>
      <c r="G87" s="23"/>
      <c r="H87" s="23"/>
      <c r="I87" s="2"/>
      <c r="J87" s="2"/>
      <c r="K87" s="61"/>
      <c r="L87" s="61"/>
      <c r="M87" s="13"/>
      <c r="N87" s="2"/>
      <c r="O87" s="2"/>
      <c r="P87" s="66"/>
      <c r="Q87" s="66"/>
      <c r="R87" s="2"/>
      <c r="S87" s="2"/>
      <c r="T87" s="2"/>
    </row>
    <row r="88" spans="1:20">
      <c r="A88" s="28">
        <v>41671</v>
      </c>
      <c r="B88" s="28">
        <v>41654</v>
      </c>
      <c r="C88" s="31">
        <f t="shared" si="8"/>
        <v>41654</v>
      </c>
      <c r="D88" s="31"/>
      <c r="E88" s="23"/>
      <c r="F88" s="23"/>
      <c r="G88" s="23"/>
      <c r="H88" s="23"/>
      <c r="I88" s="2"/>
      <c r="J88" s="2"/>
      <c r="K88" s="61"/>
      <c r="L88" s="61"/>
      <c r="M88" s="13"/>
      <c r="N88" s="2"/>
      <c r="O88" s="2"/>
      <c r="P88" s="66"/>
      <c r="Q88" s="66"/>
      <c r="R88" s="2"/>
      <c r="S88" s="2"/>
      <c r="T88" s="2"/>
    </row>
    <row r="89" spans="1:20">
      <c r="A89" s="28">
        <v>41699</v>
      </c>
      <c r="B89" s="29">
        <v>41684</v>
      </c>
      <c r="C89" s="31">
        <f t="shared" si="8"/>
        <v>41684</v>
      </c>
      <c r="D89" s="31"/>
      <c r="E89" s="23"/>
      <c r="F89" s="23"/>
      <c r="G89" s="23"/>
      <c r="H89" s="23"/>
      <c r="I89" s="2"/>
      <c r="J89" s="2"/>
      <c r="K89" s="61"/>
      <c r="L89" s="61"/>
      <c r="M89" s="13"/>
      <c r="N89" s="2"/>
      <c r="O89" s="2"/>
      <c r="P89" s="66"/>
      <c r="Q89" s="66"/>
      <c r="R89" s="2"/>
      <c r="S89" s="2"/>
      <c r="T89" s="2"/>
    </row>
    <row r="90" spans="1:20">
      <c r="A90" s="28">
        <v>41730</v>
      </c>
      <c r="B90" s="28">
        <v>41712</v>
      </c>
      <c r="C90" s="31">
        <f t="shared" si="8"/>
        <v>41712</v>
      </c>
      <c r="D90" s="31"/>
      <c r="E90" s="23"/>
      <c r="F90" s="23"/>
      <c r="G90" s="23"/>
      <c r="H90" s="23"/>
      <c r="I90" s="2"/>
      <c r="J90" s="2"/>
      <c r="K90" s="61"/>
      <c r="L90" s="61"/>
      <c r="M90" s="13"/>
      <c r="N90" s="2"/>
      <c r="O90" s="2"/>
      <c r="P90" s="66"/>
      <c r="Q90" s="66"/>
      <c r="R90" s="2"/>
      <c r="S90" s="2"/>
      <c r="T90" s="2"/>
    </row>
    <row r="91" spans="1:20">
      <c r="A91" s="28">
        <v>41760</v>
      </c>
      <c r="B91" s="28">
        <v>41744</v>
      </c>
      <c r="C91" s="31">
        <f t="shared" si="8"/>
        <v>41744</v>
      </c>
      <c r="D91" s="31"/>
      <c r="E91" s="23"/>
      <c r="F91" s="23"/>
      <c r="G91" s="23"/>
      <c r="H91" s="23"/>
      <c r="I91" s="2"/>
      <c r="J91" s="2"/>
      <c r="K91" s="61"/>
      <c r="L91" s="61"/>
      <c r="M91" s="13"/>
      <c r="N91" s="2"/>
      <c r="O91" s="2"/>
      <c r="P91" s="66"/>
      <c r="Q91" s="66"/>
      <c r="R91" s="2"/>
      <c r="S91" s="2"/>
      <c r="T91" s="2"/>
    </row>
    <row r="92" spans="1:20">
      <c r="A92" s="28">
        <v>41791</v>
      </c>
      <c r="B92" s="28">
        <v>41774</v>
      </c>
      <c r="C92" s="31">
        <f t="shared" si="8"/>
        <v>41774</v>
      </c>
      <c r="D92" s="31"/>
      <c r="E92" s="23"/>
      <c r="F92" s="23"/>
      <c r="G92" s="23"/>
      <c r="H92" s="23"/>
      <c r="I92" s="2"/>
      <c r="J92" s="2"/>
      <c r="K92" s="61"/>
      <c r="L92" s="61"/>
      <c r="M92" s="13"/>
      <c r="N92" s="2"/>
      <c r="O92" s="2"/>
      <c r="P92" s="66"/>
      <c r="Q92" s="66"/>
      <c r="R92" s="2"/>
      <c r="S92" s="2"/>
      <c r="T92" s="2"/>
    </row>
    <row r="93" spans="1:20">
      <c r="A93" s="28">
        <v>41821</v>
      </c>
      <c r="B93" s="28">
        <v>41803</v>
      </c>
      <c r="C93" s="31">
        <f t="shared" si="8"/>
        <v>41803</v>
      </c>
      <c r="D93" s="31"/>
      <c r="E93" s="23"/>
      <c r="F93" s="23"/>
      <c r="G93" s="23"/>
      <c r="H93" s="23"/>
      <c r="I93" s="2"/>
      <c r="J93" s="2"/>
      <c r="K93" s="61"/>
      <c r="L93" s="61"/>
      <c r="M93" s="13"/>
      <c r="N93" s="2"/>
      <c r="O93" s="2"/>
      <c r="P93" s="66"/>
      <c r="Q93" s="66"/>
      <c r="R93" s="2"/>
      <c r="S93" s="2"/>
      <c r="T93" s="2"/>
    </row>
    <row r="94" spans="1:20">
      <c r="A94" s="28">
        <v>41852</v>
      </c>
      <c r="B94" s="28">
        <v>41835</v>
      </c>
      <c r="C94" s="31">
        <f t="shared" ref="C94:C125" si="9">WORKDAY(B94,0,S.DDL_DEQClosed)</f>
        <v>41835</v>
      </c>
      <c r="D94" s="31"/>
      <c r="E94" s="23"/>
      <c r="F94" s="23"/>
      <c r="G94" s="23"/>
      <c r="H94" s="23"/>
      <c r="I94" s="2"/>
      <c r="J94" s="2"/>
      <c r="K94" s="61"/>
      <c r="L94" s="61"/>
      <c r="M94" s="13"/>
      <c r="N94" s="2"/>
      <c r="O94" s="2"/>
      <c r="P94" s="66"/>
      <c r="Q94" s="66"/>
      <c r="R94" s="2"/>
      <c r="S94" s="2"/>
      <c r="T94" s="2"/>
    </row>
    <row r="95" spans="1:20">
      <c r="A95" s="28">
        <v>41883</v>
      </c>
      <c r="B95" s="28">
        <v>41866</v>
      </c>
      <c r="C95" s="31">
        <f t="shared" si="9"/>
        <v>41866</v>
      </c>
      <c r="D95" s="31"/>
      <c r="E95" s="23"/>
      <c r="F95" s="23"/>
      <c r="G95" s="23"/>
      <c r="H95" s="23"/>
      <c r="I95" s="2"/>
      <c r="J95" s="2"/>
      <c r="K95" s="61"/>
      <c r="L95" s="61"/>
      <c r="M95" s="13"/>
      <c r="N95" s="2"/>
      <c r="O95" s="2"/>
      <c r="P95" s="66"/>
      <c r="Q95" s="66"/>
      <c r="R95" s="2"/>
      <c r="S95" s="2"/>
      <c r="T95" s="2"/>
    </row>
    <row r="96" spans="1:20">
      <c r="A96" s="28">
        <v>41913</v>
      </c>
      <c r="B96" s="28">
        <v>41897</v>
      </c>
      <c r="C96" s="31">
        <f t="shared" si="9"/>
        <v>41897</v>
      </c>
      <c r="D96" s="31"/>
      <c r="E96" s="23"/>
      <c r="F96" s="23"/>
      <c r="G96" s="23"/>
      <c r="H96" s="23"/>
      <c r="I96" s="2"/>
      <c r="J96" s="2"/>
      <c r="K96" s="61"/>
      <c r="L96" s="61"/>
      <c r="M96" s="13"/>
      <c r="N96" s="2"/>
      <c r="O96" s="2"/>
      <c r="P96" s="66"/>
      <c r="Q96" s="66"/>
      <c r="R96" s="2"/>
      <c r="S96" s="2"/>
      <c r="T96" s="2"/>
    </row>
    <row r="97" spans="1:20">
      <c r="A97" s="28">
        <v>41944</v>
      </c>
      <c r="B97" s="28">
        <v>41927</v>
      </c>
      <c r="C97" s="31">
        <f t="shared" si="9"/>
        <v>41927</v>
      </c>
      <c r="D97" s="31"/>
      <c r="E97" s="23"/>
      <c r="F97" s="23"/>
      <c r="G97" s="23"/>
      <c r="H97" s="23"/>
      <c r="I97" s="2"/>
      <c r="J97" s="2"/>
      <c r="K97" s="61"/>
      <c r="L97" s="61"/>
      <c r="M97" s="13"/>
      <c r="N97" s="2"/>
      <c r="O97" s="2"/>
      <c r="P97" s="66"/>
      <c r="Q97" s="66"/>
      <c r="R97" s="2"/>
      <c r="S97" s="2"/>
      <c r="T97" s="2"/>
    </row>
    <row r="98" spans="1:20">
      <c r="A98" s="28">
        <v>41974</v>
      </c>
      <c r="B98" s="28">
        <v>41957</v>
      </c>
      <c r="C98" s="31">
        <f t="shared" si="9"/>
        <v>41957</v>
      </c>
      <c r="D98" s="31"/>
      <c r="E98" s="23"/>
      <c r="F98" s="23"/>
      <c r="G98" s="23"/>
      <c r="H98" s="23"/>
      <c r="I98" s="2"/>
      <c r="J98" s="2"/>
      <c r="K98" s="61"/>
      <c r="L98" s="61"/>
      <c r="M98" s="13"/>
      <c r="N98" s="2"/>
      <c r="O98" s="2"/>
      <c r="P98" s="66"/>
      <c r="Q98" s="66"/>
      <c r="R98" s="2"/>
      <c r="S98" s="2"/>
      <c r="T98" s="2"/>
    </row>
    <row r="99" spans="1:20">
      <c r="A99" s="28">
        <v>42005</v>
      </c>
      <c r="B99" s="28">
        <v>41988</v>
      </c>
      <c r="C99" s="31">
        <f t="shared" si="9"/>
        <v>41988</v>
      </c>
      <c r="D99" s="31"/>
      <c r="E99" s="23"/>
      <c r="F99" s="23"/>
      <c r="G99" s="23"/>
      <c r="H99" s="23"/>
      <c r="I99" s="2"/>
      <c r="J99" s="2"/>
      <c r="K99" s="61"/>
      <c r="L99" s="61"/>
      <c r="M99" s="13"/>
      <c r="N99" s="2"/>
      <c r="O99" s="2"/>
      <c r="P99" s="66"/>
      <c r="Q99" s="66"/>
      <c r="R99" s="2"/>
      <c r="S99" s="2"/>
      <c r="T99" s="2"/>
    </row>
    <row r="100" spans="1:20">
      <c r="A100" s="28">
        <v>42036</v>
      </c>
      <c r="B100" s="28">
        <v>42019</v>
      </c>
      <c r="C100" s="31">
        <f t="shared" si="9"/>
        <v>42019</v>
      </c>
      <c r="D100" s="31"/>
      <c r="E100" s="23"/>
      <c r="F100" s="23"/>
      <c r="G100" s="23"/>
      <c r="H100" s="23"/>
      <c r="I100" s="2"/>
      <c r="J100" s="2"/>
      <c r="K100" s="61"/>
      <c r="L100" s="61"/>
      <c r="M100" s="13"/>
      <c r="N100" s="2"/>
      <c r="O100" s="2"/>
      <c r="P100" s="66"/>
      <c r="Q100" s="66"/>
      <c r="R100" s="2"/>
      <c r="S100" s="2"/>
      <c r="T100" s="2"/>
    </row>
    <row r="101" spans="1:20">
      <c r="A101" s="28">
        <v>42064</v>
      </c>
      <c r="B101" s="28">
        <v>42048</v>
      </c>
      <c r="C101" s="31">
        <f t="shared" si="9"/>
        <v>42048</v>
      </c>
      <c r="D101" s="31"/>
      <c r="E101" s="23"/>
      <c r="F101" s="23"/>
      <c r="G101" s="23"/>
      <c r="H101" s="23"/>
      <c r="I101" s="2"/>
      <c r="J101" s="2"/>
      <c r="K101" s="61"/>
      <c r="L101" s="61"/>
      <c r="M101" s="13"/>
      <c r="N101" s="2"/>
      <c r="O101" s="2"/>
      <c r="P101" s="66"/>
      <c r="Q101" s="66"/>
      <c r="R101" s="2"/>
      <c r="S101" s="2"/>
      <c r="T101" s="2"/>
    </row>
    <row r="102" spans="1:20">
      <c r="A102" s="28">
        <v>42095</v>
      </c>
      <c r="B102" s="28">
        <v>42076</v>
      </c>
      <c r="C102" s="31">
        <f t="shared" si="9"/>
        <v>42076</v>
      </c>
      <c r="D102" s="31"/>
      <c r="E102" s="23"/>
      <c r="F102" s="23"/>
      <c r="G102" s="23"/>
      <c r="H102" s="23"/>
      <c r="I102" s="2"/>
      <c r="J102" s="2"/>
      <c r="K102" s="61"/>
      <c r="L102" s="61"/>
      <c r="M102" s="13"/>
      <c r="N102" s="2"/>
      <c r="O102" s="2"/>
      <c r="P102" s="66"/>
      <c r="Q102" s="66"/>
      <c r="R102" s="2"/>
      <c r="S102" s="2"/>
      <c r="T102" s="2"/>
    </row>
    <row r="103" spans="1:20">
      <c r="A103" s="28">
        <v>42125</v>
      </c>
      <c r="B103" s="28">
        <v>42109</v>
      </c>
      <c r="C103" s="31">
        <f t="shared" si="9"/>
        <v>42109</v>
      </c>
      <c r="D103" s="31"/>
      <c r="E103" s="23"/>
      <c r="F103" s="23"/>
      <c r="G103" s="23"/>
      <c r="H103" s="23"/>
      <c r="I103" s="2"/>
      <c r="J103" s="2"/>
      <c r="K103" s="61"/>
      <c r="L103" s="61"/>
      <c r="M103" s="13"/>
      <c r="N103" s="2"/>
      <c r="O103" s="2"/>
      <c r="P103" s="66"/>
      <c r="Q103" s="66"/>
      <c r="R103" s="2"/>
      <c r="S103" s="2"/>
      <c r="T103" s="2"/>
    </row>
    <row r="104" spans="1:20">
      <c r="A104" s="28">
        <v>42156</v>
      </c>
      <c r="B104" s="28">
        <v>42139</v>
      </c>
      <c r="C104" s="31">
        <f t="shared" si="9"/>
        <v>42139</v>
      </c>
      <c r="D104" s="31"/>
      <c r="E104" s="23"/>
      <c r="F104" s="23"/>
      <c r="G104" s="23"/>
      <c r="H104" s="23"/>
      <c r="I104" s="2"/>
      <c r="J104" s="2"/>
      <c r="K104" s="61"/>
      <c r="L104" s="61"/>
      <c r="M104" s="13"/>
      <c r="N104" s="2"/>
      <c r="O104" s="2"/>
      <c r="P104" s="66"/>
      <c r="Q104" s="66"/>
      <c r="R104" s="2"/>
      <c r="S104" s="2"/>
      <c r="T104" s="2"/>
    </row>
    <row r="105" spans="1:20">
      <c r="A105" s="28">
        <v>42186</v>
      </c>
      <c r="B105" s="28">
        <v>42170</v>
      </c>
      <c r="C105" s="31">
        <f t="shared" si="9"/>
        <v>42170</v>
      </c>
      <c r="D105" s="31"/>
      <c r="E105" s="23"/>
      <c r="F105" s="23"/>
      <c r="G105" s="23"/>
      <c r="H105" s="23"/>
      <c r="I105" s="2"/>
      <c r="J105" s="2"/>
      <c r="K105" s="61"/>
      <c r="L105" s="61"/>
      <c r="M105" s="13"/>
      <c r="N105" s="2"/>
      <c r="O105" s="2"/>
      <c r="P105" s="66"/>
      <c r="Q105" s="66"/>
      <c r="R105" s="2"/>
      <c r="S105" s="2"/>
      <c r="T105" s="2"/>
    </row>
    <row r="106" spans="1:20">
      <c r="A106" s="28">
        <v>42217</v>
      </c>
      <c r="B106" s="28">
        <v>42200</v>
      </c>
      <c r="C106" s="31">
        <f t="shared" si="9"/>
        <v>42200</v>
      </c>
      <c r="D106" s="31"/>
      <c r="E106" s="23"/>
      <c r="F106" s="23"/>
      <c r="G106" s="23"/>
      <c r="H106" s="23"/>
      <c r="I106" s="2"/>
      <c r="J106" s="2"/>
      <c r="K106" s="61"/>
      <c r="L106" s="61"/>
      <c r="M106" s="13"/>
      <c r="N106" s="2"/>
      <c r="O106" s="2"/>
      <c r="P106" s="66"/>
      <c r="Q106" s="66"/>
      <c r="R106" s="2"/>
      <c r="S106" s="2"/>
      <c r="T106" s="2"/>
    </row>
    <row r="107" spans="1:20">
      <c r="A107" s="28">
        <v>42248</v>
      </c>
      <c r="B107" s="28">
        <v>42231</v>
      </c>
      <c r="C107" s="31">
        <f t="shared" si="9"/>
        <v>42231</v>
      </c>
      <c r="D107" s="31"/>
      <c r="E107" s="23"/>
      <c r="F107" s="23"/>
      <c r="G107" s="23"/>
      <c r="H107" s="23"/>
      <c r="I107" s="2"/>
      <c r="J107" s="2"/>
      <c r="K107" s="61"/>
      <c r="L107" s="61"/>
      <c r="M107" s="13"/>
      <c r="N107" s="2"/>
      <c r="O107" s="2"/>
      <c r="P107" s="66"/>
      <c r="Q107" s="66"/>
      <c r="R107" s="2"/>
      <c r="S107" s="2"/>
      <c r="T107" s="2"/>
    </row>
    <row r="108" spans="1:20">
      <c r="A108" s="28">
        <v>42278</v>
      </c>
      <c r="B108" s="28">
        <v>42262</v>
      </c>
      <c r="C108" s="31">
        <f t="shared" si="9"/>
        <v>42262</v>
      </c>
      <c r="D108" s="31"/>
      <c r="E108" s="23"/>
      <c r="F108" s="23"/>
      <c r="G108" s="23"/>
      <c r="H108" s="23"/>
      <c r="I108" s="2"/>
      <c r="J108" s="2"/>
      <c r="K108" s="61"/>
      <c r="L108" s="61"/>
      <c r="M108" s="13"/>
      <c r="N108" s="2"/>
      <c r="O108" s="2"/>
      <c r="P108" s="66"/>
      <c r="Q108" s="66"/>
      <c r="R108" s="2"/>
      <c r="S108" s="2"/>
      <c r="T108" s="2"/>
    </row>
    <row r="109" spans="1:20">
      <c r="A109" s="28">
        <v>42309</v>
      </c>
      <c r="B109" s="28">
        <v>42292</v>
      </c>
      <c r="C109" s="31">
        <f t="shared" si="9"/>
        <v>42292</v>
      </c>
      <c r="D109" s="31"/>
      <c r="E109" s="23"/>
      <c r="F109" s="23"/>
      <c r="G109" s="23"/>
      <c r="H109" s="23"/>
      <c r="I109" s="2"/>
      <c r="J109" s="2"/>
      <c r="K109" s="61"/>
      <c r="L109" s="61"/>
      <c r="M109" s="13"/>
      <c r="N109" s="2"/>
      <c r="O109" s="2"/>
      <c r="P109" s="66"/>
      <c r="Q109" s="66"/>
      <c r="R109" s="2"/>
      <c r="S109" s="2"/>
      <c r="T109" s="2"/>
    </row>
    <row r="110" spans="1:20">
      <c r="A110" s="28">
        <v>42339</v>
      </c>
      <c r="B110" s="28">
        <v>42321</v>
      </c>
      <c r="C110" s="31">
        <f t="shared" si="9"/>
        <v>42321</v>
      </c>
      <c r="D110" s="31"/>
      <c r="E110" s="23"/>
      <c r="F110" s="23"/>
      <c r="G110" s="23"/>
      <c r="H110" s="23"/>
      <c r="I110" s="2"/>
      <c r="J110" s="2"/>
      <c r="K110" s="61"/>
      <c r="L110" s="61"/>
      <c r="M110" s="13"/>
      <c r="N110" s="2"/>
      <c r="O110" s="2"/>
      <c r="P110" s="66"/>
      <c r="Q110" s="66"/>
      <c r="R110" s="2"/>
      <c r="S110" s="2"/>
      <c r="T110" s="2"/>
    </row>
    <row r="111" spans="1:20">
      <c r="A111" s="28">
        <v>42370</v>
      </c>
      <c r="B111" s="28">
        <v>42353</v>
      </c>
      <c r="C111" s="31">
        <f t="shared" si="9"/>
        <v>42353</v>
      </c>
      <c r="D111" s="31"/>
      <c r="E111" s="23"/>
      <c r="F111" s="23"/>
      <c r="G111" s="23"/>
      <c r="H111" s="23"/>
      <c r="I111" s="2"/>
      <c r="J111" s="2"/>
      <c r="K111" s="61"/>
      <c r="L111" s="61"/>
      <c r="M111" s="13"/>
      <c r="N111" s="2"/>
      <c r="O111" s="2"/>
      <c r="P111" s="66"/>
      <c r="Q111" s="66"/>
      <c r="R111" s="2"/>
      <c r="S111" s="2"/>
      <c r="T111" s="2"/>
    </row>
    <row r="112" spans="1:20">
      <c r="A112" s="28">
        <v>42401</v>
      </c>
      <c r="B112" s="28">
        <v>42384</v>
      </c>
      <c r="C112" s="31">
        <f t="shared" si="9"/>
        <v>42384</v>
      </c>
      <c r="D112" s="31"/>
      <c r="E112" s="23"/>
      <c r="F112" s="23"/>
      <c r="G112" s="23"/>
      <c r="H112" s="23"/>
      <c r="I112" s="2"/>
      <c r="J112" s="2"/>
      <c r="K112" s="61"/>
      <c r="L112" s="61"/>
      <c r="M112" s="13"/>
      <c r="N112" s="2"/>
      <c r="O112" s="2"/>
      <c r="P112" s="66"/>
      <c r="Q112" s="66"/>
      <c r="R112" s="2"/>
      <c r="S112" s="2"/>
      <c r="T112" s="2"/>
    </row>
    <row r="113" spans="1:20">
      <c r="A113" s="28">
        <v>42430</v>
      </c>
      <c r="B113" s="29">
        <v>42415</v>
      </c>
      <c r="C113" s="31">
        <f t="shared" si="9"/>
        <v>42415</v>
      </c>
      <c r="D113" s="31"/>
      <c r="E113" s="23"/>
      <c r="F113" s="23"/>
      <c r="G113" s="23"/>
      <c r="H113" s="23"/>
      <c r="I113" s="2"/>
      <c r="J113" s="2"/>
      <c r="K113" s="61"/>
      <c r="L113" s="61"/>
      <c r="M113" s="13"/>
      <c r="N113" s="2"/>
      <c r="O113" s="2"/>
      <c r="P113" s="66"/>
      <c r="Q113" s="66"/>
      <c r="R113" s="2"/>
      <c r="S113" s="2"/>
      <c r="T113" s="2"/>
    </row>
    <row r="114" spans="1:20">
      <c r="A114" s="28">
        <v>42461</v>
      </c>
      <c r="B114" s="28">
        <v>42444</v>
      </c>
      <c r="C114" s="31">
        <f t="shared" si="9"/>
        <v>42444</v>
      </c>
      <c r="D114" s="31"/>
      <c r="E114" s="23"/>
      <c r="F114" s="23"/>
      <c r="G114" s="23"/>
      <c r="H114" s="23"/>
      <c r="I114" s="2"/>
      <c r="J114" s="2"/>
      <c r="K114" s="61"/>
      <c r="L114" s="61"/>
      <c r="M114" s="13"/>
      <c r="N114" s="2"/>
      <c r="O114" s="2"/>
      <c r="P114" s="66"/>
      <c r="Q114" s="66"/>
      <c r="R114" s="2"/>
      <c r="S114" s="2"/>
      <c r="T114" s="2"/>
    </row>
    <row r="115" spans="1:20">
      <c r="A115" s="28">
        <v>42491</v>
      </c>
      <c r="B115" s="28">
        <v>42475</v>
      </c>
      <c r="C115" s="31">
        <f t="shared" si="9"/>
        <v>42475</v>
      </c>
      <c r="D115" s="31"/>
      <c r="E115" s="23"/>
      <c r="F115" s="23"/>
      <c r="G115" s="23"/>
      <c r="H115" s="23"/>
      <c r="I115" s="2"/>
      <c r="J115" s="2"/>
      <c r="K115" s="61"/>
      <c r="L115" s="61"/>
      <c r="M115" s="13"/>
      <c r="N115" s="2"/>
      <c r="O115" s="2"/>
      <c r="P115" s="66"/>
      <c r="Q115" s="66"/>
      <c r="R115" s="2"/>
      <c r="S115" s="2"/>
      <c r="T115" s="2"/>
    </row>
    <row r="116" spans="1:20">
      <c r="A116" s="28">
        <v>42522</v>
      </c>
      <c r="B116" s="28">
        <v>42503</v>
      </c>
      <c r="C116" s="31">
        <f t="shared" si="9"/>
        <v>42503</v>
      </c>
      <c r="D116" s="31"/>
      <c r="E116" s="23"/>
      <c r="F116" s="23"/>
      <c r="G116" s="23"/>
      <c r="H116" s="23"/>
      <c r="I116" s="2"/>
      <c r="J116" s="2"/>
      <c r="K116" s="61"/>
      <c r="L116" s="61"/>
      <c r="M116" s="13"/>
      <c r="N116" s="2"/>
      <c r="O116" s="2"/>
      <c r="P116" s="66"/>
      <c r="Q116" s="66"/>
      <c r="R116" s="2"/>
      <c r="S116" s="2"/>
      <c r="T116" s="2"/>
    </row>
    <row r="117" spans="1:20">
      <c r="A117" s="28">
        <v>42552</v>
      </c>
      <c r="B117" s="28">
        <v>42536</v>
      </c>
      <c r="C117" s="31">
        <f t="shared" si="9"/>
        <v>42536</v>
      </c>
      <c r="D117" s="31"/>
      <c r="E117" s="23"/>
      <c r="F117" s="23"/>
      <c r="G117" s="23"/>
      <c r="H117" s="23"/>
      <c r="I117" s="2"/>
      <c r="J117" s="2"/>
      <c r="K117" s="61"/>
      <c r="L117" s="61"/>
      <c r="M117" s="13"/>
      <c r="N117" s="2"/>
      <c r="O117" s="2"/>
      <c r="P117" s="66"/>
      <c r="Q117" s="66"/>
      <c r="R117" s="2"/>
      <c r="S117" s="2"/>
      <c r="T117" s="2"/>
    </row>
    <row r="118" spans="1:20">
      <c r="A118" s="28">
        <v>42583</v>
      </c>
      <c r="B118" s="28">
        <v>42566</v>
      </c>
      <c r="C118" s="31">
        <f t="shared" si="9"/>
        <v>42566</v>
      </c>
      <c r="D118" s="31"/>
      <c r="E118" s="23"/>
      <c r="F118" s="23"/>
      <c r="G118" s="23"/>
      <c r="H118" s="23"/>
      <c r="I118" s="2"/>
      <c r="J118" s="2"/>
      <c r="K118" s="61"/>
      <c r="L118" s="61"/>
      <c r="M118" s="13"/>
      <c r="N118" s="2"/>
      <c r="O118" s="2"/>
      <c r="P118" s="66"/>
      <c r="Q118" s="66"/>
      <c r="R118" s="2"/>
      <c r="S118" s="2"/>
      <c r="T118" s="2"/>
    </row>
    <row r="119" spans="1:20">
      <c r="A119" s="28">
        <v>42614</v>
      </c>
      <c r="B119" s="28">
        <v>42597</v>
      </c>
      <c r="C119" s="31">
        <f t="shared" si="9"/>
        <v>42597</v>
      </c>
      <c r="D119" s="31"/>
      <c r="E119" s="23"/>
      <c r="F119" s="23"/>
      <c r="G119" s="23"/>
      <c r="H119" s="23"/>
      <c r="I119" s="2"/>
      <c r="J119" s="2"/>
      <c r="K119" s="61"/>
      <c r="L119" s="61"/>
      <c r="M119" s="13"/>
      <c r="N119" s="2"/>
      <c r="O119" s="2"/>
      <c r="P119" s="66"/>
      <c r="Q119" s="66"/>
      <c r="R119" s="2"/>
      <c r="S119" s="2"/>
      <c r="T119" s="2"/>
    </row>
    <row r="120" spans="1:20">
      <c r="A120" s="28">
        <v>42644</v>
      </c>
      <c r="B120" s="28">
        <v>42628</v>
      </c>
      <c r="C120" s="31">
        <f t="shared" si="9"/>
        <v>42628</v>
      </c>
      <c r="D120" s="31"/>
      <c r="E120" s="23"/>
      <c r="F120" s="23"/>
      <c r="G120" s="23"/>
      <c r="H120" s="23"/>
      <c r="I120" s="2"/>
      <c r="J120" s="2"/>
      <c r="K120" s="61"/>
      <c r="L120" s="61"/>
      <c r="M120" s="13"/>
      <c r="N120" s="2"/>
      <c r="O120" s="2"/>
      <c r="P120" s="66"/>
      <c r="Q120" s="66"/>
      <c r="R120" s="2"/>
      <c r="S120" s="2"/>
      <c r="T120" s="2"/>
    </row>
    <row r="121" spans="1:20">
      <c r="A121" s="28">
        <v>42675</v>
      </c>
      <c r="B121" s="28">
        <v>42657</v>
      </c>
      <c r="C121" s="31">
        <f t="shared" si="9"/>
        <v>42657</v>
      </c>
      <c r="D121" s="31"/>
      <c r="E121" s="23"/>
      <c r="F121" s="23"/>
      <c r="G121" s="23"/>
      <c r="H121" s="23"/>
      <c r="I121" s="2"/>
      <c r="J121" s="2"/>
      <c r="K121" s="61"/>
      <c r="L121" s="61"/>
      <c r="M121" s="13"/>
      <c r="N121" s="2"/>
      <c r="O121" s="2"/>
      <c r="P121" s="66"/>
      <c r="Q121" s="66"/>
      <c r="R121" s="2"/>
      <c r="S121" s="2"/>
      <c r="T121" s="2"/>
    </row>
    <row r="122" spans="1:20">
      <c r="A122" s="28">
        <v>42705</v>
      </c>
      <c r="B122" s="28">
        <v>42689</v>
      </c>
      <c r="C122" s="31">
        <f t="shared" si="9"/>
        <v>42689</v>
      </c>
      <c r="D122" s="31"/>
      <c r="E122" s="23"/>
      <c r="F122" s="23"/>
      <c r="G122" s="23"/>
      <c r="H122" s="23"/>
      <c r="I122" s="2"/>
      <c r="J122" s="2"/>
      <c r="K122" s="61"/>
      <c r="L122" s="61"/>
      <c r="M122" s="13"/>
      <c r="N122" s="2"/>
      <c r="O122" s="2"/>
      <c r="P122" s="66"/>
      <c r="Q122" s="66"/>
      <c r="R122" s="2"/>
      <c r="S122" s="2"/>
      <c r="T122" s="2"/>
    </row>
    <row r="123" spans="1:20">
      <c r="A123" s="28">
        <v>42736</v>
      </c>
      <c r="B123" s="28">
        <v>42719</v>
      </c>
      <c r="C123" s="31">
        <f t="shared" si="9"/>
        <v>42719</v>
      </c>
      <c r="D123" s="31"/>
      <c r="E123" s="23"/>
      <c r="F123" s="23"/>
      <c r="G123" s="23"/>
      <c r="H123" s="23"/>
      <c r="I123" s="2"/>
      <c r="J123" s="2"/>
      <c r="K123" s="61"/>
      <c r="L123" s="61"/>
      <c r="M123" s="13"/>
      <c r="N123" s="2"/>
      <c r="O123" s="2"/>
      <c r="P123" s="66"/>
      <c r="Q123" s="66"/>
      <c r="R123" s="2"/>
      <c r="S123" s="2"/>
      <c r="T123" s="2"/>
    </row>
    <row r="124" spans="1:20">
      <c r="A124" s="28">
        <v>42767</v>
      </c>
      <c r="B124" s="28">
        <v>42748</v>
      </c>
      <c r="C124" s="31">
        <f t="shared" si="9"/>
        <v>42748</v>
      </c>
      <c r="D124" s="31"/>
      <c r="E124" s="23"/>
      <c r="F124" s="23"/>
      <c r="G124" s="23"/>
      <c r="H124" s="23"/>
      <c r="I124" s="2"/>
      <c r="J124" s="2"/>
      <c r="K124" s="61"/>
      <c r="L124" s="61"/>
      <c r="M124" s="13"/>
      <c r="N124" s="2"/>
      <c r="O124" s="2"/>
      <c r="P124" s="66"/>
      <c r="Q124" s="66"/>
      <c r="R124" s="2"/>
      <c r="S124" s="2"/>
      <c r="T124" s="2"/>
    </row>
    <row r="125" spans="1:20">
      <c r="A125" s="28">
        <v>42795</v>
      </c>
      <c r="B125" s="28">
        <v>42781</v>
      </c>
      <c r="C125" s="31">
        <f t="shared" si="9"/>
        <v>42781</v>
      </c>
      <c r="D125" s="31"/>
      <c r="E125" s="23"/>
      <c r="F125" s="23"/>
      <c r="G125" s="23"/>
      <c r="H125" s="23"/>
      <c r="I125" s="2"/>
      <c r="J125" s="2"/>
      <c r="K125" s="61"/>
      <c r="L125" s="61"/>
      <c r="M125" s="13"/>
      <c r="N125" s="2"/>
      <c r="O125" s="2"/>
      <c r="P125" s="66"/>
      <c r="Q125" s="66"/>
      <c r="R125" s="2"/>
      <c r="S125" s="2"/>
      <c r="T125" s="2"/>
    </row>
    <row r="126" spans="1:20">
      <c r="A126" s="28">
        <v>42826</v>
      </c>
      <c r="B126" s="28">
        <v>42809</v>
      </c>
      <c r="C126" s="31">
        <f t="shared" ref="C126:C157" si="10">WORKDAY(B126,0,S.DDL_DEQClosed)</f>
        <v>42809</v>
      </c>
      <c r="D126" s="31"/>
      <c r="E126" s="23"/>
      <c r="F126" s="23"/>
      <c r="G126" s="23"/>
      <c r="H126" s="23"/>
      <c r="I126" s="2"/>
      <c r="J126" s="2"/>
      <c r="K126" s="61"/>
      <c r="L126" s="61"/>
      <c r="M126" s="13"/>
      <c r="N126" s="2"/>
      <c r="O126" s="2"/>
      <c r="P126" s="66"/>
      <c r="Q126" s="66"/>
      <c r="R126" s="2"/>
      <c r="S126" s="2"/>
      <c r="T126" s="2"/>
    </row>
    <row r="127" spans="1:20">
      <c r="A127" s="28">
        <v>42856</v>
      </c>
      <c r="B127" s="28">
        <v>42839</v>
      </c>
      <c r="C127" s="31">
        <f t="shared" si="10"/>
        <v>42839</v>
      </c>
      <c r="D127" s="31"/>
      <c r="E127" s="23"/>
      <c r="F127" s="23"/>
      <c r="G127" s="23"/>
      <c r="H127" s="23"/>
      <c r="I127" s="2"/>
      <c r="J127" s="2"/>
      <c r="K127" s="61"/>
      <c r="L127" s="61"/>
      <c r="M127" s="13"/>
      <c r="N127" s="2"/>
      <c r="O127" s="2"/>
      <c r="P127" s="66"/>
      <c r="Q127" s="66"/>
      <c r="R127" s="2"/>
      <c r="S127" s="2"/>
      <c r="T127" s="2"/>
    </row>
    <row r="128" spans="1:20">
      <c r="A128" s="28">
        <v>42887</v>
      </c>
      <c r="B128" s="28">
        <v>42870</v>
      </c>
      <c r="C128" s="31">
        <f t="shared" si="10"/>
        <v>42870</v>
      </c>
      <c r="D128" s="31"/>
      <c r="E128" s="23"/>
      <c r="F128" s="23"/>
      <c r="G128" s="23"/>
      <c r="H128" s="23"/>
      <c r="I128" s="2"/>
      <c r="J128" s="2"/>
      <c r="K128" s="61"/>
      <c r="L128" s="61"/>
      <c r="M128" s="13"/>
      <c r="N128" s="2"/>
      <c r="O128" s="2"/>
      <c r="P128" s="66"/>
      <c r="Q128" s="66"/>
      <c r="R128" s="2"/>
      <c r="S128" s="2"/>
      <c r="T128" s="2"/>
    </row>
    <row r="129" spans="1:20">
      <c r="A129" s="28">
        <v>42917</v>
      </c>
      <c r="B129" s="28">
        <v>42901</v>
      </c>
      <c r="C129" s="31">
        <f t="shared" si="10"/>
        <v>42901</v>
      </c>
      <c r="D129" s="31"/>
      <c r="E129" s="23"/>
      <c r="F129" s="23"/>
      <c r="G129" s="23"/>
      <c r="H129" s="23"/>
      <c r="I129" s="2"/>
      <c r="J129" s="2"/>
      <c r="K129" s="61"/>
      <c r="L129" s="61"/>
      <c r="M129" s="13"/>
      <c r="N129" s="2"/>
      <c r="O129" s="2"/>
      <c r="P129" s="66"/>
      <c r="Q129" s="66"/>
      <c r="R129" s="2"/>
      <c r="S129" s="2"/>
      <c r="T129" s="2"/>
    </row>
    <row r="130" spans="1:20">
      <c r="A130" s="28">
        <v>42948</v>
      </c>
      <c r="B130" s="28">
        <v>42930</v>
      </c>
      <c r="C130" s="31">
        <f t="shared" si="10"/>
        <v>42930</v>
      </c>
      <c r="D130" s="31"/>
      <c r="E130" s="23"/>
      <c r="F130" s="23"/>
      <c r="G130" s="23"/>
      <c r="H130" s="23"/>
      <c r="I130" s="2"/>
      <c r="J130" s="2"/>
      <c r="K130" s="61"/>
      <c r="L130" s="61"/>
      <c r="M130" s="13"/>
      <c r="N130" s="2"/>
      <c r="O130" s="2"/>
      <c r="P130" s="66"/>
      <c r="Q130" s="66"/>
      <c r="R130" s="2"/>
      <c r="S130" s="2"/>
      <c r="T130" s="2"/>
    </row>
    <row r="131" spans="1:20">
      <c r="A131" s="28">
        <v>42979</v>
      </c>
      <c r="B131" s="28">
        <v>42962</v>
      </c>
      <c r="C131" s="31">
        <f t="shared" si="10"/>
        <v>42962</v>
      </c>
      <c r="D131" s="31"/>
      <c r="E131" s="23"/>
      <c r="F131" s="23"/>
      <c r="G131" s="23"/>
      <c r="H131" s="23"/>
      <c r="I131" s="2"/>
      <c r="J131" s="2"/>
      <c r="K131" s="61"/>
      <c r="L131" s="61"/>
      <c r="M131" s="13"/>
      <c r="N131" s="2"/>
      <c r="O131" s="2"/>
      <c r="P131" s="66"/>
      <c r="Q131" s="66"/>
      <c r="R131" s="2"/>
      <c r="S131" s="2"/>
      <c r="T131" s="2"/>
    </row>
    <row r="132" spans="1:20">
      <c r="A132" s="28">
        <v>43009</v>
      </c>
      <c r="B132" s="28">
        <v>42993</v>
      </c>
      <c r="C132" s="31">
        <f t="shared" si="10"/>
        <v>42993</v>
      </c>
      <c r="D132" s="31"/>
      <c r="E132" s="23"/>
      <c r="F132" s="23"/>
      <c r="G132" s="23"/>
      <c r="H132" s="23"/>
      <c r="I132" s="2"/>
      <c r="J132" s="2"/>
      <c r="K132" s="61"/>
      <c r="L132" s="61"/>
      <c r="M132" s="13"/>
      <c r="N132" s="2"/>
      <c r="O132" s="2"/>
      <c r="P132" s="66"/>
      <c r="Q132" s="66"/>
      <c r="R132" s="2"/>
      <c r="S132" s="2"/>
      <c r="T132" s="2"/>
    </row>
    <row r="133" spans="1:20">
      <c r="A133" s="28">
        <v>43040</v>
      </c>
      <c r="B133" s="28">
        <v>43021</v>
      </c>
      <c r="C133" s="31">
        <f t="shared" si="10"/>
        <v>43021</v>
      </c>
      <c r="D133" s="31"/>
      <c r="E133" s="23"/>
      <c r="F133" s="23"/>
      <c r="G133" s="23"/>
      <c r="H133" s="23"/>
      <c r="I133" s="2"/>
      <c r="J133" s="2"/>
      <c r="K133" s="61"/>
      <c r="L133" s="61"/>
      <c r="M133" s="13"/>
      <c r="N133" s="2"/>
      <c r="O133" s="2"/>
      <c r="P133" s="66"/>
      <c r="Q133" s="66"/>
      <c r="R133" s="2"/>
      <c r="S133" s="2"/>
      <c r="T133" s="2"/>
    </row>
    <row r="134" spans="1:20">
      <c r="A134" s="28">
        <v>43070</v>
      </c>
      <c r="B134" s="28">
        <v>43054</v>
      </c>
      <c r="C134" s="31">
        <f t="shared" si="10"/>
        <v>43054</v>
      </c>
      <c r="D134" s="31"/>
      <c r="E134" s="23"/>
      <c r="F134" s="23"/>
      <c r="G134" s="23"/>
      <c r="H134" s="23"/>
      <c r="I134" s="2"/>
      <c r="J134" s="2"/>
      <c r="K134" s="61"/>
      <c r="L134" s="61"/>
      <c r="M134" s="13"/>
      <c r="N134" s="2"/>
      <c r="O134" s="2"/>
      <c r="P134" s="66"/>
      <c r="Q134" s="66"/>
      <c r="R134" s="2"/>
      <c r="S134" s="2"/>
      <c r="T134" s="2"/>
    </row>
    <row r="135" spans="1:20">
      <c r="A135" s="28">
        <v>43101</v>
      </c>
      <c r="B135" s="28">
        <v>43084</v>
      </c>
      <c r="C135" s="31">
        <f t="shared" si="10"/>
        <v>43084</v>
      </c>
      <c r="D135" s="31"/>
      <c r="E135" s="23"/>
      <c r="F135" s="23"/>
      <c r="G135" s="23"/>
      <c r="H135" s="23"/>
      <c r="I135" s="2"/>
      <c r="J135" s="2"/>
      <c r="K135" s="61"/>
      <c r="L135" s="61"/>
      <c r="M135" s="13"/>
      <c r="N135" s="2"/>
      <c r="O135" s="2"/>
      <c r="P135" s="66"/>
      <c r="Q135" s="66"/>
      <c r="R135" s="2"/>
      <c r="S135" s="2"/>
      <c r="T135" s="2"/>
    </row>
    <row r="136" spans="1:20">
      <c r="A136" s="28">
        <v>43132</v>
      </c>
      <c r="B136" s="28">
        <v>43115</v>
      </c>
      <c r="C136" s="31">
        <f t="shared" si="10"/>
        <v>43115</v>
      </c>
      <c r="D136" s="31"/>
      <c r="E136" s="23"/>
      <c r="F136" s="23"/>
      <c r="G136" s="23"/>
      <c r="H136" s="23"/>
      <c r="I136" s="2"/>
      <c r="J136" s="2"/>
      <c r="K136" s="61"/>
      <c r="L136" s="61"/>
      <c r="M136" s="13"/>
      <c r="N136" s="2"/>
      <c r="O136" s="2"/>
      <c r="P136" s="66"/>
      <c r="Q136" s="66"/>
      <c r="R136" s="2"/>
      <c r="S136" s="2"/>
      <c r="T136" s="2"/>
    </row>
    <row r="137" spans="1:20">
      <c r="A137" s="28">
        <v>43160</v>
      </c>
      <c r="B137" s="29">
        <v>43146</v>
      </c>
      <c r="C137" s="31">
        <f t="shared" si="10"/>
        <v>43146</v>
      </c>
      <c r="D137" s="31"/>
      <c r="E137" s="23"/>
      <c r="F137" s="23"/>
      <c r="G137" s="23"/>
      <c r="H137" s="23"/>
      <c r="I137" s="2"/>
      <c r="J137" s="2"/>
      <c r="K137" s="61"/>
      <c r="L137" s="61"/>
      <c r="M137" s="13"/>
      <c r="N137" s="2"/>
      <c r="O137" s="2"/>
      <c r="P137" s="66"/>
      <c r="Q137" s="66"/>
      <c r="R137" s="2"/>
      <c r="S137" s="2"/>
      <c r="T137" s="2"/>
    </row>
    <row r="138" spans="1:20">
      <c r="A138" s="28">
        <v>43191</v>
      </c>
      <c r="B138" s="28">
        <v>43173</v>
      </c>
      <c r="C138" s="31">
        <f t="shared" si="10"/>
        <v>43173</v>
      </c>
      <c r="D138" s="31"/>
      <c r="E138" s="23"/>
      <c r="F138" s="23"/>
      <c r="G138" s="23"/>
      <c r="H138" s="23"/>
      <c r="I138" s="2"/>
      <c r="J138" s="2"/>
      <c r="K138" s="61"/>
      <c r="L138" s="61"/>
      <c r="M138" s="13"/>
      <c r="N138" s="2"/>
      <c r="O138" s="2"/>
      <c r="P138" s="66"/>
      <c r="Q138" s="66"/>
      <c r="R138" s="2"/>
      <c r="S138" s="2"/>
      <c r="T138" s="2"/>
    </row>
    <row r="139" spans="1:20">
      <c r="A139" s="28">
        <v>43221</v>
      </c>
      <c r="B139" s="28">
        <v>43203</v>
      </c>
      <c r="C139" s="31">
        <f t="shared" si="10"/>
        <v>43203</v>
      </c>
      <c r="D139" s="31"/>
      <c r="E139" s="23"/>
      <c r="F139" s="23"/>
      <c r="G139" s="23"/>
      <c r="H139" s="23"/>
      <c r="I139" s="2"/>
      <c r="J139" s="2"/>
      <c r="K139" s="61"/>
      <c r="L139" s="61"/>
      <c r="M139" s="13"/>
      <c r="N139" s="2"/>
      <c r="O139" s="2"/>
      <c r="P139" s="66"/>
      <c r="Q139" s="66"/>
      <c r="R139" s="2"/>
      <c r="S139" s="2"/>
      <c r="T139" s="2"/>
    </row>
    <row r="140" spans="1:20">
      <c r="A140" s="28">
        <v>43252</v>
      </c>
      <c r="B140" s="28">
        <v>43235</v>
      </c>
      <c r="C140" s="31">
        <f t="shared" si="10"/>
        <v>43235</v>
      </c>
      <c r="D140" s="31"/>
      <c r="E140" s="23"/>
      <c r="F140" s="23"/>
      <c r="G140" s="23"/>
      <c r="H140" s="23"/>
      <c r="I140" s="2"/>
      <c r="J140" s="2"/>
      <c r="K140" s="61"/>
      <c r="L140" s="61"/>
      <c r="M140" s="13"/>
      <c r="N140" s="2"/>
      <c r="O140" s="2"/>
      <c r="P140" s="66"/>
      <c r="Q140" s="66"/>
      <c r="R140" s="2"/>
      <c r="S140" s="2"/>
      <c r="T140" s="2"/>
    </row>
    <row r="141" spans="1:20">
      <c r="A141" s="28">
        <v>43282</v>
      </c>
      <c r="B141" s="28">
        <v>43266</v>
      </c>
      <c r="C141" s="31">
        <f t="shared" si="10"/>
        <v>43266</v>
      </c>
      <c r="D141" s="31"/>
      <c r="E141" s="23"/>
      <c r="F141" s="23"/>
      <c r="G141" s="23"/>
      <c r="H141" s="23"/>
      <c r="I141" s="2"/>
      <c r="J141" s="2"/>
      <c r="K141" s="61"/>
      <c r="L141" s="61"/>
      <c r="M141" s="13"/>
      <c r="N141" s="2"/>
      <c r="O141" s="2"/>
      <c r="P141" s="66"/>
      <c r="Q141" s="66"/>
      <c r="R141" s="2"/>
      <c r="S141" s="2"/>
      <c r="T141" s="2"/>
    </row>
    <row r="142" spans="1:20">
      <c r="A142" s="28">
        <v>43313</v>
      </c>
      <c r="B142" s="28">
        <v>43294</v>
      </c>
      <c r="C142" s="31">
        <f t="shared" si="10"/>
        <v>43294</v>
      </c>
      <c r="D142" s="31"/>
      <c r="E142" s="23"/>
      <c r="F142" s="23"/>
      <c r="G142" s="23"/>
      <c r="H142" s="23"/>
      <c r="I142" s="2"/>
      <c r="J142" s="2"/>
      <c r="K142" s="61"/>
      <c r="L142" s="61"/>
      <c r="M142" s="13"/>
      <c r="N142" s="2"/>
      <c r="O142" s="2"/>
      <c r="P142" s="66"/>
      <c r="Q142" s="66"/>
      <c r="R142" s="2"/>
      <c r="S142" s="2"/>
      <c r="T142" s="2"/>
    </row>
    <row r="143" spans="1:20">
      <c r="A143" s="28">
        <v>43344</v>
      </c>
      <c r="B143" s="28">
        <v>43327</v>
      </c>
      <c r="C143" s="31">
        <f t="shared" si="10"/>
        <v>43327</v>
      </c>
      <c r="D143" s="31"/>
      <c r="E143" s="23"/>
      <c r="F143" s="23"/>
      <c r="G143" s="23"/>
      <c r="H143" s="23"/>
      <c r="I143" s="2"/>
      <c r="J143" s="2"/>
      <c r="K143" s="61"/>
      <c r="L143" s="61"/>
      <c r="M143" s="13"/>
      <c r="N143" s="2"/>
      <c r="O143" s="2"/>
      <c r="P143" s="66"/>
      <c r="Q143" s="66"/>
      <c r="R143" s="2"/>
      <c r="S143" s="2"/>
      <c r="T143" s="2"/>
    </row>
    <row r="144" spans="1:20">
      <c r="A144" s="28">
        <v>43374</v>
      </c>
      <c r="B144" s="28">
        <v>43357</v>
      </c>
      <c r="C144" s="31">
        <f t="shared" si="10"/>
        <v>43357</v>
      </c>
      <c r="D144" s="31"/>
      <c r="E144" s="23"/>
      <c r="F144" s="23"/>
      <c r="G144" s="23"/>
      <c r="H144" s="23"/>
      <c r="I144" s="2"/>
      <c r="J144" s="2"/>
      <c r="K144" s="61"/>
      <c r="L144" s="61"/>
      <c r="M144" s="13"/>
      <c r="N144" s="2"/>
      <c r="O144" s="2"/>
      <c r="P144" s="66"/>
      <c r="Q144" s="66"/>
      <c r="R144" s="2"/>
      <c r="S144" s="2"/>
      <c r="T144" s="2"/>
    </row>
    <row r="145" spans="1:20">
      <c r="A145" s="28">
        <v>43405</v>
      </c>
      <c r="B145" s="28">
        <v>43388</v>
      </c>
      <c r="C145" s="31">
        <f t="shared" si="10"/>
        <v>43388</v>
      </c>
      <c r="D145" s="31"/>
      <c r="E145" s="23"/>
      <c r="F145" s="23"/>
      <c r="G145" s="23"/>
      <c r="H145" s="23"/>
      <c r="I145" s="2"/>
      <c r="J145" s="2"/>
      <c r="K145" s="61"/>
      <c r="L145" s="61"/>
      <c r="M145" s="13"/>
      <c r="N145" s="2"/>
      <c r="O145" s="2"/>
      <c r="P145" s="66"/>
      <c r="Q145" s="66"/>
      <c r="R145" s="2"/>
      <c r="S145" s="2"/>
      <c r="T145" s="2"/>
    </row>
    <row r="146" spans="1:20">
      <c r="A146" s="28">
        <v>43435</v>
      </c>
      <c r="B146" s="28">
        <v>43419</v>
      </c>
      <c r="C146" s="31">
        <f t="shared" si="10"/>
        <v>43419</v>
      </c>
      <c r="D146" s="31"/>
      <c r="E146" s="23"/>
      <c r="F146" s="23"/>
      <c r="G146" s="23"/>
      <c r="H146" s="23"/>
      <c r="I146" s="2"/>
      <c r="J146" s="2"/>
      <c r="K146" s="61"/>
      <c r="L146" s="61"/>
      <c r="M146" s="13"/>
      <c r="N146" s="2"/>
      <c r="O146" s="2"/>
      <c r="P146" s="66"/>
      <c r="Q146" s="66"/>
      <c r="R146" s="2"/>
      <c r="S146" s="2"/>
      <c r="T146" s="2"/>
    </row>
    <row r="147" spans="1:20">
      <c r="A147" s="28">
        <v>43466</v>
      </c>
      <c r="B147" s="28">
        <v>43448</v>
      </c>
      <c r="C147" s="31">
        <f t="shared" si="10"/>
        <v>43448</v>
      </c>
      <c r="D147" s="31"/>
      <c r="E147" s="23"/>
      <c r="F147" s="23"/>
      <c r="G147" s="23"/>
      <c r="H147" s="23"/>
      <c r="I147" s="2"/>
      <c r="J147" s="2"/>
      <c r="K147" s="61"/>
      <c r="L147" s="61"/>
      <c r="M147" s="13"/>
      <c r="N147" s="2"/>
      <c r="O147" s="2"/>
      <c r="P147" s="66"/>
      <c r="Q147" s="66"/>
      <c r="R147" s="2"/>
      <c r="S147" s="2"/>
      <c r="T147" s="2"/>
    </row>
    <row r="148" spans="1:20">
      <c r="A148" s="28">
        <v>43497</v>
      </c>
      <c r="B148" s="28">
        <v>43480</v>
      </c>
      <c r="C148" s="31">
        <f t="shared" si="10"/>
        <v>43480</v>
      </c>
      <c r="D148" s="31"/>
      <c r="E148" s="23"/>
      <c r="F148" s="23"/>
      <c r="G148" s="23"/>
      <c r="H148" s="23"/>
      <c r="I148" s="2"/>
      <c r="J148" s="2"/>
      <c r="K148" s="61"/>
      <c r="L148" s="61"/>
      <c r="M148" s="13"/>
      <c r="N148" s="2"/>
      <c r="O148" s="2"/>
      <c r="P148" s="66"/>
      <c r="Q148" s="66"/>
      <c r="R148" s="2"/>
      <c r="S148" s="2"/>
      <c r="T148" s="2"/>
    </row>
    <row r="149" spans="1:20">
      <c r="A149" s="28">
        <v>43525</v>
      </c>
      <c r="B149" s="28">
        <v>43511</v>
      </c>
      <c r="C149" s="31">
        <f t="shared" si="10"/>
        <v>43511</v>
      </c>
      <c r="D149" s="31"/>
      <c r="E149" s="23"/>
      <c r="F149" s="23"/>
      <c r="G149" s="23"/>
      <c r="H149" s="23"/>
      <c r="I149" s="2"/>
      <c r="J149" s="2"/>
      <c r="K149" s="61"/>
      <c r="L149" s="61"/>
      <c r="M149" s="13"/>
      <c r="N149" s="2"/>
      <c r="O149" s="2"/>
      <c r="P149" s="66"/>
      <c r="Q149" s="66"/>
      <c r="R149" s="2"/>
      <c r="S149" s="2"/>
      <c r="T149" s="2"/>
    </row>
    <row r="150" spans="1:20">
      <c r="A150" s="28">
        <v>43556</v>
      </c>
      <c r="B150" s="28">
        <v>43539</v>
      </c>
      <c r="C150" s="31">
        <f t="shared" si="10"/>
        <v>43539</v>
      </c>
      <c r="D150" s="31"/>
      <c r="E150" s="23"/>
      <c r="F150" s="23"/>
      <c r="G150" s="23"/>
      <c r="H150" s="23"/>
      <c r="I150" s="2"/>
      <c r="J150" s="2"/>
      <c r="K150" s="61"/>
      <c r="L150" s="61"/>
      <c r="M150" s="13"/>
      <c r="N150" s="2"/>
      <c r="O150" s="2"/>
      <c r="P150" s="66"/>
      <c r="Q150" s="66"/>
      <c r="R150" s="2"/>
      <c r="S150" s="2"/>
      <c r="T150" s="2"/>
    </row>
    <row r="151" spans="1:20">
      <c r="A151" s="28">
        <v>43586</v>
      </c>
      <c r="B151" s="28">
        <v>43570</v>
      </c>
      <c r="C151" s="31">
        <f t="shared" si="10"/>
        <v>43570</v>
      </c>
      <c r="D151" s="31"/>
      <c r="E151" s="23"/>
      <c r="F151" s="23"/>
      <c r="G151" s="23"/>
      <c r="H151" s="23"/>
      <c r="I151" s="2"/>
      <c r="J151" s="2"/>
      <c r="K151" s="61"/>
      <c r="L151" s="61"/>
      <c r="M151" s="13"/>
      <c r="N151" s="2"/>
      <c r="O151" s="2"/>
      <c r="P151" s="66"/>
      <c r="Q151" s="66"/>
      <c r="R151" s="2"/>
      <c r="S151" s="2"/>
      <c r="T151" s="2"/>
    </row>
    <row r="152" spans="1:20">
      <c r="A152" s="28">
        <v>43617</v>
      </c>
      <c r="B152" s="28">
        <v>43600</v>
      </c>
      <c r="C152" s="31">
        <f t="shared" si="10"/>
        <v>43600</v>
      </c>
      <c r="D152" s="31"/>
      <c r="E152" s="23"/>
      <c r="F152" s="23"/>
      <c r="G152" s="23"/>
      <c r="H152" s="23"/>
      <c r="I152" s="2"/>
      <c r="J152" s="2"/>
      <c r="K152" s="61"/>
      <c r="L152" s="61"/>
      <c r="M152" s="13"/>
      <c r="N152" s="2"/>
      <c r="O152" s="2"/>
      <c r="P152" s="66"/>
      <c r="Q152" s="66"/>
      <c r="R152" s="2"/>
      <c r="S152" s="2"/>
      <c r="T152" s="2"/>
    </row>
    <row r="153" spans="1:20">
      <c r="A153" s="28">
        <v>43647</v>
      </c>
      <c r="B153" s="28">
        <v>43630</v>
      </c>
      <c r="C153" s="31">
        <f t="shared" si="10"/>
        <v>43630</v>
      </c>
      <c r="D153" s="31"/>
      <c r="E153" s="23"/>
      <c r="F153" s="23"/>
      <c r="G153" s="23"/>
      <c r="H153" s="23"/>
      <c r="I153" s="2"/>
      <c r="J153" s="2"/>
      <c r="K153" s="61"/>
      <c r="L153" s="61"/>
      <c r="M153" s="13"/>
      <c r="N153" s="2"/>
      <c r="O153" s="2"/>
      <c r="P153" s="66"/>
      <c r="Q153" s="66"/>
      <c r="R153" s="2"/>
      <c r="S153" s="2"/>
      <c r="T153" s="2"/>
    </row>
    <row r="154" spans="1:20">
      <c r="A154" s="28">
        <v>43678</v>
      </c>
      <c r="B154" s="28">
        <v>43661</v>
      </c>
      <c r="C154" s="31">
        <f t="shared" si="10"/>
        <v>43661</v>
      </c>
      <c r="D154" s="31"/>
      <c r="E154" s="23"/>
      <c r="F154" s="23"/>
      <c r="G154" s="23"/>
      <c r="H154" s="23"/>
      <c r="I154" s="2"/>
      <c r="J154" s="2"/>
      <c r="K154" s="61"/>
      <c r="L154" s="61"/>
      <c r="M154" s="13"/>
      <c r="N154" s="2"/>
      <c r="O154" s="2"/>
      <c r="P154" s="66"/>
      <c r="Q154" s="66"/>
      <c r="R154" s="2"/>
      <c r="S154" s="2"/>
      <c r="T154" s="2"/>
    </row>
    <row r="155" spans="1:20">
      <c r="A155" s="28">
        <v>43709</v>
      </c>
      <c r="B155" s="28">
        <v>43692</v>
      </c>
      <c r="C155" s="31">
        <f t="shared" si="10"/>
        <v>43692</v>
      </c>
      <c r="D155" s="31"/>
      <c r="E155" s="23"/>
      <c r="F155" s="23"/>
      <c r="G155" s="23"/>
      <c r="H155" s="23"/>
      <c r="I155" s="2"/>
      <c r="J155" s="2"/>
      <c r="K155" s="61"/>
      <c r="L155" s="61"/>
      <c r="M155" s="13"/>
      <c r="N155" s="2"/>
      <c r="O155" s="2"/>
      <c r="P155" s="66"/>
      <c r="Q155" s="66"/>
      <c r="R155" s="2"/>
      <c r="S155" s="2"/>
      <c r="T155" s="2"/>
    </row>
    <row r="156" spans="1:20">
      <c r="A156" s="28">
        <v>43739</v>
      </c>
      <c r="B156" s="28">
        <v>43721</v>
      </c>
      <c r="C156" s="31">
        <f t="shared" si="10"/>
        <v>43721</v>
      </c>
      <c r="D156" s="31"/>
      <c r="E156" s="23"/>
      <c r="F156" s="23"/>
      <c r="G156" s="23"/>
      <c r="H156" s="23"/>
      <c r="I156" s="2"/>
      <c r="J156" s="2"/>
      <c r="K156" s="61"/>
      <c r="L156" s="61"/>
      <c r="M156" s="13"/>
      <c r="N156" s="2"/>
      <c r="O156" s="2"/>
      <c r="P156" s="66"/>
      <c r="Q156" s="66"/>
      <c r="R156" s="2"/>
      <c r="S156" s="2"/>
      <c r="T156" s="2"/>
    </row>
    <row r="157" spans="1:20">
      <c r="A157" s="28">
        <v>43770</v>
      </c>
      <c r="B157" s="28">
        <v>43753</v>
      </c>
      <c r="C157" s="31">
        <f t="shared" si="10"/>
        <v>43753</v>
      </c>
      <c r="D157" s="31"/>
      <c r="E157" s="23"/>
      <c r="F157" s="23"/>
      <c r="G157" s="23"/>
      <c r="H157" s="23"/>
      <c r="I157" s="2"/>
      <c r="J157" s="2"/>
      <c r="K157" s="61"/>
      <c r="L157" s="61"/>
      <c r="M157" s="13"/>
      <c r="N157" s="2"/>
      <c r="O157" s="2"/>
      <c r="P157" s="66"/>
      <c r="Q157" s="66"/>
      <c r="R157" s="2"/>
      <c r="S157" s="2"/>
      <c r="T157" s="2"/>
    </row>
    <row r="158" spans="1:20">
      <c r="A158" s="28">
        <v>43800</v>
      </c>
      <c r="B158" s="28">
        <v>43784</v>
      </c>
      <c r="C158" s="31">
        <f t="shared" ref="C158:C182" si="11">WORKDAY(B158,0,S.DDL_DEQClosed)</f>
        <v>43784</v>
      </c>
      <c r="D158" s="31"/>
      <c r="E158" s="23"/>
      <c r="F158" s="23"/>
      <c r="G158" s="23"/>
      <c r="H158" s="23"/>
      <c r="I158" s="2"/>
      <c r="J158" s="2"/>
      <c r="K158" s="61"/>
      <c r="L158" s="61"/>
      <c r="M158" s="13"/>
      <c r="N158" s="2"/>
      <c r="O158" s="2"/>
      <c r="P158" s="66"/>
      <c r="Q158" s="66"/>
      <c r="R158" s="2"/>
      <c r="S158" s="2"/>
      <c r="T158" s="2"/>
    </row>
    <row r="159" spans="1:20">
      <c r="A159" s="28">
        <v>43831</v>
      </c>
      <c r="B159" s="28">
        <v>43812</v>
      </c>
      <c r="C159" s="31">
        <f t="shared" si="11"/>
        <v>43812</v>
      </c>
      <c r="D159" s="31"/>
      <c r="E159" s="23"/>
      <c r="F159" s="23"/>
      <c r="G159" s="23"/>
      <c r="H159" s="23"/>
      <c r="I159" s="2"/>
      <c r="J159" s="2"/>
      <c r="K159" s="61"/>
      <c r="L159" s="61"/>
      <c r="M159" s="13"/>
      <c r="N159" s="2"/>
      <c r="O159" s="2"/>
      <c r="P159" s="66"/>
      <c r="Q159" s="66"/>
      <c r="R159" s="2"/>
      <c r="S159" s="2"/>
      <c r="T159" s="2"/>
    </row>
    <row r="160" spans="1:20">
      <c r="A160" s="28">
        <v>43862</v>
      </c>
      <c r="B160" s="28">
        <v>43845</v>
      </c>
      <c r="C160" s="31">
        <f t="shared" si="11"/>
        <v>43845</v>
      </c>
      <c r="D160" s="31"/>
      <c r="E160" s="23"/>
      <c r="F160" s="23"/>
      <c r="G160" s="23"/>
      <c r="H160" s="23"/>
      <c r="I160" s="2"/>
      <c r="J160" s="2"/>
      <c r="K160" s="61"/>
      <c r="L160" s="61"/>
      <c r="M160" s="13"/>
      <c r="N160" s="2"/>
      <c r="O160" s="2"/>
      <c r="P160" s="66"/>
      <c r="Q160" s="66"/>
      <c r="R160" s="2"/>
      <c r="S160" s="2"/>
      <c r="T160" s="2"/>
    </row>
    <row r="161" spans="1:20">
      <c r="A161" s="28">
        <v>43891</v>
      </c>
      <c r="B161" s="29">
        <v>43875</v>
      </c>
      <c r="C161" s="31">
        <f t="shared" si="11"/>
        <v>43875</v>
      </c>
      <c r="D161" s="31"/>
      <c r="E161" s="23"/>
      <c r="F161" s="23"/>
      <c r="G161" s="23"/>
      <c r="H161" s="23"/>
      <c r="I161" s="2"/>
      <c r="J161" s="2"/>
      <c r="K161" s="61"/>
      <c r="L161" s="61"/>
      <c r="M161" s="13"/>
      <c r="N161" s="2"/>
      <c r="O161" s="2"/>
      <c r="P161" s="66"/>
      <c r="Q161" s="66"/>
      <c r="R161" s="2"/>
      <c r="S161" s="2"/>
      <c r="T161" s="2"/>
    </row>
    <row r="162" spans="1:20">
      <c r="A162" s="28">
        <v>43922</v>
      </c>
      <c r="B162" s="28">
        <v>43903</v>
      </c>
      <c r="C162" s="31">
        <f t="shared" si="11"/>
        <v>43903</v>
      </c>
      <c r="D162" s="31"/>
      <c r="E162" s="23"/>
      <c r="F162" s="23"/>
      <c r="G162" s="23"/>
      <c r="H162" s="23"/>
      <c r="I162" s="2"/>
      <c r="J162" s="2"/>
      <c r="K162" s="61"/>
      <c r="L162" s="61"/>
      <c r="M162" s="13"/>
      <c r="N162" s="2"/>
      <c r="O162" s="2"/>
      <c r="P162" s="66"/>
      <c r="Q162" s="66"/>
      <c r="R162" s="2"/>
      <c r="S162" s="2"/>
      <c r="T162" s="2"/>
    </row>
    <row r="163" spans="1:20">
      <c r="A163" s="28">
        <v>43952</v>
      </c>
      <c r="B163" s="28">
        <v>43936</v>
      </c>
      <c r="C163" s="31">
        <f t="shared" si="11"/>
        <v>43936</v>
      </c>
      <c r="D163" s="31"/>
      <c r="E163" s="23"/>
      <c r="F163" s="23"/>
      <c r="G163" s="23"/>
      <c r="H163" s="23"/>
      <c r="I163" s="2"/>
      <c r="J163" s="2"/>
      <c r="K163" s="61"/>
      <c r="L163" s="61"/>
      <c r="M163" s="13"/>
      <c r="N163" s="2"/>
      <c r="O163" s="2"/>
      <c r="P163" s="66"/>
      <c r="Q163" s="66"/>
      <c r="R163" s="2"/>
      <c r="S163" s="2"/>
      <c r="T163" s="2"/>
    </row>
    <row r="164" spans="1:20">
      <c r="A164" s="28">
        <v>43983</v>
      </c>
      <c r="B164" s="28">
        <v>43966</v>
      </c>
      <c r="C164" s="31">
        <f t="shared" si="11"/>
        <v>43966</v>
      </c>
      <c r="D164" s="31"/>
      <c r="E164" s="23"/>
      <c r="F164" s="23"/>
      <c r="G164" s="23"/>
      <c r="H164" s="23"/>
      <c r="I164" s="2"/>
      <c r="J164" s="2"/>
      <c r="K164" s="61"/>
      <c r="L164" s="61"/>
      <c r="M164" s="13"/>
      <c r="N164" s="2"/>
      <c r="O164" s="2"/>
      <c r="P164" s="66"/>
      <c r="Q164" s="66"/>
      <c r="R164" s="2"/>
      <c r="S164" s="2"/>
      <c r="T164" s="2"/>
    </row>
    <row r="165" spans="1:20">
      <c r="A165" s="28">
        <v>44013</v>
      </c>
      <c r="B165" s="28">
        <v>43997</v>
      </c>
      <c r="C165" s="31">
        <f t="shared" si="11"/>
        <v>43997</v>
      </c>
      <c r="D165" s="31"/>
      <c r="E165" s="23"/>
      <c r="F165" s="23"/>
      <c r="G165" s="23"/>
      <c r="H165" s="23"/>
      <c r="I165" s="2"/>
      <c r="J165" s="2"/>
      <c r="K165" s="61"/>
      <c r="L165" s="61"/>
      <c r="M165" s="13"/>
      <c r="N165" s="2"/>
      <c r="O165" s="2"/>
      <c r="P165" s="66"/>
      <c r="Q165" s="66"/>
      <c r="R165" s="2"/>
      <c r="S165" s="2"/>
      <c r="T165" s="2"/>
    </row>
    <row r="166" spans="1:20">
      <c r="A166" s="28">
        <v>44044</v>
      </c>
      <c r="B166" s="28">
        <v>44027</v>
      </c>
      <c r="C166" s="31">
        <f t="shared" si="11"/>
        <v>44027</v>
      </c>
      <c r="D166" s="31"/>
      <c r="E166" s="23"/>
      <c r="F166" s="23"/>
      <c r="G166" s="23"/>
      <c r="H166" s="23"/>
      <c r="I166" s="2"/>
      <c r="J166" s="2"/>
      <c r="K166" s="61"/>
      <c r="L166" s="61"/>
      <c r="M166" s="13"/>
      <c r="N166" s="2"/>
      <c r="O166" s="2"/>
      <c r="P166" s="66"/>
      <c r="Q166" s="66"/>
      <c r="R166" s="2"/>
      <c r="S166" s="2"/>
      <c r="T166" s="2"/>
    </row>
    <row r="167" spans="1:20">
      <c r="A167" s="28">
        <v>44075</v>
      </c>
      <c r="B167" s="28">
        <v>44057</v>
      </c>
      <c r="C167" s="31">
        <f t="shared" si="11"/>
        <v>44057</v>
      </c>
      <c r="D167" s="31"/>
      <c r="E167" s="23"/>
      <c r="F167" s="23"/>
      <c r="G167" s="23"/>
      <c r="H167" s="23"/>
      <c r="I167" s="2"/>
      <c r="J167" s="2"/>
      <c r="K167" s="61"/>
      <c r="L167" s="61"/>
      <c r="M167" s="13"/>
      <c r="N167" s="2"/>
      <c r="O167" s="2"/>
      <c r="P167" s="66"/>
      <c r="Q167" s="66"/>
      <c r="R167" s="2"/>
      <c r="S167" s="2"/>
      <c r="T167" s="2"/>
    </row>
    <row r="168" spans="1:20">
      <c r="A168" s="28">
        <v>44105</v>
      </c>
      <c r="B168" s="28">
        <v>44089</v>
      </c>
      <c r="C168" s="31">
        <f t="shared" si="11"/>
        <v>44089</v>
      </c>
      <c r="D168" s="31"/>
      <c r="E168" s="23"/>
      <c r="F168" s="23"/>
      <c r="G168" s="23"/>
      <c r="H168" s="23"/>
      <c r="I168" s="2"/>
      <c r="J168" s="2"/>
      <c r="K168" s="61"/>
      <c r="L168" s="61"/>
      <c r="M168" s="13"/>
      <c r="N168" s="2"/>
      <c r="O168" s="2"/>
      <c r="P168" s="66"/>
      <c r="Q168" s="66"/>
      <c r="R168" s="2"/>
      <c r="S168" s="2"/>
      <c r="T168" s="2"/>
    </row>
    <row r="169" spans="1:20">
      <c r="A169" s="28">
        <v>44136</v>
      </c>
      <c r="B169" s="28">
        <v>44119</v>
      </c>
      <c r="C169" s="31">
        <f t="shared" si="11"/>
        <v>44119</v>
      </c>
      <c r="D169" s="31"/>
      <c r="E169" s="23"/>
      <c r="F169" s="23"/>
      <c r="G169" s="23"/>
      <c r="H169" s="23"/>
      <c r="I169" s="2"/>
      <c r="J169" s="2"/>
      <c r="K169" s="61"/>
      <c r="L169" s="61"/>
      <c r="M169" s="13"/>
      <c r="N169" s="2"/>
      <c r="O169" s="2"/>
      <c r="P169" s="66"/>
      <c r="Q169" s="66"/>
      <c r="R169" s="2"/>
      <c r="S169" s="2"/>
      <c r="T169" s="2"/>
    </row>
    <row r="170" spans="1:20">
      <c r="A170" s="28">
        <v>44166</v>
      </c>
      <c r="B170" s="28">
        <v>44148</v>
      </c>
      <c r="C170" s="31">
        <f t="shared" si="11"/>
        <v>44148</v>
      </c>
      <c r="D170" s="31"/>
      <c r="E170" s="23"/>
      <c r="F170" s="23"/>
      <c r="G170" s="23"/>
      <c r="H170" s="23"/>
      <c r="I170" s="2"/>
      <c r="J170" s="2"/>
      <c r="K170" s="61"/>
      <c r="L170" s="61"/>
      <c r="M170" s="13"/>
      <c r="N170" s="2"/>
      <c r="O170" s="2"/>
      <c r="P170" s="66"/>
      <c r="Q170" s="66"/>
      <c r="R170" s="2"/>
      <c r="S170" s="2"/>
      <c r="T170" s="2"/>
    </row>
    <row r="171" spans="1:20">
      <c r="A171" s="28">
        <v>44197</v>
      </c>
      <c r="B171" s="28">
        <v>44180</v>
      </c>
      <c r="C171" s="31">
        <f t="shared" si="11"/>
        <v>44180</v>
      </c>
      <c r="D171" s="31"/>
      <c r="E171" s="23"/>
      <c r="F171" s="23"/>
      <c r="G171" s="23"/>
      <c r="H171" s="23"/>
      <c r="I171" s="2"/>
      <c r="J171" s="2"/>
      <c r="K171" s="61"/>
      <c r="L171" s="61"/>
      <c r="M171" s="13"/>
      <c r="N171" s="2"/>
      <c r="O171" s="2"/>
      <c r="P171" s="66"/>
      <c r="Q171" s="66"/>
      <c r="R171" s="2"/>
      <c r="S171" s="2"/>
      <c r="T171" s="2"/>
    </row>
    <row r="172" spans="1:20">
      <c r="A172" s="28">
        <v>44228</v>
      </c>
      <c r="B172" s="28">
        <v>44211</v>
      </c>
      <c r="C172" s="31">
        <f t="shared" si="11"/>
        <v>44211</v>
      </c>
      <c r="D172" s="31"/>
      <c r="E172" s="23"/>
      <c r="F172" s="23"/>
      <c r="G172" s="23"/>
      <c r="H172" s="23"/>
      <c r="I172" s="2"/>
      <c r="J172" s="2"/>
      <c r="K172" s="61"/>
      <c r="L172" s="61"/>
      <c r="M172" s="13"/>
      <c r="N172" s="2"/>
      <c r="O172" s="2"/>
      <c r="P172" s="66"/>
      <c r="Q172" s="66"/>
      <c r="R172" s="2"/>
      <c r="S172" s="2"/>
      <c r="T172" s="2"/>
    </row>
    <row r="173" spans="1:20">
      <c r="A173" s="28">
        <v>44256</v>
      </c>
      <c r="B173" s="29">
        <v>44242</v>
      </c>
      <c r="C173" s="31">
        <f t="shared" si="11"/>
        <v>44242</v>
      </c>
      <c r="D173" s="31"/>
      <c r="E173" s="23"/>
      <c r="F173" s="23"/>
      <c r="G173" s="23"/>
      <c r="H173" s="23"/>
      <c r="I173" s="2"/>
      <c r="J173" s="2"/>
      <c r="K173" s="61"/>
      <c r="L173" s="61"/>
      <c r="M173" s="13"/>
      <c r="N173" s="2"/>
      <c r="O173" s="2"/>
      <c r="P173" s="66"/>
      <c r="Q173" s="66"/>
      <c r="R173" s="2"/>
      <c r="S173" s="2"/>
      <c r="T173" s="2"/>
    </row>
    <row r="174" spans="1:20">
      <c r="A174" s="28">
        <v>44287</v>
      </c>
      <c r="B174" s="28">
        <v>44270</v>
      </c>
      <c r="C174" s="31">
        <f t="shared" si="11"/>
        <v>44270</v>
      </c>
      <c r="D174" s="31"/>
      <c r="E174" s="23"/>
      <c r="F174" s="23"/>
      <c r="G174" s="23"/>
      <c r="H174" s="23"/>
      <c r="I174" s="2"/>
      <c r="J174" s="2"/>
      <c r="K174" s="61"/>
      <c r="L174" s="61"/>
      <c r="M174" s="13"/>
      <c r="N174" s="2"/>
      <c r="O174" s="2"/>
      <c r="P174" s="66"/>
      <c r="Q174" s="66"/>
      <c r="R174" s="2"/>
      <c r="S174" s="2"/>
      <c r="T174" s="2"/>
    </row>
    <row r="175" spans="1:20">
      <c r="A175" s="28">
        <v>44317</v>
      </c>
      <c r="B175" s="28">
        <v>44301</v>
      </c>
      <c r="C175" s="31">
        <f t="shared" si="11"/>
        <v>44301</v>
      </c>
      <c r="D175" s="31"/>
      <c r="E175" s="23"/>
      <c r="F175" s="23"/>
      <c r="G175" s="23"/>
      <c r="H175" s="23"/>
      <c r="I175" s="2"/>
      <c r="J175" s="2"/>
      <c r="K175" s="61"/>
      <c r="L175" s="61"/>
      <c r="M175" s="13"/>
      <c r="N175" s="2"/>
      <c r="O175" s="2"/>
      <c r="P175" s="66"/>
      <c r="Q175" s="66"/>
      <c r="R175" s="2"/>
      <c r="S175" s="2"/>
      <c r="T175" s="2"/>
    </row>
    <row r="176" spans="1:20">
      <c r="A176" s="28">
        <v>44348</v>
      </c>
      <c r="B176" s="28">
        <v>44330</v>
      </c>
      <c r="C176" s="31">
        <f t="shared" si="11"/>
        <v>44330</v>
      </c>
      <c r="D176" s="31"/>
      <c r="E176" s="23"/>
      <c r="F176" s="23"/>
      <c r="G176" s="23"/>
      <c r="H176" s="23"/>
      <c r="I176" s="2"/>
      <c r="J176" s="2"/>
      <c r="K176" s="61"/>
      <c r="L176" s="61"/>
      <c r="M176" s="13"/>
      <c r="N176" s="2"/>
      <c r="O176" s="2"/>
      <c r="P176" s="66"/>
      <c r="Q176" s="66"/>
      <c r="R176" s="2"/>
      <c r="S176" s="2"/>
      <c r="T176" s="2"/>
    </row>
    <row r="177" spans="1:20">
      <c r="A177" s="28">
        <v>44378</v>
      </c>
      <c r="B177" s="28">
        <v>44362</v>
      </c>
      <c r="C177" s="31">
        <f t="shared" si="11"/>
        <v>44362</v>
      </c>
      <c r="D177" s="31"/>
      <c r="E177" s="23"/>
      <c r="F177" s="23"/>
      <c r="G177" s="23"/>
      <c r="H177" s="23"/>
      <c r="I177" s="2"/>
      <c r="J177" s="2"/>
      <c r="K177" s="61"/>
      <c r="L177" s="61"/>
      <c r="M177" s="13"/>
      <c r="N177" s="2"/>
      <c r="O177" s="2"/>
      <c r="P177" s="66"/>
      <c r="Q177" s="66"/>
      <c r="R177" s="2"/>
      <c r="S177" s="2"/>
      <c r="T177" s="2"/>
    </row>
    <row r="178" spans="1:20">
      <c r="A178" s="28">
        <v>44409</v>
      </c>
      <c r="B178" s="28">
        <v>44392</v>
      </c>
      <c r="C178" s="31">
        <f t="shared" si="11"/>
        <v>44392</v>
      </c>
      <c r="D178" s="31"/>
      <c r="E178" s="23"/>
      <c r="F178" s="23"/>
      <c r="G178" s="23"/>
      <c r="H178" s="23"/>
      <c r="I178" s="2"/>
      <c r="J178" s="2"/>
      <c r="K178" s="61"/>
      <c r="L178" s="61"/>
      <c r="M178" s="13"/>
      <c r="N178" s="2"/>
      <c r="O178" s="2"/>
      <c r="P178" s="66"/>
      <c r="Q178" s="66"/>
      <c r="R178" s="2"/>
      <c r="S178" s="2"/>
      <c r="T178" s="2"/>
    </row>
    <row r="179" spans="1:20">
      <c r="A179" s="28">
        <v>44440</v>
      </c>
      <c r="B179" s="28">
        <v>44421</v>
      </c>
      <c r="C179" s="31">
        <f t="shared" si="11"/>
        <v>44421</v>
      </c>
      <c r="D179" s="31"/>
      <c r="E179" s="23"/>
      <c r="F179" s="23"/>
      <c r="G179" s="23"/>
      <c r="H179" s="23"/>
      <c r="I179" s="2"/>
      <c r="J179" s="2"/>
      <c r="K179" s="61"/>
      <c r="L179" s="61"/>
      <c r="M179" s="13"/>
      <c r="N179" s="2"/>
      <c r="O179" s="2"/>
      <c r="P179" s="66"/>
      <c r="Q179" s="66"/>
      <c r="R179" s="2"/>
      <c r="S179" s="2"/>
      <c r="T179" s="2"/>
    </row>
    <row r="180" spans="1:20">
      <c r="A180" s="28">
        <v>44470</v>
      </c>
      <c r="B180" s="28">
        <v>44454</v>
      </c>
      <c r="C180" s="31">
        <f t="shared" si="11"/>
        <v>44454</v>
      </c>
      <c r="D180" s="31"/>
      <c r="E180" s="23"/>
      <c r="F180" s="23"/>
      <c r="G180" s="23"/>
      <c r="H180" s="23"/>
      <c r="I180" s="2"/>
      <c r="J180" s="2"/>
      <c r="K180" s="61"/>
      <c r="L180" s="61"/>
      <c r="M180" s="13"/>
      <c r="N180" s="2"/>
      <c r="O180" s="2"/>
      <c r="P180" s="66"/>
      <c r="Q180" s="66"/>
      <c r="R180" s="2"/>
      <c r="S180" s="2"/>
      <c r="T180" s="2"/>
    </row>
    <row r="181" spans="1:20">
      <c r="A181" s="28">
        <v>44501</v>
      </c>
      <c r="B181" s="28">
        <v>44484</v>
      </c>
      <c r="C181" s="31">
        <f t="shared" si="11"/>
        <v>44484</v>
      </c>
      <c r="D181" s="31"/>
      <c r="E181" s="23"/>
      <c r="F181" s="23"/>
      <c r="G181" s="23"/>
      <c r="H181" s="23"/>
      <c r="I181" s="2"/>
      <c r="J181" s="2"/>
      <c r="K181" s="61"/>
      <c r="L181" s="61"/>
      <c r="M181" s="13"/>
      <c r="N181" s="2"/>
      <c r="O181" s="2"/>
      <c r="P181" s="66"/>
      <c r="Q181" s="66"/>
      <c r="R181" s="2"/>
      <c r="S181" s="2"/>
      <c r="T181" s="2"/>
    </row>
    <row r="182" spans="1:20">
      <c r="A182" s="28">
        <v>44531</v>
      </c>
      <c r="B182" s="28">
        <v>44515</v>
      </c>
      <c r="C182" s="31">
        <f t="shared" si="11"/>
        <v>44515</v>
      </c>
      <c r="D182" s="31"/>
      <c r="E182" s="23"/>
      <c r="F182" s="23"/>
      <c r="G182" s="23"/>
      <c r="H182" s="23"/>
      <c r="I182" s="2"/>
      <c r="J182" s="2"/>
      <c r="K182" s="61"/>
      <c r="L182" s="61"/>
      <c r="M182" s="13"/>
      <c r="N182" s="2"/>
      <c r="O182" s="2"/>
      <c r="P182" s="66"/>
      <c r="Q182" s="66"/>
      <c r="R182" s="2"/>
      <c r="S182" s="2"/>
      <c r="T182" s="2"/>
    </row>
    <row r="183" spans="1:20">
      <c r="A183" s="5" t="s">
        <v>18</v>
      </c>
      <c r="B183" s="6"/>
      <c r="C183" s="37"/>
      <c r="D183" s="37"/>
      <c r="E183" s="69"/>
      <c r="F183" s="69"/>
      <c r="G183" s="69"/>
      <c r="H183" s="69"/>
      <c r="I183" s="2"/>
      <c r="J183" s="2"/>
      <c r="K183" s="2"/>
      <c r="L183" s="7"/>
      <c r="M183" s="7"/>
      <c r="N183" s="2"/>
      <c r="O183" s="2"/>
      <c r="P183" s="66"/>
      <c r="Q183" s="66"/>
      <c r="R183" s="2"/>
      <c r="S183" s="2"/>
      <c r="T183" s="2"/>
    </row>
    <row r="184" spans="1:20">
      <c r="A184" s="14"/>
      <c r="B184" s="14"/>
      <c r="C184" s="15"/>
      <c r="D184" s="15"/>
      <c r="E184" s="69"/>
      <c r="F184" s="69"/>
      <c r="G184" s="69"/>
      <c r="H184" s="69"/>
      <c r="I184" s="2"/>
      <c r="J184" s="2"/>
      <c r="K184" s="2"/>
      <c r="L184" s="15"/>
      <c r="M184" s="15"/>
      <c r="N184" s="2"/>
      <c r="O184" s="2"/>
      <c r="P184" s="66"/>
      <c r="Q184" s="66"/>
      <c r="R184" s="2"/>
      <c r="S184" s="2"/>
      <c r="T184" s="2"/>
    </row>
    <row r="185" spans="1:20">
      <c r="A185" s="61"/>
      <c r="B185" s="14"/>
      <c r="C185" s="15"/>
      <c r="D185" s="15"/>
      <c r="E185" s="69"/>
      <c r="F185" s="69"/>
      <c r="G185" s="69"/>
      <c r="H185" s="69"/>
      <c r="I185" s="2"/>
      <c r="J185" s="2"/>
      <c r="K185" s="2"/>
      <c r="L185" s="15"/>
      <c r="M185" s="15"/>
      <c r="N185" s="2"/>
      <c r="O185" s="2"/>
      <c r="P185" s="66"/>
      <c r="Q185" s="66"/>
      <c r="R185" s="2"/>
      <c r="S185" s="2"/>
      <c r="T185" s="2"/>
    </row>
    <row r="186" spans="1:20">
      <c r="A186" s="61"/>
      <c r="B186" s="14"/>
      <c r="C186" s="15"/>
      <c r="D186" s="15"/>
      <c r="E186" s="69"/>
      <c r="F186" s="69"/>
      <c r="G186" s="69"/>
      <c r="H186" s="69"/>
      <c r="I186" s="2"/>
      <c r="J186" s="2"/>
      <c r="K186" s="2"/>
      <c r="L186" s="15"/>
      <c r="M186" s="15"/>
      <c r="N186" s="2"/>
      <c r="O186" s="2"/>
      <c r="P186" s="66"/>
      <c r="Q186" s="66"/>
      <c r="R186" s="2"/>
      <c r="S186" s="2"/>
      <c r="T186" s="2"/>
    </row>
    <row r="187" spans="1:20">
      <c r="A187" s="61"/>
      <c r="B187" s="14"/>
      <c r="C187" s="15"/>
      <c r="D187" s="15"/>
      <c r="E187" s="69"/>
      <c r="F187" s="69"/>
      <c r="G187" s="69"/>
      <c r="H187" s="69"/>
      <c r="I187" s="2"/>
      <c r="J187" s="2"/>
      <c r="K187" s="2"/>
      <c r="L187" s="15"/>
      <c r="M187" s="15"/>
      <c r="N187" s="2"/>
      <c r="O187" s="2"/>
      <c r="P187" s="66"/>
      <c r="Q187" s="66"/>
      <c r="R187" s="2"/>
      <c r="S187" s="2"/>
      <c r="T187" s="2"/>
    </row>
    <row r="188" spans="1:20">
      <c r="A188" s="61"/>
      <c r="B188" s="14"/>
      <c r="C188" s="15"/>
      <c r="D188" s="15"/>
      <c r="E188" s="69"/>
      <c r="F188" s="69"/>
      <c r="G188" s="69"/>
      <c r="H188" s="69"/>
      <c r="I188" s="2"/>
      <c r="J188" s="2"/>
      <c r="K188" s="2"/>
      <c r="L188" s="15"/>
      <c r="M188" s="15"/>
      <c r="N188" s="2"/>
      <c r="O188" s="2"/>
      <c r="P188" s="66"/>
      <c r="Q188" s="66"/>
      <c r="R188" s="2"/>
      <c r="S188" s="2"/>
      <c r="T188" s="2"/>
    </row>
    <row r="189" spans="1:20">
      <c r="A189" s="61"/>
      <c r="B189" s="6"/>
      <c r="C189" s="7"/>
      <c r="D189" s="7"/>
      <c r="E189" s="69"/>
      <c r="F189" s="69"/>
      <c r="G189" s="69"/>
      <c r="H189" s="69"/>
      <c r="I189" s="2"/>
      <c r="J189" s="2"/>
      <c r="K189" s="2"/>
      <c r="L189" s="7"/>
      <c r="M189" s="7"/>
      <c r="N189" s="2"/>
      <c r="O189" s="2"/>
      <c r="P189" s="66"/>
      <c r="Q189" s="66"/>
      <c r="R189" s="2"/>
      <c r="S189" s="2"/>
      <c r="T189" s="2"/>
    </row>
    <row r="190" spans="1:20">
      <c r="A190" s="14"/>
      <c r="B190" s="14"/>
      <c r="C190" s="15"/>
      <c r="D190" s="15"/>
      <c r="E190" s="69"/>
      <c r="F190" s="69"/>
      <c r="G190" s="69"/>
      <c r="H190" s="69"/>
      <c r="I190" s="2"/>
      <c r="J190" s="2"/>
      <c r="K190" s="2"/>
      <c r="L190" s="15"/>
      <c r="M190" s="15"/>
      <c r="N190" s="2"/>
      <c r="O190" s="2"/>
      <c r="P190" s="66"/>
      <c r="Q190" s="66"/>
      <c r="R190" s="2"/>
      <c r="S190" s="2"/>
      <c r="T190" s="2"/>
    </row>
    <row r="191" spans="1:20">
      <c r="A191" s="3"/>
      <c r="B191" s="3"/>
      <c r="C191" s="2"/>
      <c r="D191" s="2"/>
      <c r="E191" s="64"/>
      <c r="F191" s="64"/>
      <c r="G191" s="64"/>
      <c r="H191" s="64"/>
      <c r="I191" s="2"/>
      <c r="J191" s="2"/>
      <c r="K191" s="2"/>
      <c r="L191" s="2"/>
      <c r="M191" s="2"/>
      <c r="N191" s="2"/>
      <c r="O191" s="2"/>
      <c r="P191" s="66"/>
      <c r="Q191" s="66"/>
      <c r="R191" s="2"/>
      <c r="S191" s="2"/>
      <c r="T191" s="2"/>
    </row>
    <row r="192" spans="1:20">
      <c r="A192" s="3"/>
      <c r="B192" s="3"/>
      <c r="C192" s="2"/>
      <c r="D192" s="2"/>
      <c r="E192" s="64"/>
      <c r="F192" s="64"/>
      <c r="G192" s="64"/>
      <c r="H192" s="64"/>
      <c r="I192" s="2"/>
      <c r="J192" s="2"/>
      <c r="K192" s="2"/>
      <c r="L192" s="2"/>
      <c r="M192" s="2"/>
      <c r="N192" s="2"/>
      <c r="O192" s="2"/>
      <c r="P192" s="66"/>
      <c r="Q192" s="66"/>
      <c r="R192" s="2"/>
      <c r="S192" s="2"/>
      <c r="T192" s="2"/>
    </row>
    <row r="193" spans="1:20">
      <c r="A193" s="3"/>
      <c r="B193" s="3"/>
      <c r="C193" s="2"/>
      <c r="D193" s="2"/>
      <c r="E193" s="64"/>
      <c r="F193" s="64"/>
      <c r="G193" s="64"/>
      <c r="H193" s="64"/>
      <c r="I193" s="2"/>
      <c r="J193" s="2"/>
      <c r="K193" s="2"/>
      <c r="L193" s="2"/>
      <c r="M193" s="2"/>
      <c r="N193" s="2"/>
      <c r="O193" s="2"/>
      <c r="P193" s="66"/>
      <c r="Q193" s="66"/>
      <c r="R193" s="2"/>
      <c r="S193" s="2"/>
      <c r="T193" s="2"/>
    </row>
    <row r="194" spans="1:20">
      <c r="A194" s="3"/>
      <c r="B194" s="3"/>
      <c r="C194" s="2"/>
      <c r="D194" s="2"/>
      <c r="E194" s="64"/>
      <c r="F194" s="64"/>
      <c r="G194" s="64"/>
      <c r="H194" s="64"/>
      <c r="I194" s="2"/>
      <c r="J194" s="2"/>
      <c r="K194" s="2"/>
      <c r="L194" s="2"/>
      <c r="M194" s="2"/>
      <c r="N194" s="2"/>
      <c r="O194" s="2"/>
      <c r="P194" s="66"/>
      <c r="Q194" s="66"/>
      <c r="R194" s="2"/>
      <c r="S194" s="2"/>
      <c r="T194" s="2"/>
    </row>
    <row r="195" spans="1:20">
      <c r="A195" s="3"/>
      <c r="B195" s="3"/>
      <c r="C195" s="2"/>
      <c r="D195" s="2"/>
      <c r="E195" s="64"/>
      <c r="F195" s="64"/>
      <c r="G195" s="64"/>
      <c r="H195" s="64"/>
      <c r="I195" s="2"/>
      <c r="J195" s="2"/>
      <c r="K195" s="2"/>
      <c r="L195" s="2"/>
      <c r="M195" s="2"/>
      <c r="N195" s="2"/>
      <c r="O195" s="2"/>
      <c r="P195" s="66"/>
      <c r="Q195" s="66"/>
      <c r="R195" s="2"/>
      <c r="S195" s="2"/>
      <c r="T195" s="2"/>
    </row>
    <row r="196" spans="1:20">
      <c r="A196" s="3"/>
      <c r="B196" s="3"/>
      <c r="C196" s="2"/>
      <c r="D196" s="2"/>
      <c r="E196" s="64"/>
      <c r="F196" s="64"/>
      <c r="G196" s="64"/>
      <c r="H196" s="64"/>
      <c r="I196" s="2"/>
      <c r="J196" s="2"/>
      <c r="K196" s="2"/>
      <c r="L196" s="2"/>
      <c r="M196" s="2"/>
      <c r="N196" s="2"/>
      <c r="O196" s="2"/>
      <c r="P196" s="66"/>
      <c r="Q196" s="66"/>
      <c r="R196" s="2"/>
      <c r="S196" s="2"/>
      <c r="T196" s="2"/>
    </row>
    <row r="197" spans="1:20">
      <c r="A197" s="3"/>
      <c r="B197" s="3"/>
      <c r="C197" s="2"/>
      <c r="D197" s="2"/>
      <c r="E197" s="64"/>
      <c r="F197" s="64"/>
      <c r="G197" s="64"/>
      <c r="H197" s="64"/>
      <c r="I197" s="2"/>
      <c r="J197" s="2"/>
      <c r="K197" s="2"/>
      <c r="L197" s="2"/>
      <c r="M197" s="2"/>
      <c r="N197" s="2"/>
      <c r="O197" s="2"/>
      <c r="P197" s="66"/>
      <c r="Q197" s="66"/>
      <c r="R197" s="2"/>
      <c r="S197" s="2"/>
      <c r="T197" s="2"/>
    </row>
    <row r="198" spans="1:20">
      <c r="A198" s="3"/>
      <c r="B198" s="3"/>
      <c r="C198" s="2"/>
      <c r="D198" s="2"/>
      <c r="E198" s="64"/>
      <c r="F198" s="64"/>
      <c r="G198" s="64"/>
      <c r="H198" s="64"/>
      <c r="I198" s="2"/>
      <c r="J198" s="2"/>
      <c r="K198" s="2"/>
      <c r="L198" s="2"/>
      <c r="M198" s="2"/>
      <c r="N198" s="2"/>
      <c r="O198" s="2"/>
      <c r="P198" s="66"/>
      <c r="Q198" s="66"/>
      <c r="R198" s="2"/>
      <c r="S198" s="2"/>
      <c r="T198" s="2"/>
    </row>
    <row r="199" spans="1:20">
      <c r="A199" s="3"/>
      <c r="B199" s="3"/>
      <c r="C199" s="2"/>
      <c r="D199" s="2"/>
      <c r="E199" s="64"/>
      <c r="F199" s="64"/>
      <c r="G199" s="64"/>
      <c r="H199" s="64"/>
      <c r="I199" s="2"/>
      <c r="J199" s="2"/>
      <c r="K199" s="2"/>
      <c r="L199" s="2"/>
      <c r="M199" s="2"/>
      <c r="N199" s="2"/>
      <c r="O199" s="2"/>
      <c r="P199" s="66"/>
      <c r="Q199" s="66"/>
      <c r="R199" s="2"/>
      <c r="S199" s="2"/>
      <c r="T199" s="2"/>
    </row>
    <row r="200" spans="1:20">
      <c r="A200" s="3"/>
      <c r="B200" s="3"/>
      <c r="C200" s="2"/>
      <c r="D200" s="2"/>
      <c r="E200" s="64"/>
      <c r="F200" s="64"/>
      <c r="G200" s="64"/>
      <c r="H200" s="64"/>
      <c r="I200" s="2"/>
      <c r="J200" s="2"/>
      <c r="K200" s="2"/>
      <c r="L200" s="2"/>
      <c r="M200" s="2"/>
      <c r="N200" s="2"/>
      <c r="O200" s="2"/>
      <c r="P200" s="66"/>
      <c r="Q200" s="66"/>
      <c r="R200" s="2"/>
      <c r="S200" s="2"/>
      <c r="T200" s="2"/>
    </row>
    <row r="201" spans="1:20">
      <c r="A201" s="3"/>
      <c r="B201" s="3"/>
      <c r="C201" s="2"/>
      <c r="D201" s="2"/>
      <c r="E201" s="64"/>
      <c r="F201" s="64"/>
      <c r="G201" s="64"/>
      <c r="H201" s="64"/>
      <c r="I201" s="2"/>
      <c r="J201" s="2"/>
      <c r="K201" s="2"/>
      <c r="L201" s="2"/>
      <c r="M201" s="2"/>
      <c r="N201" s="2"/>
      <c r="O201" s="2"/>
      <c r="P201" s="66"/>
      <c r="Q201" s="66"/>
      <c r="R201" s="2"/>
      <c r="S201" s="2"/>
      <c r="T201" s="2"/>
    </row>
    <row r="202" spans="1:20">
      <c r="A202" s="3"/>
      <c r="B202" s="3"/>
      <c r="C202" s="2"/>
      <c r="D202" s="2"/>
      <c r="E202" s="64"/>
      <c r="F202" s="64"/>
      <c r="G202" s="64"/>
      <c r="H202" s="64"/>
      <c r="I202" s="2"/>
      <c r="J202" s="2"/>
      <c r="K202" s="2"/>
      <c r="L202" s="2"/>
      <c r="M202" s="2"/>
      <c r="N202" s="2"/>
      <c r="O202" s="2"/>
      <c r="P202" s="66"/>
      <c r="Q202" s="66"/>
      <c r="R202" s="2"/>
      <c r="S202" s="2"/>
      <c r="T202" s="2"/>
    </row>
    <row r="203" spans="1:20">
      <c r="A203" s="3"/>
      <c r="B203" s="3"/>
      <c r="C203" s="2"/>
      <c r="D203" s="2"/>
      <c r="E203" s="64"/>
      <c r="F203" s="64"/>
      <c r="G203" s="64"/>
      <c r="H203" s="64"/>
      <c r="I203" s="2"/>
      <c r="J203" s="2"/>
      <c r="K203" s="2"/>
      <c r="L203" s="2"/>
      <c r="M203" s="2"/>
      <c r="N203" s="2"/>
      <c r="O203" s="2"/>
      <c r="P203" s="66"/>
      <c r="Q203" s="66"/>
      <c r="R203" s="2"/>
      <c r="S203" s="2"/>
      <c r="T203" s="2"/>
    </row>
    <row r="204" spans="1:20">
      <c r="A204" s="3"/>
      <c r="B204" s="3"/>
      <c r="C204" s="2"/>
      <c r="D204" s="2"/>
      <c r="E204" s="64"/>
      <c r="F204" s="64"/>
      <c r="G204" s="64"/>
      <c r="H204" s="64"/>
      <c r="I204" s="2"/>
      <c r="J204" s="2"/>
      <c r="K204" s="2"/>
      <c r="L204" s="2"/>
      <c r="M204" s="2"/>
      <c r="N204" s="2"/>
      <c r="O204" s="2"/>
      <c r="P204" s="66"/>
      <c r="Q204" s="66"/>
      <c r="R204" s="2"/>
      <c r="S204" s="2"/>
      <c r="T204" s="2"/>
    </row>
    <row r="205" spans="1:20">
      <c r="A205" s="3"/>
      <c r="B205" s="3"/>
      <c r="C205" s="2"/>
      <c r="D205" s="2"/>
      <c r="E205" s="64"/>
      <c r="F205" s="64"/>
      <c r="G205" s="64"/>
      <c r="H205" s="64"/>
      <c r="I205" s="2"/>
      <c r="J205" s="2"/>
      <c r="K205" s="2"/>
      <c r="L205" s="2"/>
      <c r="M205" s="2"/>
      <c r="N205" s="2"/>
      <c r="O205" s="2"/>
      <c r="P205" s="66"/>
      <c r="Q205" s="66"/>
      <c r="R205" s="2"/>
      <c r="S205" s="2"/>
      <c r="T205" s="2"/>
    </row>
    <row r="206" spans="1:20">
      <c r="A206" s="3"/>
      <c r="B206" s="3"/>
      <c r="C206" s="2"/>
      <c r="D206" s="2"/>
      <c r="E206" s="64"/>
      <c r="F206" s="64"/>
      <c r="G206" s="64"/>
      <c r="H206" s="64"/>
      <c r="I206" s="2"/>
      <c r="J206" s="2"/>
      <c r="K206" s="2"/>
      <c r="L206" s="2"/>
      <c r="M206" s="2"/>
      <c r="N206" s="2"/>
      <c r="O206" s="2"/>
      <c r="P206" s="66"/>
      <c r="Q206" s="66"/>
      <c r="R206" s="2"/>
      <c r="S206" s="2"/>
      <c r="T206" s="2"/>
    </row>
    <row r="207" spans="1:20">
      <c r="A207" s="3"/>
      <c r="B207" s="3"/>
      <c r="C207" s="2"/>
      <c r="D207" s="2"/>
      <c r="E207" s="64"/>
      <c r="F207" s="64"/>
      <c r="G207" s="64"/>
      <c r="H207" s="64"/>
      <c r="I207" s="2"/>
      <c r="J207" s="2"/>
      <c r="K207" s="2"/>
      <c r="L207" s="2"/>
      <c r="M207" s="2"/>
      <c r="N207" s="2"/>
      <c r="O207" s="2"/>
      <c r="P207" s="66"/>
      <c r="Q207" s="66"/>
      <c r="R207" s="2"/>
      <c r="S207" s="2"/>
      <c r="T207" s="2"/>
    </row>
    <row r="208" spans="1:20">
      <c r="A208" s="3"/>
      <c r="B208" s="3"/>
      <c r="C208" s="2"/>
      <c r="D208" s="2"/>
      <c r="E208" s="64"/>
      <c r="F208" s="64"/>
      <c r="G208" s="64"/>
      <c r="H208" s="64"/>
      <c r="I208" s="2"/>
      <c r="J208" s="2"/>
      <c r="K208" s="2"/>
      <c r="L208" s="2"/>
      <c r="M208" s="2"/>
      <c r="N208" s="2"/>
      <c r="O208" s="2"/>
      <c r="P208" s="66"/>
      <c r="Q208" s="66"/>
      <c r="R208" s="2"/>
      <c r="S208" s="2"/>
      <c r="T208" s="2"/>
    </row>
    <row r="209" spans="1:20">
      <c r="A209" s="3"/>
      <c r="B209" s="3"/>
      <c r="C209" s="2"/>
      <c r="D209" s="2"/>
      <c r="E209" s="64"/>
      <c r="F209" s="64"/>
      <c r="G209" s="64"/>
      <c r="H209" s="64"/>
      <c r="I209" s="2"/>
      <c r="J209" s="2"/>
      <c r="K209" s="2"/>
      <c r="L209" s="2"/>
      <c r="M209" s="2"/>
      <c r="N209" s="2"/>
      <c r="O209" s="2"/>
      <c r="P209" s="66"/>
      <c r="Q209" s="66"/>
      <c r="R209" s="2"/>
      <c r="S209" s="2"/>
      <c r="T209" s="2"/>
    </row>
    <row r="210" spans="1:20">
      <c r="A210" s="3"/>
      <c r="B210" s="3"/>
      <c r="C210" s="2"/>
      <c r="D210" s="2"/>
      <c r="E210" s="64"/>
      <c r="F210" s="64"/>
      <c r="G210" s="64"/>
      <c r="H210" s="64"/>
      <c r="I210" s="2"/>
      <c r="J210" s="2"/>
      <c r="K210" s="2"/>
      <c r="L210" s="2"/>
      <c r="M210" s="2"/>
      <c r="N210" s="2"/>
      <c r="O210" s="2"/>
      <c r="P210" s="66"/>
      <c r="Q210" s="66"/>
      <c r="R210" s="2"/>
      <c r="S210" s="2"/>
      <c r="T210" s="2"/>
    </row>
    <row r="211" spans="1:20">
      <c r="A211" s="3"/>
      <c r="B211" s="3"/>
      <c r="C211" s="2"/>
      <c r="D211" s="2"/>
      <c r="E211" s="64"/>
      <c r="F211" s="64"/>
      <c r="G211" s="64"/>
      <c r="H211" s="64"/>
      <c r="I211" s="2"/>
      <c r="J211" s="2"/>
      <c r="K211" s="2"/>
      <c r="L211" s="2"/>
      <c r="M211" s="2"/>
      <c r="N211" s="2"/>
      <c r="O211" s="2"/>
      <c r="P211" s="66"/>
      <c r="Q211" s="66"/>
      <c r="R211" s="2"/>
      <c r="S211" s="2"/>
      <c r="T211" s="2"/>
    </row>
    <row r="212" spans="1:20">
      <c r="A212" s="3"/>
      <c r="B212" s="3"/>
      <c r="C212" s="2"/>
      <c r="D212" s="2"/>
      <c r="E212" s="64"/>
      <c r="F212" s="64"/>
      <c r="G212" s="64"/>
      <c r="H212" s="64"/>
      <c r="I212" s="2"/>
      <c r="J212" s="2"/>
      <c r="K212" s="2"/>
      <c r="L212" s="2"/>
      <c r="M212" s="2"/>
      <c r="N212" s="2"/>
      <c r="O212" s="2"/>
      <c r="P212" s="66"/>
      <c r="Q212" s="66"/>
      <c r="R212" s="2"/>
      <c r="S212" s="2"/>
      <c r="T212" s="2"/>
    </row>
    <row r="213" spans="1:20">
      <c r="A213" s="3"/>
      <c r="B213" s="3"/>
      <c r="C213" s="2"/>
      <c r="D213" s="2"/>
      <c r="E213" s="64"/>
      <c r="F213" s="64"/>
      <c r="G213" s="64"/>
      <c r="H213" s="64"/>
      <c r="I213" s="2"/>
      <c r="J213" s="2"/>
      <c r="K213" s="2"/>
      <c r="L213" s="2"/>
      <c r="M213" s="2"/>
      <c r="N213" s="2"/>
      <c r="O213" s="2"/>
      <c r="P213" s="66"/>
      <c r="Q213" s="66"/>
      <c r="R213" s="2"/>
      <c r="S213" s="2"/>
      <c r="T213" s="2"/>
    </row>
    <row r="214" spans="1:20">
      <c r="A214" s="3"/>
      <c r="B214" s="3"/>
      <c r="C214" s="2"/>
      <c r="D214" s="2"/>
      <c r="E214" s="64"/>
      <c r="F214" s="64"/>
      <c r="G214" s="64"/>
      <c r="H214" s="64"/>
      <c r="I214" s="2"/>
      <c r="J214" s="2"/>
      <c r="K214" s="2"/>
      <c r="L214" s="2"/>
      <c r="M214" s="2"/>
      <c r="N214" s="2"/>
      <c r="O214" s="2"/>
      <c r="P214" s="66"/>
      <c r="Q214" s="66"/>
      <c r="R214" s="2"/>
      <c r="S214" s="2"/>
      <c r="T214" s="2"/>
    </row>
    <row r="215" spans="1:20">
      <c r="A215" s="3"/>
      <c r="B215" s="3"/>
      <c r="C215" s="2"/>
      <c r="D215" s="2"/>
      <c r="E215" s="64"/>
      <c r="F215" s="64"/>
      <c r="G215" s="64"/>
      <c r="H215" s="64"/>
      <c r="I215" s="2"/>
      <c r="J215" s="2"/>
      <c r="K215" s="2"/>
      <c r="L215" s="2"/>
      <c r="M215" s="2"/>
      <c r="N215" s="2"/>
      <c r="O215" s="2"/>
      <c r="P215" s="66"/>
      <c r="Q215" s="66"/>
      <c r="R215" s="2"/>
      <c r="S215" s="2"/>
      <c r="T215" s="2"/>
    </row>
    <row r="216" spans="1:20">
      <c r="A216" s="3"/>
      <c r="B216" s="3"/>
      <c r="C216" s="2"/>
      <c r="D216" s="2"/>
      <c r="E216" s="64"/>
      <c r="F216" s="64"/>
      <c r="G216" s="64"/>
      <c r="H216" s="64"/>
      <c r="I216" s="2"/>
      <c r="J216" s="2"/>
      <c r="K216" s="2"/>
      <c r="L216" s="2"/>
      <c r="M216" s="2"/>
      <c r="N216" s="2"/>
      <c r="O216" s="2"/>
      <c r="P216" s="66"/>
      <c r="Q216" s="66"/>
      <c r="R216" s="2"/>
      <c r="S216" s="2"/>
      <c r="T216" s="2"/>
    </row>
    <row r="217" spans="1:20">
      <c r="A217" s="3"/>
      <c r="B217" s="3"/>
      <c r="C217" s="2"/>
      <c r="D217" s="2"/>
      <c r="E217" s="64"/>
      <c r="F217" s="64"/>
      <c r="G217" s="64"/>
      <c r="H217" s="64"/>
      <c r="I217" s="2"/>
      <c r="J217" s="2"/>
      <c r="K217" s="2"/>
      <c r="L217" s="2"/>
      <c r="M217" s="2"/>
      <c r="N217" s="2"/>
      <c r="O217" s="2"/>
      <c r="P217" s="66"/>
      <c r="Q217" s="66"/>
      <c r="R217" s="2"/>
      <c r="S217" s="2"/>
      <c r="T217" s="2"/>
    </row>
    <row r="218" spans="1:20">
      <c r="A218" s="3"/>
      <c r="B218" s="3"/>
      <c r="C218" s="2"/>
      <c r="D218" s="2"/>
      <c r="E218" s="64"/>
      <c r="F218" s="64"/>
      <c r="G218" s="64"/>
      <c r="H218" s="64"/>
      <c r="I218" s="2"/>
      <c r="J218" s="2"/>
      <c r="K218" s="2"/>
      <c r="L218" s="2"/>
      <c r="M218" s="2"/>
      <c r="N218" s="2"/>
      <c r="O218" s="2"/>
      <c r="P218" s="66"/>
      <c r="Q218" s="66"/>
      <c r="R218" s="2"/>
      <c r="S218" s="2"/>
      <c r="T218" s="2"/>
    </row>
    <row r="219" spans="1:20">
      <c r="A219" s="3"/>
      <c r="B219" s="3"/>
      <c r="C219" s="2"/>
      <c r="D219" s="2"/>
      <c r="E219" s="64"/>
      <c r="F219" s="64"/>
      <c r="G219" s="64"/>
      <c r="H219" s="64"/>
      <c r="I219" s="2"/>
      <c r="J219" s="2"/>
      <c r="K219" s="2"/>
      <c r="L219" s="2"/>
      <c r="M219" s="2"/>
      <c r="N219" s="2"/>
      <c r="O219" s="2"/>
      <c r="P219" s="66"/>
      <c r="Q219" s="66"/>
      <c r="R219" s="2"/>
      <c r="S219" s="2"/>
      <c r="T219" s="2"/>
    </row>
    <row r="220" spans="1:20">
      <c r="A220" s="3"/>
      <c r="B220" s="3"/>
      <c r="C220" s="2"/>
      <c r="D220" s="2"/>
      <c r="E220" s="64"/>
      <c r="F220" s="64"/>
      <c r="G220" s="64"/>
      <c r="H220" s="64"/>
      <c r="I220" s="2"/>
      <c r="J220" s="2"/>
      <c r="K220" s="2"/>
      <c r="L220" s="2"/>
      <c r="M220" s="2"/>
      <c r="N220" s="2"/>
      <c r="O220" s="2"/>
      <c r="P220" s="66"/>
      <c r="Q220" s="66"/>
      <c r="R220" s="2"/>
      <c r="S220" s="2"/>
      <c r="T220" s="2"/>
    </row>
    <row r="221" spans="1:20">
      <c r="A221" s="3"/>
      <c r="B221" s="3"/>
      <c r="C221" s="2"/>
      <c r="D221" s="2"/>
      <c r="E221" s="64"/>
      <c r="F221" s="64"/>
      <c r="G221" s="64"/>
      <c r="H221" s="64"/>
      <c r="I221" s="2"/>
      <c r="J221" s="2"/>
      <c r="K221" s="2"/>
      <c r="L221" s="2"/>
      <c r="M221" s="2"/>
      <c r="N221" s="2"/>
      <c r="O221" s="2"/>
      <c r="P221" s="66"/>
      <c r="Q221" s="66"/>
      <c r="R221" s="2"/>
      <c r="S221" s="2"/>
      <c r="T221" s="2"/>
    </row>
    <row r="222" spans="1:20">
      <c r="A222" s="3"/>
      <c r="B222" s="3"/>
      <c r="C222" s="2"/>
      <c r="D222" s="2"/>
      <c r="E222" s="64"/>
      <c r="F222" s="64"/>
      <c r="G222" s="64"/>
      <c r="H222" s="64"/>
      <c r="I222" s="2"/>
      <c r="J222" s="2"/>
      <c r="K222" s="2"/>
      <c r="L222" s="2"/>
      <c r="M222" s="2"/>
      <c r="N222" s="2"/>
      <c r="O222" s="2"/>
      <c r="P222" s="66"/>
      <c r="Q222" s="66"/>
      <c r="R222" s="2"/>
      <c r="S222" s="2"/>
      <c r="T222" s="2"/>
    </row>
    <row r="223" spans="1:20">
      <c r="A223" s="3"/>
      <c r="B223" s="3"/>
      <c r="C223" s="2"/>
      <c r="D223" s="2"/>
      <c r="E223" s="64"/>
      <c r="F223" s="64"/>
      <c r="G223" s="64"/>
      <c r="H223" s="64"/>
      <c r="I223" s="2"/>
      <c r="J223" s="2"/>
      <c r="K223" s="2"/>
      <c r="L223" s="2"/>
      <c r="M223" s="2"/>
      <c r="N223" s="2"/>
      <c r="O223" s="2"/>
      <c r="P223" s="66"/>
      <c r="Q223" s="66"/>
      <c r="R223" s="2"/>
      <c r="S223" s="2"/>
      <c r="T223" s="2"/>
    </row>
    <row r="224" spans="1:20">
      <c r="A224" s="3"/>
      <c r="B224" s="3"/>
      <c r="C224" s="2"/>
      <c r="D224" s="2"/>
      <c r="E224" s="64"/>
      <c r="F224" s="64"/>
      <c r="G224" s="64"/>
      <c r="H224" s="64"/>
      <c r="I224" s="2"/>
      <c r="J224" s="2"/>
      <c r="K224" s="2"/>
      <c r="L224" s="2"/>
      <c r="M224" s="2"/>
      <c r="N224" s="2"/>
      <c r="O224" s="2"/>
      <c r="P224" s="66"/>
      <c r="Q224" s="66"/>
      <c r="R224" s="2"/>
      <c r="S224" s="2"/>
      <c r="T224" s="2"/>
    </row>
    <row r="225" spans="1:20">
      <c r="A225" s="3"/>
      <c r="B225" s="3"/>
      <c r="C225" s="2"/>
      <c r="D225" s="2"/>
      <c r="E225" s="64"/>
      <c r="F225" s="64"/>
      <c r="G225" s="64"/>
      <c r="H225" s="64"/>
      <c r="I225" s="2"/>
      <c r="J225" s="2"/>
      <c r="K225" s="2"/>
      <c r="L225" s="2"/>
      <c r="M225" s="2"/>
      <c r="N225" s="2"/>
      <c r="O225" s="2"/>
      <c r="P225" s="66"/>
      <c r="Q225" s="66"/>
      <c r="R225" s="2"/>
      <c r="S225" s="2"/>
      <c r="T225" s="2"/>
    </row>
    <row r="226" spans="1:20">
      <c r="A226" s="3"/>
      <c r="B226" s="3"/>
      <c r="C226" s="2"/>
      <c r="D226" s="2"/>
      <c r="E226" s="64"/>
      <c r="F226" s="64"/>
      <c r="G226" s="64"/>
      <c r="H226" s="64"/>
      <c r="I226" s="2"/>
      <c r="J226" s="2"/>
      <c r="K226" s="2"/>
      <c r="L226" s="2"/>
      <c r="M226" s="2"/>
      <c r="N226" s="2"/>
      <c r="O226" s="2"/>
      <c r="P226" s="66"/>
      <c r="Q226" s="66"/>
      <c r="R226" s="2"/>
      <c r="S226" s="2"/>
      <c r="T226" s="2"/>
    </row>
    <row r="227" spans="1:20">
      <c r="A227" s="3"/>
      <c r="B227" s="3"/>
      <c r="C227" s="2"/>
      <c r="D227" s="2"/>
      <c r="E227" s="64"/>
      <c r="F227" s="64"/>
      <c r="G227" s="64"/>
      <c r="H227" s="64"/>
      <c r="I227" s="2"/>
      <c r="J227" s="2"/>
      <c r="K227" s="2"/>
      <c r="L227" s="2"/>
      <c r="M227" s="2"/>
      <c r="N227" s="2"/>
      <c r="O227" s="2"/>
      <c r="P227" s="66"/>
      <c r="Q227" s="66"/>
      <c r="R227" s="2"/>
      <c r="S227" s="2"/>
      <c r="T227" s="2"/>
    </row>
    <row r="228" spans="1:20">
      <c r="A228" s="3"/>
      <c r="B228" s="3"/>
      <c r="C228" s="2"/>
      <c r="D228" s="2"/>
      <c r="E228" s="64"/>
      <c r="F228" s="64"/>
      <c r="G228" s="64"/>
      <c r="H228" s="64"/>
      <c r="I228" s="2"/>
      <c r="J228" s="2"/>
      <c r="K228" s="2"/>
      <c r="L228" s="2"/>
      <c r="M228" s="2"/>
      <c r="N228" s="2"/>
      <c r="O228" s="2"/>
      <c r="P228" s="66"/>
      <c r="Q228" s="66"/>
      <c r="R228" s="2"/>
      <c r="S228" s="2"/>
      <c r="T228" s="2"/>
    </row>
    <row r="229" spans="1:20">
      <c r="A229" s="3"/>
      <c r="B229" s="3"/>
      <c r="C229" s="2"/>
      <c r="D229" s="2"/>
      <c r="E229" s="64"/>
      <c r="F229" s="64"/>
      <c r="G229" s="64"/>
      <c r="H229" s="64"/>
      <c r="I229" s="2"/>
      <c r="J229" s="2"/>
      <c r="K229" s="2"/>
      <c r="L229" s="2"/>
      <c r="M229" s="2"/>
      <c r="N229" s="2"/>
      <c r="O229" s="2"/>
      <c r="P229" s="66"/>
      <c r="Q229" s="66"/>
      <c r="R229" s="2"/>
      <c r="S229" s="2"/>
      <c r="T229" s="2"/>
    </row>
    <row r="230" spans="1:20">
      <c r="A230" s="3"/>
      <c r="B230" s="3"/>
      <c r="C230" s="2"/>
      <c r="D230" s="2"/>
      <c r="E230" s="64"/>
      <c r="F230" s="64"/>
      <c r="G230" s="64"/>
      <c r="H230" s="64"/>
      <c r="I230" s="2"/>
      <c r="J230" s="2"/>
      <c r="K230" s="2"/>
      <c r="L230" s="2"/>
      <c r="M230" s="2"/>
      <c r="N230" s="2"/>
      <c r="O230" s="2"/>
      <c r="P230" s="66"/>
      <c r="Q230" s="66"/>
      <c r="R230" s="2"/>
      <c r="S230" s="2"/>
      <c r="T230" s="2"/>
    </row>
    <row r="231" spans="1:20">
      <c r="A231" s="3"/>
      <c r="B231" s="3"/>
      <c r="C231" s="2"/>
      <c r="D231" s="2"/>
      <c r="E231" s="64"/>
      <c r="F231" s="64"/>
      <c r="G231" s="64"/>
      <c r="H231" s="64"/>
      <c r="I231" s="2"/>
      <c r="J231" s="2"/>
      <c r="K231" s="2"/>
      <c r="L231" s="2"/>
      <c r="M231" s="2"/>
      <c r="N231" s="2"/>
      <c r="O231" s="2"/>
      <c r="P231" s="66"/>
      <c r="Q231" s="66"/>
      <c r="R231" s="2"/>
      <c r="S231" s="2"/>
      <c r="T231" s="2"/>
    </row>
    <row r="232" spans="1:20">
      <c r="A232" s="3"/>
      <c r="B232" s="3"/>
      <c r="C232" s="2"/>
      <c r="D232" s="2"/>
      <c r="E232" s="64"/>
      <c r="F232" s="64"/>
      <c r="G232" s="64"/>
      <c r="H232" s="64"/>
      <c r="I232" s="2"/>
      <c r="J232" s="2"/>
      <c r="K232" s="2"/>
      <c r="L232" s="2"/>
      <c r="M232" s="2"/>
      <c r="N232" s="2"/>
      <c r="O232" s="2"/>
      <c r="P232" s="66"/>
      <c r="Q232" s="66"/>
      <c r="R232" s="2"/>
      <c r="S232" s="2"/>
      <c r="T232" s="2"/>
    </row>
    <row r="233" spans="1:20">
      <c r="A233" s="3"/>
      <c r="B233" s="3"/>
      <c r="C233" s="2"/>
      <c r="D233" s="2"/>
      <c r="E233" s="64"/>
      <c r="F233" s="64"/>
      <c r="G233" s="64"/>
      <c r="H233" s="64"/>
      <c r="I233" s="2"/>
      <c r="J233" s="2"/>
      <c r="K233" s="2"/>
      <c r="L233" s="2"/>
      <c r="M233" s="2"/>
      <c r="N233" s="2"/>
      <c r="O233" s="2"/>
      <c r="P233" s="66"/>
      <c r="Q233" s="66"/>
      <c r="R233" s="2"/>
      <c r="S233" s="2"/>
      <c r="T233" s="2"/>
    </row>
    <row r="234" spans="1:20">
      <c r="A234" s="3"/>
      <c r="B234" s="3"/>
      <c r="C234" s="2"/>
      <c r="D234" s="2"/>
      <c r="E234" s="64"/>
      <c r="F234" s="64"/>
      <c r="G234" s="64"/>
      <c r="H234" s="64"/>
      <c r="I234" s="2"/>
      <c r="J234" s="2"/>
      <c r="K234" s="2"/>
      <c r="L234" s="2"/>
      <c r="M234" s="2"/>
      <c r="N234" s="2"/>
      <c r="O234" s="2"/>
      <c r="P234" s="66"/>
      <c r="Q234" s="66"/>
      <c r="R234" s="2"/>
      <c r="S234" s="2"/>
      <c r="T234" s="2"/>
    </row>
    <row r="235" spans="1:20">
      <c r="A235" s="3"/>
      <c r="B235" s="3"/>
      <c r="C235" s="2"/>
      <c r="D235" s="2"/>
      <c r="E235" s="64"/>
      <c r="F235" s="64"/>
      <c r="G235" s="64"/>
      <c r="H235" s="64"/>
      <c r="I235" s="2"/>
      <c r="J235" s="2"/>
      <c r="K235" s="2"/>
      <c r="L235" s="2"/>
      <c r="M235" s="2"/>
      <c r="N235" s="2"/>
      <c r="O235" s="2"/>
      <c r="P235" s="66"/>
      <c r="Q235" s="66"/>
      <c r="R235" s="2"/>
      <c r="S235" s="2"/>
      <c r="T235" s="2"/>
    </row>
    <row r="236" spans="1:20">
      <c r="A236" s="3"/>
      <c r="B236" s="3"/>
      <c r="C236" s="2"/>
      <c r="D236" s="2"/>
      <c r="E236" s="64"/>
      <c r="F236" s="64"/>
      <c r="G236" s="64"/>
      <c r="H236" s="64"/>
      <c r="I236" s="2"/>
      <c r="J236" s="2"/>
      <c r="K236" s="2"/>
      <c r="L236" s="2"/>
      <c r="M236" s="2"/>
      <c r="N236" s="2"/>
      <c r="O236" s="2"/>
      <c r="P236" s="66"/>
      <c r="Q236" s="66"/>
      <c r="R236" s="2"/>
      <c r="S236" s="2"/>
      <c r="T236" s="2"/>
    </row>
    <row r="237" spans="1:20">
      <c r="A237" s="3"/>
      <c r="B237" s="3"/>
      <c r="C237" s="2"/>
      <c r="D237" s="2"/>
      <c r="E237" s="64"/>
      <c r="F237" s="64"/>
      <c r="G237" s="64"/>
      <c r="H237" s="64"/>
      <c r="I237" s="2"/>
      <c r="J237" s="2"/>
      <c r="K237" s="2"/>
      <c r="L237" s="2"/>
      <c r="M237" s="2"/>
      <c r="N237" s="2"/>
      <c r="O237" s="2"/>
      <c r="P237" s="66"/>
      <c r="Q237" s="66"/>
      <c r="R237" s="2"/>
      <c r="S237" s="2"/>
      <c r="T237" s="2"/>
    </row>
    <row r="238" spans="1:20">
      <c r="A238" s="3"/>
      <c r="B238" s="3"/>
      <c r="C238" s="2"/>
      <c r="D238" s="2"/>
      <c r="E238" s="64"/>
      <c r="F238" s="64"/>
      <c r="G238" s="64"/>
      <c r="H238" s="64"/>
      <c r="I238" s="2"/>
      <c r="J238" s="2"/>
      <c r="K238" s="2"/>
      <c r="L238" s="2"/>
      <c r="M238" s="2"/>
      <c r="N238" s="2"/>
      <c r="O238" s="2"/>
      <c r="P238" s="66"/>
      <c r="Q238" s="66"/>
      <c r="R238" s="2"/>
      <c r="S238" s="2"/>
      <c r="T238" s="2"/>
    </row>
    <row r="239" spans="1:20">
      <c r="A239" s="3"/>
      <c r="B239" s="3"/>
      <c r="C239" s="2"/>
      <c r="D239" s="2"/>
      <c r="E239" s="64"/>
      <c r="F239" s="64"/>
      <c r="G239" s="64"/>
      <c r="H239" s="64"/>
      <c r="I239" s="2"/>
      <c r="J239" s="2"/>
      <c r="K239" s="2"/>
      <c r="L239" s="2"/>
      <c r="M239" s="2"/>
      <c r="N239" s="2"/>
      <c r="O239" s="2"/>
      <c r="P239" s="66"/>
      <c r="Q239" s="66"/>
      <c r="R239" s="2"/>
      <c r="S239" s="2"/>
      <c r="T239" s="2"/>
    </row>
    <row r="240" spans="1:20">
      <c r="A240" s="3"/>
      <c r="B240" s="3"/>
      <c r="C240" s="2"/>
      <c r="D240" s="2"/>
      <c r="E240" s="64"/>
      <c r="F240" s="64"/>
      <c r="G240" s="64"/>
      <c r="H240" s="64"/>
      <c r="I240" s="2"/>
      <c r="J240" s="2"/>
      <c r="K240" s="2"/>
      <c r="L240" s="2"/>
      <c r="M240" s="2"/>
      <c r="N240" s="2"/>
      <c r="O240" s="2"/>
      <c r="P240" s="66"/>
      <c r="Q240" s="66"/>
      <c r="R240" s="2"/>
      <c r="S240" s="2"/>
      <c r="T240" s="2"/>
    </row>
    <row r="241" spans="1:20">
      <c r="A241" s="3"/>
      <c r="B241" s="3"/>
      <c r="C241" s="2"/>
      <c r="D241" s="2"/>
      <c r="E241" s="64"/>
      <c r="F241" s="64"/>
      <c r="G241" s="64"/>
      <c r="H241" s="64"/>
      <c r="I241" s="2"/>
      <c r="J241" s="2"/>
      <c r="K241" s="2"/>
      <c r="L241" s="2"/>
      <c r="M241" s="2"/>
      <c r="N241" s="2"/>
      <c r="O241" s="2"/>
      <c r="P241" s="66"/>
      <c r="Q241" s="66"/>
      <c r="R241" s="2"/>
      <c r="S241" s="2"/>
      <c r="T241" s="2"/>
    </row>
    <row r="242" spans="1:20">
      <c r="A242" s="3"/>
      <c r="B242" s="3"/>
      <c r="C242" s="2"/>
      <c r="D242" s="2"/>
      <c r="E242" s="64"/>
      <c r="F242" s="64"/>
      <c r="G242" s="64"/>
      <c r="H242" s="64"/>
      <c r="I242" s="2"/>
      <c r="J242" s="2"/>
      <c r="K242" s="2"/>
      <c r="L242" s="2"/>
      <c r="M242" s="2"/>
      <c r="N242" s="2"/>
      <c r="O242" s="2"/>
      <c r="P242" s="66"/>
      <c r="Q242" s="66"/>
      <c r="R242" s="2"/>
      <c r="S242" s="2"/>
      <c r="T242" s="2"/>
    </row>
    <row r="243" spans="1:20">
      <c r="A243" s="3"/>
      <c r="B243" s="3"/>
      <c r="C243" s="2"/>
      <c r="D243" s="2"/>
      <c r="E243" s="64"/>
      <c r="F243" s="64"/>
      <c r="G243" s="64"/>
      <c r="H243" s="64"/>
      <c r="I243" s="2"/>
      <c r="J243" s="2"/>
      <c r="K243" s="2"/>
      <c r="L243" s="2"/>
      <c r="M243" s="2"/>
      <c r="N243" s="2"/>
      <c r="O243" s="2"/>
      <c r="P243" s="66"/>
      <c r="Q243" s="66"/>
      <c r="R243" s="2"/>
      <c r="S243" s="2"/>
      <c r="T243" s="2"/>
    </row>
    <row r="244" spans="1:20">
      <c r="A244" s="3"/>
      <c r="B244" s="3"/>
      <c r="C244" s="2"/>
      <c r="D244" s="2"/>
      <c r="E244" s="64"/>
      <c r="F244" s="64"/>
      <c r="G244" s="64"/>
      <c r="H244" s="64"/>
      <c r="I244" s="2"/>
      <c r="J244" s="2"/>
      <c r="K244" s="2"/>
      <c r="L244" s="2"/>
      <c r="M244" s="2"/>
      <c r="N244" s="2"/>
      <c r="O244" s="2"/>
      <c r="P244" s="66"/>
      <c r="Q244" s="66"/>
      <c r="R244" s="2"/>
      <c r="S244" s="2"/>
      <c r="T244" s="2"/>
    </row>
    <row r="245" spans="1:20">
      <c r="A245" s="3"/>
      <c r="B245" s="3"/>
      <c r="C245" s="2"/>
      <c r="D245" s="2"/>
      <c r="E245" s="64"/>
      <c r="F245" s="64"/>
      <c r="G245" s="64"/>
      <c r="H245" s="64"/>
      <c r="I245" s="2"/>
      <c r="J245" s="2"/>
      <c r="K245" s="2"/>
      <c r="L245" s="2"/>
      <c r="M245" s="2"/>
      <c r="N245" s="2"/>
      <c r="O245" s="2"/>
      <c r="P245" s="66"/>
      <c r="Q245" s="66"/>
      <c r="R245" s="2"/>
      <c r="S245" s="2"/>
      <c r="T245" s="2"/>
    </row>
    <row r="246" spans="1:20">
      <c r="A246" s="3"/>
      <c r="B246" s="3"/>
      <c r="C246" s="2"/>
      <c r="D246" s="2"/>
      <c r="E246" s="64"/>
      <c r="F246" s="64"/>
      <c r="G246" s="64"/>
      <c r="H246" s="64"/>
      <c r="I246" s="2"/>
      <c r="J246" s="2"/>
      <c r="K246" s="2"/>
      <c r="L246" s="2"/>
      <c r="M246" s="2"/>
      <c r="N246" s="2"/>
      <c r="O246" s="2"/>
      <c r="P246" s="66"/>
      <c r="Q246" s="66"/>
      <c r="R246" s="2"/>
      <c r="S246" s="2"/>
      <c r="T246" s="2"/>
    </row>
    <row r="247" spans="1:20">
      <c r="A247" s="3"/>
      <c r="B247" s="3"/>
      <c r="C247" s="2"/>
      <c r="D247" s="2"/>
      <c r="E247" s="64"/>
      <c r="F247" s="64"/>
      <c r="G247" s="64"/>
      <c r="H247" s="64"/>
      <c r="I247" s="2"/>
      <c r="J247" s="2"/>
      <c r="K247" s="2"/>
      <c r="L247" s="2"/>
      <c r="M247" s="2"/>
      <c r="N247" s="2"/>
      <c r="O247" s="2"/>
      <c r="P247" s="66"/>
      <c r="Q247" s="66"/>
      <c r="R247" s="2"/>
      <c r="S247" s="2"/>
      <c r="T247" s="2"/>
    </row>
    <row r="248" spans="1:20">
      <c r="A248" s="3"/>
      <c r="B248" s="3"/>
      <c r="C248" s="2"/>
      <c r="D248" s="2"/>
      <c r="E248" s="64"/>
      <c r="F248" s="64"/>
      <c r="G248" s="64"/>
      <c r="H248" s="64"/>
      <c r="I248" s="2"/>
      <c r="J248" s="2"/>
      <c r="K248" s="2"/>
      <c r="L248" s="2"/>
      <c r="M248" s="2"/>
      <c r="N248" s="2"/>
      <c r="O248" s="2"/>
      <c r="P248" s="66"/>
      <c r="Q248" s="66"/>
      <c r="R248" s="2"/>
      <c r="S248" s="2"/>
      <c r="T248" s="2"/>
    </row>
    <row r="249" spans="1:20">
      <c r="A249" s="3"/>
      <c r="B249" s="3"/>
      <c r="C249" s="2"/>
      <c r="D249" s="2"/>
      <c r="E249" s="64"/>
      <c r="F249" s="64"/>
      <c r="G249" s="64"/>
      <c r="H249" s="64"/>
      <c r="I249" s="2"/>
      <c r="J249" s="2"/>
      <c r="K249" s="2"/>
      <c r="L249" s="2"/>
      <c r="M249" s="2"/>
      <c r="N249" s="2"/>
      <c r="O249" s="2"/>
      <c r="P249" s="66"/>
      <c r="Q249" s="66"/>
      <c r="R249" s="2"/>
      <c r="S249" s="2"/>
      <c r="T249" s="2"/>
    </row>
    <row r="250" spans="1:20">
      <c r="A250" s="3"/>
      <c r="B250" s="3"/>
      <c r="C250" s="2"/>
      <c r="D250" s="2"/>
      <c r="E250" s="64"/>
      <c r="F250" s="64"/>
      <c r="G250" s="64"/>
      <c r="H250" s="64"/>
      <c r="I250" s="2"/>
      <c r="J250" s="2"/>
      <c r="K250" s="2"/>
      <c r="L250" s="2"/>
      <c r="M250" s="2"/>
      <c r="N250" s="2"/>
      <c r="O250" s="2"/>
      <c r="P250" s="66"/>
      <c r="Q250" s="66"/>
      <c r="R250" s="2"/>
      <c r="S250" s="2"/>
      <c r="T250" s="2"/>
    </row>
    <row r="251" spans="1:20">
      <c r="A251" s="3"/>
      <c r="B251" s="3"/>
      <c r="C251" s="2"/>
      <c r="D251" s="2"/>
      <c r="E251" s="64"/>
      <c r="F251" s="64"/>
      <c r="G251" s="64"/>
      <c r="H251" s="64"/>
      <c r="I251" s="2"/>
      <c r="J251" s="2"/>
      <c r="K251" s="2"/>
      <c r="L251" s="2"/>
      <c r="M251" s="2"/>
      <c r="N251" s="2"/>
      <c r="O251" s="2"/>
      <c r="P251" s="66"/>
      <c r="Q251" s="66"/>
      <c r="R251" s="2"/>
      <c r="S251" s="2"/>
      <c r="T251" s="2"/>
    </row>
    <row r="252" spans="1:20">
      <c r="A252" s="3"/>
      <c r="B252" s="3"/>
      <c r="C252" s="2"/>
      <c r="D252" s="2"/>
      <c r="E252" s="64"/>
      <c r="F252" s="64"/>
      <c r="G252" s="64"/>
      <c r="H252" s="64"/>
      <c r="I252" s="2"/>
      <c r="J252" s="2"/>
      <c r="K252" s="2"/>
      <c r="L252" s="2"/>
      <c r="M252" s="2"/>
      <c r="N252" s="2"/>
      <c r="O252" s="2"/>
      <c r="P252" s="66"/>
      <c r="Q252" s="66"/>
      <c r="R252" s="2"/>
      <c r="S252" s="2"/>
      <c r="T252" s="2"/>
    </row>
    <row r="253" spans="1:20">
      <c r="A253" s="3"/>
      <c r="B253" s="3"/>
      <c r="C253" s="2"/>
      <c r="D253" s="2"/>
      <c r="E253" s="64"/>
      <c r="F253" s="64"/>
      <c r="G253" s="64"/>
      <c r="H253" s="64"/>
      <c r="I253" s="2"/>
      <c r="J253" s="2"/>
      <c r="K253" s="2"/>
      <c r="L253" s="2"/>
      <c r="M253" s="2"/>
      <c r="N253" s="2"/>
      <c r="O253" s="2"/>
      <c r="P253" s="66"/>
      <c r="Q253" s="66"/>
      <c r="R253" s="2"/>
      <c r="S253" s="2"/>
      <c r="T253" s="2"/>
    </row>
    <row r="254" spans="1:20">
      <c r="A254" s="3"/>
      <c r="B254" s="3"/>
      <c r="C254" s="2"/>
      <c r="D254" s="2"/>
      <c r="E254" s="64"/>
      <c r="F254" s="64"/>
      <c r="G254" s="64"/>
      <c r="H254" s="64"/>
      <c r="I254" s="2"/>
      <c r="J254" s="2"/>
      <c r="K254" s="2"/>
      <c r="L254" s="2"/>
      <c r="M254" s="2"/>
      <c r="N254" s="2"/>
      <c r="O254" s="2"/>
      <c r="P254" s="66"/>
      <c r="Q254" s="66"/>
      <c r="R254" s="2"/>
      <c r="S254" s="2"/>
      <c r="T254" s="2"/>
    </row>
    <row r="255" spans="1:20">
      <c r="A255" s="3"/>
      <c r="B255" s="3"/>
      <c r="C255" s="2"/>
      <c r="D255" s="2"/>
      <c r="E255" s="64"/>
      <c r="F255" s="64"/>
      <c r="G255" s="64"/>
      <c r="H255" s="64"/>
      <c r="I255" s="2"/>
      <c r="J255" s="2"/>
      <c r="K255" s="2"/>
      <c r="L255" s="2"/>
      <c r="M255" s="2"/>
      <c r="N255" s="2"/>
      <c r="O255" s="2"/>
      <c r="P255" s="66"/>
      <c r="Q255" s="66"/>
      <c r="R255" s="2"/>
      <c r="S255" s="2"/>
      <c r="T255" s="2"/>
    </row>
    <row r="256" spans="1:20">
      <c r="A256" s="3"/>
      <c r="B256" s="3"/>
      <c r="C256" s="2"/>
      <c r="D256" s="2"/>
      <c r="E256" s="64"/>
      <c r="F256" s="64"/>
      <c r="G256" s="64"/>
      <c r="H256" s="64"/>
      <c r="I256" s="2"/>
      <c r="J256" s="2"/>
      <c r="K256" s="2"/>
      <c r="L256" s="2"/>
      <c r="M256" s="2"/>
      <c r="N256" s="2"/>
      <c r="O256" s="2"/>
      <c r="P256" s="66"/>
      <c r="Q256" s="66"/>
      <c r="R256" s="2"/>
      <c r="S256" s="2"/>
      <c r="T256" s="2"/>
    </row>
    <row r="257" spans="1:20">
      <c r="A257" s="3"/>
      <c r="B257" s="3"/>
      <c r="C257" s="2"/>
      <c r="D257" s="2"/>
      <c r="E257" s="64"/>
      <c r="F257" s="64"/>
      <c r="G257" s="64"/>
      <c r="H257" s="64"/>
      <c r="I257" s="2"/>
      <c r="J257" s="2"/>
      <c r="K257" s="2"/>
      <c r="L257" s="2"/>
      <c r="M257" s="2"/>
      <c r="N257" s="2"/>
      <c r="O257" s="2"/>
      <c r="P257" s="66"/>
      <c r="Q257" s="66"/>
      <c r="R257" s="2"/>
      <c r="S257" s="2"/>
      <c r="T257" s="2"/>
    </row>
    <row r="258" spans="1:20">
      <c r="A258" s="3"/>
      <c r="B258" s="3"/>
      <c r="C258" s="2"/>
      <c r="D258" s="2"/>
      <c r="E258" s="64"/>
      <c r="F258" s="64"/>
      <c r="G258" s="64"/>
      <c r="H258" s="64"/>
      <c r="I258" s="2"/>
      <c r="J258" s="2"/>
      <c r="K258" s="2"/>
      <c r="L258" s="2"/>
      <c r="M258" s="2"/>
      <c r="N258" s="2"/>
      <c r="O258" s="2"/>
      <c r="P258" s="66"/>
      <c r="Q258" s="66"/>
      <c r="R258" s="2"/>
      <c r="S258" s="2"/>
      <c r="T258" s="2"/>
    </row>
    <row r="259" spans="1:20">
      <c r="A259" s="3"/>
      <c r="B259" s="3"/>
      <c r="C259" s="2"/>
      <c r="D259" s="2"/>
      <c r="E259" s="64"/>
      <c r="F259" s="64"/>
      <c r="G259" s="64"/>
      <c r="H259" s="64"/>
      <c r="I259" s="2"/>
      <c r="J259" s="2"/>
      <c r="K259" s="2"/>
      <c r="L259" s="2"/>
      <c r="M259" s="2"/>
      <c r="N259" s="2"/>
      <c r="O259" s="2"/>
      <c r="P259" s="66"/>
      <c r="Q259" s="66"/>
      <c r="R259" s="2"/>
      <c r="S259" s="2"/>
      <c r="T259" s="2"/>
    </row>
    <row r="260" spans="1:20">
      <c r="A260" s="3"/>
      <c r="B260" s="3"/>
      <c r="C260" s="2"/>
      <c r="D260" s="2"/>
      <c r="E260" s="64"/>
      <c r="F260" s="64"/>
      <c r="G260" s="64"/>
      <c r="H260" s="64"/>
      <c r="I260" s="2"/>
      <c r="J260" s="2"/>
      <c r="K260" s="2"/>
      <c r="L260" s="2"/>
      <c r="M260" s="2"/>
      <c r="N260" s="2"/>
      <c r="O260" s="2"/>
      <c r="P260" s="66"/>
      <c r="Q260" s="66"/>
      <c r="R260" s="2"/>
      <c r="S260" s="2"/>
      <c r="T260" s="2"/>
    </row>
    <row r="261" spans="1:20">
      <c r="A261" s="3"/>
      <c r="B261" s="3"/>
      <c r="C261" s="2"/>
      <c r="D261" s="2"/>
      <c r="E261" s="64"/>
      <c r="F261" s="64"/>
      <c r="G261" s="64"/>
      <c r="H261" s="64"/>
      <c r="I261" s="2"/>
      <c r="J261" s="2"/>
      <c r="K261" s="2"/>
      <c r="L261" s="2"/>
      <c r="M261" s="2"/>
      <c r="N261" s="2"/>
      <c r="O261" s="2"/>
      <c r="P261" s="66"/>
      <c r="Q261" s="66"/>
      <c r="R261" s="2"/>
      <c r="S261" s="2"/>
      <c r="T261" s="2"/>
    </row>
    <row r="262" spans="1:20">
      <c r="A262" s="3"/>
      <c r="B262" s="3"/>
      <c r="C262" s="2"/>
      <c r="D262" s="2"/>
      <c r="E262" s="64"/>
      <c r="F262" s="64"/>
      <c r="G262" s="64"/>
      <c r="H262" s="64"/>
      <c r="I262" s="2"/>
      <c r="J262" s="2"/>
      <c r="K262" s="2"/>
      <c r="L262" s="2"/>
      <c r="M262" s="2"/>
      <c r="N262" s="2"/>
      <c r="O262" s="2"/>
      <c r="P262" s="66"/>
      <c r="Q262" s="66"/>
      <c r="R262" s="2"/>
      <c r="S262" s="2"/>
      <c r="T262" s="2"/>
    </row>
    <row r="263" spans="1:20">
      <c r="A263" s="3"/>
      <c r="B263" s="3"/>
      <c r="C263" s="2"/>
      <c r="D263" s="2"/>
      <c r="E263" s="64"/>
      <c r="F263" s="64"/>
      <c r="G263" s="64"/>
      <c r="H263" s="64"/>
      <c r="I263" s="2"/>
      <c r="J263" s="2"/>
      <c r="K263" s="2"/>
      <c r="L263" s="2"/>
      <c r="M263" s="2"/>
      <c r="N263" s="2"/>
      <c r="O263" s="2"/>
      <c r="P263" s="66"/>
      <c r="Q263" s="66"/>
      <c r="R263" s="2"/>
      <c r="S263" s="2"/>
      <c r="T263" s="2"/>
    </row>
    <row r="264" spans="1:20">
      <c r="A264" s="3"/>
      <c r="B264" s="3"/>
      <c r="C264" s="2"/>
      <c r="D264" s="2"/>
      <c r="E264" s="64"/>
      <c r="F264" s="64"/>
      <c r="G264" s="64"/>
      <c r="H264" s="64"/>
      <c r="I264" s="2"/>
      <c r="J264" s="2"/>
      <c r="K264" s="2"/>
      <c r="L264" s="2"/>
      <c r="M264" s="2"/>
      <c r="N264" s="2"/>
      <c r="O264" s="2"/>
      <c r="P264" s="66"/>
      <c r="Q264" s="66"/>
      <c r="R264" s="2"/>
      <c r="S264" s="2"/>
      <c r="T264" s="2"/>
    </row>
    <row r="265" spans="1:20">
      <c r="A265" s="3"/>
      <c r="B265" s="3"/>
      <c r="C265" s="2"/>
      <c r="D265" s="2"/>
      <c r="E265" s="64"/>
      <c r="F265" s="64"/>
      <c r="G265" s="64"/>
      <c r="H265" s="64"/>
      <c r="I265" s="2"/>
      <c r="J265" s="2"/>
      <c r="K265" s="2"/>
      <c r="L265" s="2"/>
      <c r="M265" s="2"/>
      <c r="N265" s="2"/>
      <c r="O265" s="2"/>
      <c r="P265" s="66"/>
      <c r="Q265" s="66"/>
      <c r="R265" s="2"/>
      <c r="S265" s="2"/>
      <c r="T265" s="2"/>
    </row>
    <row r="266" spans="1:20">
      <c r="A266" s="3"/>
      <c r="B266" s="3"/>
      <c r="C266" s="2"/>
      <c r="D266" s="2"/>
      <c r="E266" s="64"/>
      <c r="F266" s="64"/>
      <c r="G266" s="64"/>
      <c r="H266" s="64"/>
      <c r="I266" s="2"/>
      <c r="J266" s="2"/>
      <c r="K266" s="2"/>
      <c r="L266" s="2"/>
      <c r="M266" s="2"/>
      <c r="N266" s="2"/>
      <c r="O266" s="2"/>
      <c r="P266" s="66"/>
      <c r="Q266" s="66"/>
      <c r="R266" s="2"/>
      <c r="S266" s="2"/>
      <c r="T266" s="2"/>
    </row>
    <row r="267" spans="1:20">
      <c r="A267" s="3"/>
      <c r="B267" s="3"/>
      <c r="C267" s="2"/>
      <c r="D267" s="2"/>
      <c r="E267" s="64"/>
      <c r="F267" s="64"/>
      <c r="G267" s="64"/>
      <c r="H267" s="64"/>
      <c r="I267" s="2"/>
      <c r="J267" s="2"/>
      <c r="K267" s="2"/>
      <c r="L267" s="2"/>
      <c r="M267" s="2"/>
      <c r="N267" s="2"/>
      <c r="O267" s="2"/>
      <c r="P267" s="66"/>
      <c r="Q267" s="66"/>
      <c r="R267" s="2"/>
      <c r="S267" s="2"/>
      <c r="T267" s="2"/>
    </row>
    <row r="268" spans="1:20">
      <c r="A268" s="3"/>
      <c r="B268" s="3"/>
      <c r="C268" s="2"/>
      <c r="D268" s="2"/>
      <c r="E268" s="64"/>
      <c r="F268" s="64"/>
      <c r="G268" s="64"/>
      <c r="H268" s="64"/>
      <c r="I268" s="2"/>
      <c r="J268" s="2"/>
      <c r="K268" s="2"/>
      <c r="L268" s="2"/>
      <c r="M268" s="2"/>
      <c r="N268" s="2"/>
      <c r="O268" s="2"/>
      <c r="P268" s="66"/>
      <c r="Q268" s="66"/>
      <c r="R268" s="2"/>
      <c r="S268" s="2"/>
      <c r="T268" s="2"/>
    </row>
    <row r="269" spans="1:20">
      <c r="A269" s="3"/>
      <c r="B269" s="3"/>
      <c r="C269" s="2"/>
      <c r="D269" s="2"/>
      <c r="E269" s="64"/>
      <c r="F269" s="64"/>
      <c r="G269" s="64"/>
      <c r="H269" s="64"/>
      <c r="I269" s="2"/>
      <c r="J269" s="2"/>
      <c r="K269" s="2"/>
      <c r="L269" s="2"/>
      <c r="M269" s="2"/>
      <c r="N269" s="2"/>
      <c r="O269" s="2"/>
      <c r="P269" s="66"/>
      <c r="Q269" s="66"/>
      <c r="R269" s="2"/>
      <c r="S269" s="2"/>
      <c r="T269" s="2"/>
    </row>
    <row r="270" spans="1:20">
      <c r="A270" s="3"/>
      <c r="B270" s="3"/>
      <c r="C270" s="2"/>
      <c r="D270" s="2"/>
      <c r="E270" s="64"/>
      <c r="F270" s="64"/>
      <c r="G270" s="64"/>
      <c r="H270" s="64"/>
      <c r="I270" s="2"/>
      <c r="J270" s="2"/>
      <c r="K270" s="2"/>
      <c r="L270" s="2"/>
      <c r="M270" s="2"/>
      <c r="N270" s="2"/>
      <c r="O270" s="2"/>
      <c r="P270" s="66"/>
      <c r="Q270" s="66"/>
      <c r="R270" s="2"/>
      <c r="S270" s="2"/>
      <c r="T270" s="2"/>
    </row>
    <row r="271" spans="1:20">
      <c r="A271" s="3"/>
      <c r="B271" s="3"/>
      <c r="C271" s="2"/>
      <c r="D271" s="2"/>
      <c r="E271" s="64"/>
      <c r="F271" s="64"/>
      <c r="G271" s="64"/>
      <c r="H271" s="64"/>
      <c r="I271" s="2"/>
      <c r="J271" s="2"/>
      <c r="K271" s="2"/>
      <c r="L271" s="2"/>
      <c r="M271" s="2"/>
      <c r="N271" s="2"/>
      <c r="O271" s="2"/>
      <c r="P271" s="66"/>
      <c r="Q271" s="66"/>
      <c r="R271" s="2"/>
      <c r="S271" s="2"/>
      <c r="T271" s="2"/>
    </row>
    <row r="272" spans="1:20">
      <c r="A272" s="3"/>
      <c r="B272" s="3"/>
      <c r="C272" s="2"/>
      <c r="D272" s="2"/>
      <c r="E272" s="64"/>
      <c r="F272" s="64"/>
      <c r="G272" s="64"/>
      <c r="H272" s="64"/>
      <c r="I272" s="2"/>
      <c r="J272" s="2"/>
      <c r="K272" s="2"/>
      <c r="L272" s="2"/>
      <c r="M272" s="2"/>
      <c r="N272" s="2"/>
      <c r="O272" s="2"/>
      <c r="P272" s="66"/>
      <c r="Q272" s="66"/>
      <c r="R272" s="2"/>
      <c r="S272" s="2"/>
      <c r="T272" s="2"/>
    </row>
    <row r="273" spans="1:20">
      <c r="A273" s="3"/>
      <c r="B273" s="3"/>
      <c r="C273" s="2"/>
      <c r="D273" s="2"/>
      <c r="E273" s="64"/>
      <c r="F273" s="64"/>
      <c r="G273" s="64"/>
      <c r="H273" s="64"/>
      <c r="I273" s="2"/>
      <c r="J273" s="2"/>
      <c r="K273" s="2"/>
      <c r="L273" s="2"/>
      <c r="M273" s="2"/>
      <c r="N273" s="2"/>
      <c r="O273" s="2"/>
      <c r="P273" s="66"/>
      <c r="Q273" s="66"/>
      <c r="R273" s="2"/>
      <c r="S273" s="2"/>
      <c r="T273" s="2"/>
    </row>
    <row r="274" spans="1:20">
      <c r="A274" s="3"/>
      <c r="B274" s="3"/>
      <c r="C274" s="2"/>
      <c r="D274" s="2"/>
      <c r="E274" s="64"/>
      <c r="F274" s="64"/>
      <c r="G274" s="64"/>
      <c r="H274" s="64"/>
      <c r="I274" s="2"/>
      <c r="J274" s="2"/>
      <c r="K274" s="2"/>
      <c r="L274" s="2"/>
      <c r="M274" s="2"/>
      <c r="N274" s="2"/>
      <c r="O274" s="2"/>
      <c r="P274" s="66"/>
      <c r="Q274" s="66"/>
      <c r="R274" s="2"/>
      <c r="S274" s="2"/>
      <c r="T274" s="2"/>
    </row>
    <row r="275" spans="1:20">
      <c r="A275" s="3"/>
      <c r="B275" s="3"/>
      <c r="C275" s="2"/>
      <c r="D275" s="2"/>
      <c r="E275" s="64"/>
      <c r="F275" s="64"/>
      <c r="G275" s="64"/>
      <c r="H275" s="64"/>
      <c r="I275" s="2"/>
      <c r="J275" s="2"/>
      <c r="K275" s="2"/>
      <c r="L275" s="2"/>
      <c r="M275" s="2"/>
      <c r="N275" s="2"/>
      <c r="O275" s="2"/>
      <c r="P275" s="66"/>
      <c r="Q275" s="66"/>
      <c r="R275" s="2"/>
      <c r="S275" s="2"/>
      <c r="T275" s="2"/>
    </row>
    <row r="276" spans="1:20">
      <c r="A276" s="3"/>
      <c r="B276" s="3"/>
      <c r="C276" s="2"/>
      <c r="D276" s="2"/>
      <c r="E276" s="64"/>
      <c r="F276" s="64"/>
      <c r="G276" s="64"/>
      <c r="H276" s="64"/>
      <c r="I276" s="2"/>
      <c r="J276" s="2"/>
      <c r="K276" s="2"/>
      <c r="L276" s="2"/>
      <c r="M276" s="2"/>
      <c r="N276" s="2"/>
      <c r="O276" s="2"/>
      <c r="P276" s="66"/>
      <c r="Q276" s="66"/>
      <c r="R276" s="2"/>
      <c r="S276" s="2"/>
      <c r="T276" s="2"/>
    </row>
    <row r="277" spans="1:20">
      <c r="A277" s="3"/>
      <c r="B277" s="3"/>
      <c r="C277" s="2"/>
      <c r="D277" s="2"/>
      <c r="E277" s="64"/>
      <c r="F277" s="64"/>
      <c r="G277" s="64"/>
      <c r="H277" s="64"/>
      <c r="I277" s="2"/>
      <c r="J277" s="2"/>
      <c r="K277" s="2"/>
      <c r="L277" s="2"/>
      <c r="M277" s="2"/>
      <c r="N277" s="2"/>
      <c r="O277" s="2"/>
      <c r="P277" s="66"/>
      <c r="Q277" s="66"/>
      <c r="R277" s="2"/>
      <c r="S277" s="2"/>
      <c r="T277" s="2"/>
    </row>
    <row r="278" spans="1:20">
      <c r="A278" s="3"/>
      <c r="B278" s="3"/>
      <c r="C278" s="2"/>
      <c r="D278" s="2"/>
      <c r="E278" s="64"/>
      <c r="F278" s="64"/>
      <c r="G278" s="64"/>
      <c r="H278" s="64"/>
      <c r="I278" s="2"/>
      <c r="J278" s="2"/>
      <c r="K278" s="2"/>
      <c r="L278" s="2"/>
      <c r="M278" s="2"/>
      <c r="N278" s="2"/>
      <c r="O278" s="2"/>
      <c r="P278" s="66"/>
      <c r="Q278" s="66"/>
      <c r="R278" s="2"/>
      <c r="S278" s="2"/>
      <c r="T278" s="2"/>
    </row>
    <row r="279" spans="1:20">
      <c r="A279" s="3"/>
      <c r="B279" s="3"/>
      <c r="C279" s="2"/>
      <c r="D279" s="2"/>
      <c r="E279" s="64"/>
      <c r="F279" s="64"/>
      <c r="G279" s="64"/>
      <c r="H279" s="64"/>
      <c r="I279" s="2"/>
      <c r="J279" s="2"/>
      <c r="K279" s="2"/>
      <c r="L279" s="2"/>
      <c r="M279" s="2"/>
      <c r="N279" s="2"/>
      <c r="O279" s="2"/>
      <c r="P279" s="66"/>
      <c r="Q279" s="66"/>
      <c r="R279" s="2"/>
      <c r="S279" s="2"/>
      <c r="T279" s="2"/>
    </row>
    <row r="280" spans="1:20">
      <c r="A280" s="3"/>
      <c r="B280" s="3"/>
      <c r="C280" s="2"/>
      <c r="D280" s="2"/>
      <c r="E280" s="64"/>
      <c r="F280" s="64"/>
      <c r="G280" s="64"/>
      <c r="H280" s="64"/>
      <c r="I280" s="2"/>
      <c r="J280" s="2"/>
      <c r="K280" s="2"/>
      <c r="L280" s="2"/>
      <c r="M280" s="2"/>
      <c r="N280" s="2"/>
      <c r="O280" s="2"/>
      <c r="P280" s="66"/>
      <c r="Q280" s="66"/>
      <c r="R280" s="2"/>
      <c r="S280" s="2"/>
      <c r="T280" s="2"/>
    </row>
    <row r="281" spans="1:20">
      <c r="A281" s="3"/>
      <c r="B281" s="3"/>
      <c r="C281" s="2"/>
      <c r="D281" s="2"/>
      <c r="E281" s="64"/>
      <c r="F281" s="64"/>
      <c r="G281" s="64"/>
      <c r="H281" s="64"/>
      <c r="I281" s="2"/>
      <c r="J281" s="2"/>
      <c r="K281" s="2"/>
      <c r="L281" s="2"/>
      <c r="M281" s="2"/>
      <c r="N281" s="2"/>
      <c r="O281" s="2"/>
      <c r="P281" s="66"/>
      <c r="Q281" s="66"/>
      <c r="R281" s="2"/>
      <c r="S281" s="2"/>
      <c r="T281" s="2"/>
    </row>
    <row r="282" spans="1:20">
      <c r="A282" s="3"/>
      <c r="B282" s="3"/>
      <c r="C282" s="2"/>
      <c r="D282" s="2"/>
      <c r="E282" s="64"/>
      <c r="F282" s="64"/>
      <c r="G282" s="64"/>
      <c r="H282" s="64"/>
      <c r="I282" s="2"/>
      <c r="J282" s="2"/>
      <c r="K282" s="2"/>
      <c r="L282" s="2"/>
      <c r="M282" s="2"/>
      <c r="N282" s="2"/>
      <c r="O282" s="2"/>
      <c r="P282" s="66"/>
      <c r="Q282" s="66"/>
      <c r="R282" s="2"/>
      <c r="S282" s="2"/>
      <c r="T282" s="2"/>
    </row>
    <row r="283" spans="1:20">
      <c r="A283" s="3"/>
      <c r="B283" s="3"/>
      <c r="C283" s="2"/>
      <c r="D283" s="2"/>
      <c r="E283" s="64"/>
      <c r="F283" s="64"/>
      <c r="G283" s="64"/>
      <c r="H283" s="64"/>
      <c r="I283" s="2"/>
      <c r="J283" s="2"/>
      <c r="K283" s="2"/>
      <c r="L283" s="2"/>
      <c r="M283" s="2"/>
      <c r="N283" s="2"/>
      <c r="O283" s="2"/>
      <c r="P283" s="66"/>
      <c r="Q283" s="66"/>
      <c r="R283" s="2"/>
      <c r="S283" s="2"/>
      <c r="T283" s="2"/>
    </row>
    <row r="284" spans="1:20">
      <c r="A284" s="3"/>
      <c r="B284" s="3"/>
      <c r="C284" s="2"/>
      <c r="D284" s="2"/>
      <c r="E284" s="64"/>
      <c r="F284" s="64"/>
      <c r="G284" s="64"/>
      <c r="H284" s="64"/>
      <c r="I284" s="2"/>
      <c r="J284" s="2"/>
      <c r="K284" s="2"/>
      <c r="L284" s="2"/>
      <c r="M284" s="2"/>
      <c r="N284" s="2"/>
      <c r="O284" s="2"/>
      <c r="P284" s="66"/>
      <c r="Q284" s="66"/>
      <c r="R284" s="2"/>
      <c r="S284" s="2"/>
      <c r="T284" s="2"/>
    </row>
    <row r="285" spans="1:20">
      <c r="A285" s="3"/>
      <c r="B285" s="3"/>
      <c r="C285" s="2"/>
      <c r="D285" s="2"/>
      <c r="E285" s="64"/>
      <c r="F285" s="64"/>
      <c r="G285" s="64"/>
      <c r="H285" s="64"/>
      <c r="I285" s="2"/>
      <c r="J285" s="2"/>
      <c r="K285" s="2"/>
      <c r="L285" s="2"/>
      <c r="M285" s="2"/>
      <c r="N285" s="2"/>
      <c r="O285" s="2"/>
      <c r="P285" s="66"/>
      <c r="Q285" s="66"/>
      <c r="R285" s="2"/>
      <c r="S285" s="2"/>
      <c r="T285" s="2"/>
    </row>
    <row r="286" spans="1:20">
      <c r="A286" s="3"/>
      <c r="B286" s="3"/>
      <c r="C286" s="2"/>
      <c r="D286" s="2"/>
      <c r="E286" s="64"/>
      <c r="F286" s="64"/>
      <c r="G286" s="64"/>
      <c r="H286" s="64"/>
      <c r="I286" s="2"/>
      <c r="J286" s="2"/>
      <c r="K286" s="2"/>
      <c r="L286" s="2"/>
      <c r="M286" s="2"/>
      <c r="N286" s="2"/>
      <c r="O286" s="2"/>
      <c r="P286" s="66"/>
      <c r="Q286" s="66"/>
      <c r="R286" s="2"/>
      <c r="S286" s="2"/>
      <c r="T286" s="2"/>
    </row>
    <row r="287" spans="1:20">
      <c r="A287" s="3"/>
      <c r="B287" s="3"/>
      <c r="C287" s="2"/>
      <c r="D287" s="2"/>
      <c r="E287" s="64"/>
      <c r="F287" s="64"/>
      <c r="G287" s="64"/>
      <c r="H287" s="64"/>
      <c r="I287" s="2"/>
      <c r="J287" s="2"/>
      <c r="K287" s="2"/>
      <c r="L287" s="2"/>
      <c r="M287" s="2"/>
      <c r="N287" s="2"/>
      <c r="O287" s="2"/>
      <c r="P287" s="66"/>
      <c r="Q287" s="66"/>
      <c r="R287" s="2"/>
      <c r="S287" s="2"/>
      <c r="T287" s="2"/>
    </row>
    <row r="288" spans="1:20">
      <c r="A288" s="3"/>
      <c r="B288" s="3"/>
      <c r="C288" s="2"/>
      <c r="D288" s="2"/>
      <c r="E288" s="64"/>
      <c r="F288" s="64"/>
      <c r="G288" s="64"/>
      <c r="H288" s="64"/>
      <c r="I288" s="2"/>
      <c r="J288" s="2"/>
      <c r="K288" s="2"/>
      <c r="L288" s="2"/>
      <c r="M288" s="2"/>
      <c r="N288" s="2"/>
      <c r="O288" s="2"/>
      <c r="P288" s="66"/>
      <c r="Q288" s="66"/>
      <c r="R288" s="2"/>
      <c r="S288" s="2"/>
      <c r="T288" s="2"/>
    </row>
    <row r="289" spans="1:20">
      <c r="A289" s="3"/>
      <c r="B289" s="3"/>
      <c r="C289" s="2"/>
      <c r="D289" s="2"/>
      <c r="E289" s="64"/>
      <c r="F289" s="64"/>
      <c r="G289" s="64"/>
      <c r="H289" s="64"/>
      <c r="I289" s="2"/>
      <c r="J289" s="2"/>
      <c r="K289" s="2"/>
      <c r="L289" s="2"/>
      <c r="M289" s="2"/>
      <c r="N289" s="2"/>
      <c r="O289" s="2"/>
      <c r="P289" s="66"/>
      <c r="Q289" s="66"/>
      <c r="R289" s="2"/>
      <c r="S289" s="2"/>
      <c r="T289" s="2"/>
    </row>
    <row r="290" spans="1:20">
      <c r="A290" s="3"/>
      <c r="B290" s="3"/>
      <c r="C290" s="2"/>
      <c r="D290" s="2"/>
      <c r="E290" s="64"/>
      <c r="F290" s="64"/>
      <c r="G290" s="64"/>
      <c r="H290" s="64"/>
      <c r="I290" s="2"/>
      <c r="J290" s="2"/>
      <c r="K290" s="2"/>
      <c r="L290" s="2"/>
      <c r="M290" s="2"/>
      <c r="N290" s="2"/>
      <c r="O290" s="2"/>
      <c r="P290" s="66"/>
      <c r="Q290" s="66"/>
      <c r="R290" s="2"/>
      <c r="S290" s="2"/>
      <c r="T290" s="2"/>
    </row>
    <row r="291" spans="1:20">
      <c r="A291" s="3"/>
      <c r="B291" s="3"/>
      <c r="C291" s="2"/>
      <c r="D291" s="2"/>
      <c r="E291" s="64"/>
      <c r="F291" s="64"/>
      <c r="G291" s="64"/>
      <c r="H291" s="64"/>
      <c r="I291" s="2"/>
      <c r="J291" s="2"/>
      <c r="K291" s="2"/>
      <c r="L291" s="2"/>
      <c r="M291" s="2"/>
      <c r="N291" s="2"/>
      <c r="O291" s="2"/>
      <c r="P291" s="66"/>
      <c r="Q291" s="66"/>
      <c r="R291" s="2"/>
      <c r="S291" s="2"/>
      <c r="T291" s="2"/>
    </row>
    <row r="292" spans="1:20">
      <c r="A292" s="3"/>
      <c r="B292" s="3"/>
      <c r="C292" s="2"/>
      <c r="D292" s="2"/>
      <c r="E292" s="64"/>
      <c r="F292" s="64"/>
      <c r="G292" s="64"/>
      <c r="H292" s="64"/>
      <c r="I292" s="2"/>
      <c r="J292" s="2"/>
      <c r="K292" s="2"/>
      <c r="L292" s="2"/>
      <c r="M292" s="2"/>
      <c r="N292" s="2"/>
      <c r="O292" s="2"/>
      <c r="P292" s="66"/>
      <c r="Q292" s="66"/>
      <c r="R292" s="2"/>
      <c r="S292" s="2"/>
      <c r="T292" s="2"/>
    </row>
    <row r="293" spans="1:20">
      <c r="A293" s="3"/>
      <c r="B293" s="3"/>
      <c r="C293" s="2"/>
      <c r="D293" s="2"/>
      <c r="E293" s="64"/>
      <c r="F293" s="64"/>
      <c r="G293" s="64"/>
      <c r="H293" s="64"/>
      <c r="I293" s="2"/>
      <c r="J293" s="2"/>
      <c r="K293" s="2"/>
      <c r="L293" s="2"/>
      <c r="M293" s="2"/>
      <c r="N293" s="2"/>
      <c r="O293" s="2"/>
      <c r="P293" s="66"/>
      <c r="Q293" s="66"/>
      <c r="R293" s="2"/>
      <c r="S293" s="2"/>
      <c r="T293" s="2"/>
    </row>
    <row r="294" spans="1:20">
      <c r="A294" s="3"/>
      <c r="B294" s="3"/>
      <c r="C294" s="2"/>
      <c r="D294" s="2"/>
      <c r="E294" s="64"/>
      <c r="F294" s="64"/>
      <c r="G294" s="64"/>
      <c r="H294" s="64"/>
      <c r="I294" s="2"/>
      <c r="J294" s="2"/>
      <c r="K294" s="2"/>
      <c r="L294" s="2"/>
      <c r="M294" s="2"/>
      <c r="N294" s="2"/>
      <c r="O294" s="2"/>
      <c r="P294" s="66"/>
      <c r="Q294" s="66"/>
      <c r="R294" s="2"/>
      <c r="S294" s="2"/>
      <c r="T294" s="2"/>
    </row>
    <row r="295" spans="1:20">
      <c r="A295" s="3"/>
      <c r="B295" s="3"/>
      <c r="C295" s="2"/>
      <c r="D295" s="2"/>
      <c r="E295" s="64"/>
      <c r="F295" s="64"/>
      <c r="G295" s="64"/>
      <c r="H295" s="64"/>
      <c r="I295" s="2"/>
      <c r="J295" s="2"/>
      <c r="K295" s="2"/>
      <c r="L295" s="2"/>
      <c r="M295" s="2"/>
      <c r="N295" s="2"/>
      <c r="O295" s="2"/>
      <c r="P295" s="66"/>
      <c r="Q295" s="66"/>
      <c r="R295" s="2"/>
      <c r="S295" s="2"/>
      <c r="T295" s="2"/>
    </row>
    <row r="296" spans="1:20">
      <c r="A296" s="3"/>
      <c r="B296" s="3"/>
      <c r="C296" s="2"/>
      <c r="D296" s="2"/>
      <c r="E296" s="64"/>
      <c r="F296" s="64"/>
      <c r="G296" s="64"/>
      <c r="H296" s="64"/>
      <c r="I296" s="2"/>
      <c r="J296" s="2"/>
      <c r="K296" s="2"/>
      <c r="L296" s="2"/>
      <c r="M296" s="2"/>
      <c r="N296" s="2"/>
      <c r="O296" s="2"/>
      <c r="P296" s="66"/>
      <c r="Q296" s="66"/>
      <c r="R296" s="2"/>
      <c r="S296" s="2"/>
      <c r="T296" s="2"/>
    </row>
    <row r="297" spans="1:20">
      <c r="A297" s="3"/>
      <c r="B297" s="3"/>
      <c r="C297" s="2"/>
      <c r="D297" s="2"/>
      <c r="E297" s="64"/>
      <c r="F297" s="64"/>
      <c r="G297" s="64"/>
      <c r="H297" s="64"/>
      <c r="I297" s="2"/>
      <c r="J297" s="2"/>
      <c r="K297" s="2"/>
      <c r="L297" s="2"/>
      <c r="M297" s="2"/>
      <c r="N297" s="2"/>
      <c r="O297" s="2"/>
      <c r="P297" s="66"/>
      <c r="Q297" s="66"/>
      <c r="R297" s="2"/>
      <c r="S297" s="2"/>
      <c r="T297" s="2"/>
    </row>
    <row r="298" spans="1:20">
      <c r="A298" s="3"/>
      <c r="B298" s="3"/>
      <c r="C298" s="2"/>
      <c r="D298" s="2"/>
      <c r="E298" s="64"/>
      <c r="F298" s="64"/>
      <c r="G298" s="64"/>
      <c r="H298" s="64"/>
      <c r="I298" s="2"/>
      <c r="J298" s="2"/>
      <c r="K298" s="2"/>
      <c r="L298" s="2"/>
      <c r="M298" s="2"/>
      <c r="N298" s="2"/>
      <c r="O298" s="2"/>
      <c r="P298" s="66"/>
      <c r="Q298" s="66"/>
      <c r="R298" s="2"/>
      <c r="S298" s="2"/>
      <c r="T298" s="2"/>
    </row>
    <row r="299" spans="1:20">
      <c r="A299" s="3"/>
      <c r="B299" s="3"/>
      <c r="C299" s="2"/>
      <c r="D299" s="2"/>
      <c r="E299" s="64"/>
      <c r="F299" s="64"/>
      <c r="G299" s="64"/>
      <c r="H299" s="64"/>
      <c r="I299" s="2"/>
      <c r="J299" s="2"/>
      <c r="K299" s="2"/>
      <c r="L299" s="2"/>
      <c r="M299" s="2"/>
      <c r="N299" s="2"/>
      <c r="O299" s="2"/>
      <c r="P299" s="66"/>
      <c r="Q299" s="66"/>
      <c r="R299" s="2"/>
      <c r="S299" s="2"/>
      <c r="T299" s="2"/>
    </row>
    <row r="300" spans="1:20">
      <c r="A300" s="3"/>
      <c r="B300" s="3"/>
      <c r="C300" s="2"/>
      <c r="D300" s="2"/>
      <c r="E300" s="64"/>
      <c r="F300" s="64"/>
      <c r="G300" s="64"/>
      <c r="H300" s="64"/>
      <c r="I300" s="2"/>
      <c r="J300" s="2"/>
      <c r="K300" s="2"/>
      <c r="L300" s="2"/>
      <c r="M300" s="2"/>
      <c r="N300" s="2"/>
      <c r="O300" s="2"/>
      <c r="P300" s="66"/>
      <c r="Q300" s="66"/>
      <c r="R300" s="2"/>
      <c r="S300" s="2"/>
      <c r="T300" s="2"/>
    </row>
    <row r="301" spans="1:20">
      <c r="A301" s="3"/>
      <c r="B301" s="3"/>
      <c r="C301" s="2"/>
      <c r="D301" s="2"/>
      <c r="E301" s="64"/>
      <c r="F301" s="64"/>
      <c r="G301" s="64"/>
      <c r="H301" s="64"/>
      <c r="I301" s="2"/>
      <c r="J301" s="2"/>
      <c r="K301" s="2"/>
      <c r="L301" s="2"/>
      <c r="M301" s="2"/>
      <c r="N301" s="2"/>
      <c r="O301" s="2"/>
      <c r="P301" s="66"/>
      <c r="Q301" s="66"/>
      <c r="R301" s="2"/>
      <c r="S301" s="2"/>
      <c r="T301" s="2"/>
    </row>
    <row r="302" spans="1:20">
      <c r="A302" s="3"/>
      <c r="B302" s="3"/>
      <c r="C302" s="2"/>
      <c r="D302" s="2"/>
      <c r="E302" s="64"/>
      <c r="F302" s="64"/>
      <c r="G302" s="64"/>
      <c r="H302" s="64"/>
      <c r="I302" s="2"/>
      <c r="J302" s="2"/>
      <c r="K302" s="2"/>
      <c r="L302" s="2"/>
      <c r="M302" s="2"/>
      <c r="N302" s="2"/>
      <c r="O302" s="2"/>
      <c r="P302" s="66"/>
      <c r="Q302" s="66"/>
      <c r="R302" s="2"/>
      <c r="S302" s="2"/>
      <c r="T302" s="2"/>
    </row>
    <row r="303" spans="1:20">
      <c r="A303" s="3"/>
      <c r="B303" s="3"/>
      <c r="C303" s="2"/>
      <c r="D303" s="2"/>
      <c r="E303" s="64"/>
      <c r="F303" s="64"/>
      <c r="G303" s="64"/>
      <c r="H303" s="64"/>
      <c r="I303" s="2"/>
      <c r="J303" s="2"/>
      <c r="K303" s="2"/>
      <c r="L303" s="2"/>
      <c r="M303" s="2"/>
      <c r="N303" s="2"/>
      <c r="O303" s="2"/>
      <c r="P303" s="66"/>
      <c r="Q303" s="66"/>
      <c r="R303" s="2"/>
      <c r="S303" s="2"/>
      <c r="T303" s="2"/>
    </row>
    <row r="304" spans="1:20">
      <c r="A304" s="3"/>
      <c r="B304" s="3"/>
      <c r="C304" s="2"/>
      <c r="D304" s="2"/>
      <c r="E304" s="64"/>
      <c r="F304" s="64"/>
      <c r="G304" s="64"/>
      <c r="H304" s="64"/>
      <c r="I304" s="2"/>
      <c r="J304" s="2"/>
      <c r="K304" s="2"/>
      <c r="L304" s="2"/>
      <c r="M304" s="2"/>
      <c r="N304" s="2"/>
      <c r="O304" s="2"/>
      <c r="P304" s="66"/>
      <c r="Q304" s="66"/>
      <c r="R304" s="2"/>
      <c r="S304" s="2"/>
      <c r="T304" s="2"/>
    </row>
    <row r="305" spans="1:20">
      <c r="A305" s="3"/>
      <c r="B305" s="3"/>
      <c r="C305" s="2"/>
      <c r="D305" s="2"/>
      <c r="E305" s="64"/>
      <c r="F305" s="64"/>
      <c r="G305" s="64"/>
      <c r="H305" s="64"/>
      <c r="I305" s="2"/>
      <c r="J305" s="2"/>
      <c r="K305" s="2"/>
      <c r="L305" s="2"/>
      <c r="M305" s="2"/>
      <c r="N305" s="2"/>
      <c r="O305" s="2"/>
      <c r="P305" s="66"/>
      <c r="Q305" s="66"/>
      <c r="R305" s="2"/>
      <c r="S305" s="2"/>
      <c r="T305" s="2"/>
    </row>
    <row r="306" spans="1:20">
      <c r="A306" s="3"/>
      <c r="B306" s="3"/>
      <c r="C306" s="2"/>
      <c r="D306" s="2"/>
      <c r="E306" s="64"/>
      <c r="F306" s="64"/>
      <c r="G306" s="64"/>
      <c r="H306" s="64"/>
      <c r="I306" s="2"/>
      <c r="J306" s="2"/>
      <c r="K306" s="2"/>
      <c r="L306" s="2"/>
      <c r="M306" s="2"/>
      <c r="N306" s="2"/>
      <c r="O306" s="2"/>
      <c r="P306" s="66"/>
      <c r="Q306" s="66"/>
      <c r="R306" s="2"/>
      <c r="S306" s="2"/>
      <c r="T306" s="2"/>
    </row>
    <row r="307" spans="1:20">
      <c r="A307" s="3"/>
      <c r="B307" s="3"/>
      <c r="C307" s="2"/>
      <c r="D307" s="2"/>
      <c r="E307" s="64"/>
      <c r="F307" s="64"/>
      <c r="G307" s="64"/>
      <c r="H307" s="64"/>
      <c r="I307" s="2"/>
      <c r="J307" s="2"/>
      <c r="K307" s="2"/>
      <c r="L307" s="2"/>
      <c r="M307" s="2"/>
      <c r="N307" s="2"/>
      <c r="O307" s="2"/>
      <c r="P307" s="66"/>
      <c r="Q307" s="66"/>
      <c r="R307" s="2"/>
      <c r="S307" s="2"/>
      <c r="T307" s="2"/>
    </row>
    <row r="308" spans="1:20">
      <c r="A308" s="3"/>
      <c r="B308" s="3"/>
      <c r="C308" s="2"/>
      <c r="D308" s="2"/>
      <c r="E308" s="64"/>
      <c r="F308" s="64"/>
      <c r="G308" s="64"/>
      <c r="H308" s="64"/>
      <c r="I308" s="2"/>
      <c r="J308" s="2"/>
      <c r="K308" s="2"/>
      <c r="L308" s="2"/>
      <c r="M308" s="2"/>
      <c r="N308" s="2"/>
      <c r="O308" s="2"/>
      <c r="P308" s="66"/>
      <c r="Q308" s="66"/>
      <c r="R308" s="2"/>
      <c r="S308" s="2"/>
      <c r="T308" s="2"/>
    </row>
    <row r="309" spans="1:20">
      <c r="A309" s="3"/>
      <c r="B309" s="3"/>
      <c r="C309" s="2"/>
      <c r="D309" s="2"/>
      <c r="E309" s="64"/>
      <c r="F309" s="64"/>
      <c r="G309" s="64"/>
      <c r="H309" s="64"/>
      <c r="I309" s="2"/>
      <c r="J309" s="2"/>
      <c r="K309" s="2"/>
      <c r="L309" s="2"/>
      <c r="M309" s="2"/>
      <c r="N309" s="2"/>
      <c r="O309" s="2"/>
      <c r="P309" s="66"/>
      <c r="Q309" s="66"/>
      <c r="R309" s="2"/>
      <c r="S309" s="2"/>
      <c r="T309" s="2"/>
    </row>
    <row r="310" spans="1:20">
      <c r="A310" s="3"/>
      <c r="B310" s="3"/>
      <c r="C310" s="2"/>
      <c r="D310" s="2"/>
      <c r="E310" s="64"/>
      <c r="F310" s="64"/>
      <c r="G310" s="64"/>
      <c r="H310" s="64"/>
      <c r="I310" s="2"/>
      <c r="J310" s="2"/>
      <c r="K310" s="2"/>
      <c r="L310" s="2"/>
      <c r="M310" s="2"/>
      <c r="N310" s="2"/>
      <c r="O310" s="2"/>
      <c r="P310" s="66"/>
      <c r="Q310" s="66"/>
      <c r="R310" s="2"/>
      <c r="S310" s="2"/>
      <c r="T310" s="2"/>
    </row>
    <row r="311" spans="1:20">
      <c r="A311" s="3"/>
      <c r="B311" s="3"/>
      <c r="C311" s="2"/>
      <c r="D311" s="2"/>
      <c r="E311" s="64"/>
      <c r="F311" s="64"/>
      <c r="G311" s="64"/>
      <c r="H311" s="64"/>
      <c r="I311" s="2"/>
      <c r="J311" s="2"/>
      <c r="K311" s="2"/>
      <c r="L311" s="2"/>
      <c r="M311" s="2"/>
      <c r="N311" s="2"/>
      <c r="O311" s="2"/>
      <c r="P311" s="66"/>
      <c r="Q311" s="66"/>
      <c r="R311" s="2"/>
      <c r="S311" s="2"/>
      <c r="T311" s="2"/>
    </row>
    <row r="312" spans="1:20">
      <c r="A312" s="3"/>
      <c r="B312" s="3"/>
      <c r="C312" s="2"/>
      <c r="D312" s="2"/>
      <c r="E312" s="64"/>
      <c r="F312" s="64"/>
      <c r="G312" s="64"/>
      <c r="H312" s="64"/>
      <c r="I312" s="2"/>
      <c r="J312" s="2"/>
      <c r="K312" s="2"/>
      <c r="L312" s="2"/>
      <c r="M312" s="2"/>
      <c r="N312" s="2"/>
      <c r="O312" s="2"/>
      <c r="P312" s="66"/>
      <c r="Q312" s="66"/>
      <c r="R312" s="2"/>
      <c r="S312" s="2"/>
      <c r="T312" s="2"/>
    </row>
    <row r="313" spans="1:20">
      <c r="A313" s="3"/>
      <c r="B313" s="3"/>
      <c r="C313" s="2"/>
      <c r="D313" s="2"/>
      <c r="E313" s="64"/>
      <c r="F313" s="64"/>
      <c r="G313" s="64"/>
      <c r="H313" s="64"/>
      <c r="I313" s="2"/>
      <c r="J313" s="2"/>
      <c r="K313" s="2"/>
      <c r="L313" s="2"/>
      <c r="M313" s="2"/>
      <c r="N313" s="2"/>
      <c r="O313" s="2"/>
      <c r="P313" s="66"/>
      <c r="Q313" s="66"/>
      <c r="R313" s="2"/>
      <c r="S313" s="2"/>
      <c r="T313" s="2"/>
    </row>
    <row r="314" spans="1:20">
      <c r="A314" s="3"/>
      <c r="B314" s="3"/>
      <c r="C314" s="2"/>
      <c r="D314" s="2"/>
      <c r="E314" s="64"/>
      <c r="F314" s="64"/>
      <c r="G314" s="64"/>
      <c r="H314" s="64"/>
      <c r="I314" s="2"/>
      <c r="J314" s="2"/>
      <c r="K314" s="2"/>
      <c r="L314" s="2"/>
      <c r="M314" s="2"/>
      <c r="N314" s="2"/>
      <c r="O314" s="2"/>
      <c r="P314" s="66"/>
      <c r="Q314" s="66"/>
      <c r="R314" s="2"/>
      <c r="S314" s="2"/>
      <c r="T314" s="2"/>
    </row>
    <row r="315" spans="1:20">
      <c r="A315" s="3"/>
      <c r="B315" s="3"/>
      <c r="C315" s="2"/>
      <c r="D315" s="2"/>
      <c r="E315" s="64"/>
      <c r="F315" s="64"/>
      <c r="G315" s="64"/>
      <c r="H315" s="64"/>
      <c r="I315" s="2"/>
      <c r="J315" s="2"/>
      <c r="K315" s="2"/>
      <c r="L315" s="2"/>
      <c r="M315" s="2"/>
      <c r="N315" s="2"/>
      <c r="O315" s="2"/>
      <c r="P315" s="66"/>
      <c r="Q315" s="66"/>
      <c r="R315" s="2"/>
      <c r="S315" s="2"/>
      <c r="T315" s="2"/>
    </row>
    <row r="316" spans="1:20">
      <c r="A316" s="3"/>
      <c r="B316" s="3"/>
      <c r="C316" s="2"/>
      <c r="D316" s="2"/>
      <c r="E316" s="64"/>
      <c r="F316" s="64"/>
      <c r="G316" s="64"/>
      <c r="H316" s="64"/>
      <c r="I316" s="2"/>
      <c r="J316" s="2"/>
      <c r="K316" s="2"/>
      <c r="L316" s="2"/>
      <c r="M316" s="2"/>
      <c r="N316" s="2"/>
      <c r="O316" s="2"/>
      <c r="P316" s="66"/>
      <c r="Q316" s="66"/>
      <c r="R316" s="2"/>
      <c r="S316" s="2"/>
      <c r="T316" s="2"/>
    </row>
    <row r="317" spans="1:20">
      <c r="A317" s="3"/>
      <c r="B317" s="3"/>
      <c r="C317" s="2"/>
      <c r="D317" s="2"/>
      <c r="E317" s="64"/>
      <c r="F317" s="64"/>
      <c r="G317" s="64"/>
      <c r="H317" s="64"/>
      <c r="I317" s="2"/>
      <c r="J317" s="2"/>
      <c r="K317" s="2"/>
      <c r="L317" s="2"/>
      <c r="M317" s="2"/>
      <c r="N317" s="2"/>
      <c r="O317" s="2"/>
      <c r="P317" s="66"/>
      <c r="Q317" s="66"/>
      <c r="R317" s="2"/>
      <c r="S317" s="2"/>
      <c r="T317" s="2"/>
    </row>
    <row r="318" spans="1:20">
      <c r="A318" s="3"/>
      <c r="B318" s="3"/>
      <c r="C318" s="2"/>
      <c r="D318" s="2"/>
      <c r="E318" s="64"/>
      <c r="F318" s="64"/>
      <c r="G318" s="64"/>
      <c r="H318" s="64"/>
      <c r="I318" s="2"/>
      <c r="J318" s="2"/>
      <c r="K318" s="2"/>
      <c r="L318" s="2"/>
      <c r="M318" s="2"/>
      <c r="N318" s="2"/>
      <c r="O318" s="2"/>
      <c r="P318" s="66"/>
      <c r="Q318" s="66"/>
      <c r="R318" s="2"/>
      <c r="S318" s="2"/>
      <c r="T318" s="2"/>
    </row>
    <row r="319" spans="1:20">
      <c r="A319" s="3"/>
      <c r="B319" s="3"/>
      <c r="C319" s="2"/>
      <c r="D319" s="2"/>
      <c r="E319" s="64"/>
      <c r="F319" s="64"/>
      <c r="G319" s="64"/>
      <c r="H319" s="64"/>
      <c r="I319" s="2"/>
      <c r="J319" s="2"/>
      <c r="K319" s="2"/>
      <c r="L319" s="2"/>
      <c r="M319" s="2"/>
      <c r="N319" s="2"/>
      <c r="O319" s="2"/>
      <c r="P319" s="66"/>
      <c r="Q319" s="66"/>
      <c r="R319" s="2"/>
      <c r="S319" s="2"/>
      <c r="T319" s="2"/>
    </row>
    <row r="320" spans="1:20">
      <c r="A320" s="3"/>
      <c r="B320" s="3"/>
      <c r="C320" s="2"/>
      <c r="D320" s="2"/>
      <c r="E320" s="64"/>
      <c r="F320" s="64"/>
      <c r="G320" s="64"/>
      <c r="H320" s="64"/>
      <c r="I320" s="2"/>
      <c r="J320" s="2"/>
      <c r="K320" s="2"/>
      <c r="L320" s="2"/>
      <c r="M320" s="2"/>
      <c r="N320" s="2"/>
      <c r="O320" s="2"/>
      <c r="P320" s="66"/>
      <c r="Q320" s="66"/>
      <c r="R320" s="2"/>
      <c r="S320" s="2"/>
      <c r="T320" s="2"/>
    </row>
    <row r="321" spans="1:20">
      <c r="A321" s="3"/>
      <c r="B321" s="3"/>
      <c r="C321" s="2"/>
      <c r="D321" s="2"/>
      <c r="E321" s="64"/>
      <c r="F321" s="64"/>
      <c r="G321" s="64"/>
      <c r="H321" s="64"/>
      <c r="I321" s="2"/>
      <c r="J321" s="2"/>
      <c r="K321" s="2"/>
      <c r="L321" s="2"/>
      <c r="M321" s="2"/>
      <c r="N321" s="2"/>
      <c r="O321" s="2"/>
      <c r="P321" s="66"/>
      <c r="Q321" s="66"/>
      <c r="R321" s="2"/>
      <c r="S321" s="2"/>
      <c r="T321" s="2"/>
    </row>
    <row r="322" spans="1:20">
      <c r="A322" s="3"/>
      <c r="B322" s="3"/>
      <c r="C322" s="2"/>
      <c r="D322" s="2"/>
      <c r="E322" s="64"/>
      <c r="F322" s="64"/>
      <c r="G322" s="64"/>
      <c r="H322" s="64"/>
      <c r="I322" s="2"/>
      <c r="J322" s="2"/>
      <c r="K322" s="2"/>
      <c r="L322" s="2"/>
      <c r="M322" s="2"/>
      <c r="N322" s="2"/>
      <c r="O322" s="2"/>
      <c r="P322" s="66"/>
      <c r="Q322" s="66"/>
      <c r="R322" s="2"/>
      <c r="S322" s="2"/>
      <c r="T322" s="2"/>
    </row>
    <row r="323" spans="1:20">
      <c r="A323" s="3"/>
      <c r="B323" s="3"/>
      <c r="C323" s="2"/>
      <c r="D323" s="2"/>
      <c r="E323" s="64"/>
      <c r="F323" s="64"/>
      <c r="G323" s="64"/>
      <c r="H323" s="64"/>
      <c r="I323" s="2"/>
      <c r="J323" s="2"/>
      <c r="K323" s="2"/>
      <c r="L323" s="2"/>
      <c r="M323" s="2"/>
      <c r="N323" s="2"/>
      <c r="O323" s="2"/>
      <c r="P323" s="66"/>
      <c r="Q323" s="66"/>
      <c r="R323" s="2"/>
      <c r="S323" s="2"/>
      <c r="T323" s="2"/>
    </row>
    <row r="324" spans="1:20">
      <c r="A324" s="3"/>
      <c r="B324" s="3"/>
      <c r="C324" s="2"/>
      <c r="D324" s="2"/>
      <c r="E324" s="64"/>
      <c r="F324" s="64"/>
      <c r="G324" s="64"/>
      <c r="H324" s="64"/>
      <c r="I324" s="2"/>
      <c r="J324" s="2"/>
      <c r="K324" s="2"/>
      <c r="L324" s="2"/>
      <c r="M324" s="2"/>
      <c r="N324" s="2"/>
      <c r="O324" s="2"/>
      <c r="P324" s="66"/>
      <c r="Q324" s="66"/>
      <c r="R324" s="2"/>
      <c r="S324" s="2"/>
      <c r="T324" s="2"/>
    </row>
    <row r="325" spans="1:20">
      <c r="A325" s="3"/>
      <c r="B325" s="3"/>
      <c r="C325" s="2"/>
      <c r="D325" s="2"/>
      <c r="E325" s="64"/>
      <c r="F325" s="64"/>
      <c r="G325" s="64"/>
      <c r="H325" s="64"/>
      <c r="I325" s="2"/>
      <c r="J325" s="2"/>
      <c r="K325" s="2"/>
      <c r="L325" s="2"/>
      <c r="M325" s="2"/>
      <c r="N325" s="2"/>
      <c r="O325" s="2"/>
      <c r="P325" s="66"/>
      <c r="Q325" s="66"/>
      <c r="R325" s="2"/>
      <c r="S325" s="2"/>
      <c r="T325" s="2"/>
    </row>
    <row r="326" spans="1:20">
      <c r="A326" s="3"/>
      <c r="B326" s="3"/>
      <c r="C326" s="2"/>
      <c r="D326" s="2"/>
      <c r="E326" s="64"/>
      <c r="F326" s="64"/>
      <c r="G326" s="64"/>
      <c r="H326" s="64"/>
      <c r="I326" s="2"/>
      <c r="J326" s="2"/>
      <c r="K326" s="2"/>
      <c r="L326" s="2"/>
      <c r="M326" s="2"/>
      <c r="N326" s="2"/>
      <c r="O326" s="2"/>
      <c r="P326" s="66"/>
      <c r="Q326" s="66"/>
      <c r="R326" s="2"/>
      <c r="S326" s="2"/>
      <c r="T326" s="2"/>
    </row>
    <row r="327" spans="1:20">
      <c r="A327" s="3"/>
      <c r="B327" s="3"/>
      <c r="C327" s="2"/>
      <c r="D327" s="2"/>
      <c r="E327" s="64"/>
      <c r="F327" s="64"/>
      <c r="G327" s="64"/>
      <c r="H327" s="64"/>
      <c r="I327" s="2"/>
      <c r="J327" s="2"/>
      <c r="K327" s="2"/>
      <c r="L327" s="2"/>
      <c r="M327" s="2"/>
      <c r="N327" s="2"/>
      <c r="O327" s="2"/>
      <c r="P327" s="66"/>
      <c r="Q327" s="66"/>
      <c r="R327" s="2"/>
      <c r="S327" s="2"/>
      <c r="T327" s="2"/>
    </row>
    <row r="328" spans="1:20">
      <c r="A328" s="3"/>
      <c r="B328" s="3"/>
      <c r="C328" s="2"/>
      <c r="D328" s="2"/>
      <c r="E328" s="64"/>
      <c r="F328" s="64"/>
      <c r="G328" s="64"/>
      <c r="H328" s="64"/>
      <c r="I328" s="2"/>
      <c r="J328" s="2"/>
      <c r="K328" s="2"/>
      <c r="L328" s="2"/>
      <c r="M328" s="2"/>
      <c r="N328" s="2"/>
      <c r="O328" s="2"/>
      <c r="P328" s="66"/>
      <c r="Q328" s="66"/>
      <c r="R328" s="2"/>
      <c r="S328" s="2"/>
      <c r="T328" s="2"/>
    </row>
    <row r="329" spans="1:20">
      <c r="A329" s="3"/>
      <c r="B329" s="3"/>
      <c r="C329" s="2"/>
      <c r="D329" s="2"/>
      <c r="E329" s="64"/>
      <c r="F329" s="64"/>
      <c r="G329" s="64"/>
      <c r="H329" s="64"/>
      <c r="I329" s="2"/>
      <c r="J329" s="2"/>
      <c r="K329" s="2"/>
      <c r="L329" s="2"/>
      <c r="M329" s="2"/>
      <c r="N329" s="2"/>
      <c r="O329" s="2"/>
      <c r="P329" s="66"/>
      <c r="Q329" s="66"/>
      <c r="R329" s="2"/>
      <c r="S329" s="2"/>
      <c r="T329" s="2"/>
    </row>
    <row r="330" spans="1:20">
      <c r="A330" s="3"/>
      <c r="B330" s="3"/>
      <c r="C330" s="2"/>
      <c r="D330" s="2"/>
      <c r="E330" s="64"/>
      <c r="F330" s="64"/>
      <c r="G330" s="64"/>
      <c r="H330" s="64"/>
      <c r="I330" s="2"/>
      <c r="J330" s="2"/>
      <c r="K330" s="2"/>
      <c r="L330" s="2"/>
      <c r="M330" s="2"/>
      <c r="N330" s="2"/>
      <c r="O330" s="2"/>
      <c r="P330" s="66"/>
      <c r="Q330" s="66"/>
      <c r="R330" s="2"/>
      <c r="S330" s="2"/>
      <c r="T330" s="2"/>
    </row>
    <row r="331" spans="1:20">
      <c r="A331" s="3"/>
      <c r="B331" s="3"/>
      <c r="C331" s="2"/>
      <c r="D331" s="2"/>
      <c r="E331" s="64"/>
      <c r="F331" s="64"/>
      <c r="G331" s="64"/>
      <c r="H331" s="64"/>
      <c r="I331" s="2"/>
      <c r="J331" s="2"/>
      <c r="K331" s="2"/>
      <c r="L331" s="2"/>
      <c r="M331" s="2"/>
      <c r="N331" s="2"/>
      <c r="O331" s="2"/>
      <c r="P331" s="66"/>
      <c r="Q331" s="66"/>
      <c r="R331" s="2"/>
      <c r="S331" s="2"/>
      <c r="T331" s="2"/>
    </row>
    <row r="332" spans="1:20">
      <c r="A332" s="3"/>
      <c r="B332" s="3"/>
      <c r="C332" s="2"/>
      <c r="D332" s="2"/>
      <c r="E332" s="64"/>
      <c r="F332" s="64"/>
      <c r="G332" s="64"/>
      <c r="H332" s="64"/>
      <c r="I332" s="2"/>
      <c r="J332" s="2"/>
      <c r="K332" s="2"/>
      <c r="L332" s="2"/>
      <c r="M332" s="2"/>
      <c r="N332" s="2"/>
      <c r="O332" s="2"/>
      <c r="P332" s="66"/>
      <c r="Q332" s="66"/>
      <c r="R332" s="2"/>
      <c r="S332" s="2"/>
      <c r="T332" s="2"/>
    </row>
    <row r="333" spans="1:20">
      <c r="A333" s="3"/>
      <c r="B333" s="3"/>
      <c r="C333" s="2"/>
      <c r="D333" s="2"/>
      <c r="E333" s="64"/>
      <c r="F333" s="64"/>
      <c r="G333" s="64"/>
      <c r="H333" s="64"/>
      <c r="I333" s="2"/>
      <c r="J333" s="2"/>
      <c r="K333" s="2"/>
      <c r="L333" s="2"/>
      <c r="M333" s="2"/>
      <c r="N333" s="2"/>
      <c r="O333" s="2"/>
      <c r="P333" s="66"/>
      <c r="Q333" s="66"/>
      <c r="R333" s="2"/>
      <c r="S333" s="2"/>
      <c r="T333" s="2"/>
    </row>
    <row r="334" spans="1:20">
      <c r="A334" s="3"/>
      <c r="B334" s="3"/>
      <c r="C334" s="2"/>
      <c r="D334" s="2"/>
      <c r="E334" s="64"/>
      <c r="F334" s="64"/>
      <c r="G334" s="64"/>
      <c r="H334" s="64"/>
      <c r="I334" s="2"/>
      <c r="J334" s="2"/>
      <c r="K334" s="2"/>
      <c r="L334" s="2"/>
      <c r="M334" s="2"/>
      <c r="N334" s="2"/>
      <c r="O334" s="2"/>
      <c r="P334" s="66"/>
      <c r="Q334" s="66"/>
      <c r="R334" s="2"/>
      <c r="S334" s="2"/>
      <c r="T334" s="2"/>
    </row>
    <row r="335" spans="1:20">
      <c r="A335" s="3"/>
      <c r="B335" s="3"/>
      <c r="C335" s="2"/>
      <c r="D335" s="2"/>
      <c r="E335" s="64"/>
      <c r="F335" s="64"/>
      <c r="G335" s="64"/>
      <c r="H335" s="64"/>
      <c r="I335" s="2"/>
      <c r="J335" s="2"/>
      <c r="K335" s="2"/>
      <c r="L335" s="2"/>
      <c r="M335" s="2"/>
      <c r="N335" s="2"/>
      <c r="O335" s="2"/>
      <c r="P335" s="66"/>
      <c r="Q335" s="66"/>
      <c r="R335" s="2"/>
      <c r="S335" s="2"/>
      <c r="T335" s="2"/>
    </row>
    <row r="336" spans="1:20">
      <c r="A336" s="3"/>
      <c r="B336" s="3"/>
      <c r="C336" s="2"/>
      <c r="D336" s="2"/>
      <c r="E336" s="64"/>
      <c r="F336" s="64"/>
      <c r="G336" s="64"/>
      <c r="H336" s="64"/>
      <c r="I336" s="2"/>
      <c r="J336" s="2"/>
      <c r="K336" s="2"/>
      <c r="L336" s="2"/>
      <c r="M336" s="2"/>
      <c r="N336" s="2"/>
      <c r="O336" s="2"/>
      <c r="P336" s="66"/>
      <c r="Q336" s="66"/>
      <c r="R336" s="2"/>
      <c r="S336" s="2"/>
      <c r="T336" s="2"/>
    </row>
    <row r="337" spans="1:20">
      <c r="A337" s="3"/>
      <c r="B337" s="3"/>
      <c r="C337" s="2"/>
      <c r="D337" s="2"/>
      <c r="E337" s="64"/>
      <c r="F337" s="64"/>
      <c r="G337" s="64"/>
      <c r="H337" s="64"/>
      <c r="I337" s="2"/>
      <c r="J337" s="2"/>
      <c r="K337" s="2"/>
      <c r="L337" s="2"/>
      <c r="M337" s="2"/>
      <c r="N337" s="2"/>
      <c r="O337" s="2"/>
      <c r="P337" s="66"/>
      <c r="Q337" s="66"/>
      <c r="R337" s="2"/>
      <c r="S337" s="2"/>
      <c r="T337" s="2"/>
    </row>
    <row r="338" spans="1:20">
      <c r="A338" s="3"/>
      <c r="B338" s="3"/>
      <c r="C338" s="2"/>
      <c r="D338" s="2"/>
      <c r="E338" s="64"/>
      <c r="F338" s="64"/>
      <c r="G338" s="64"/>
      <c r="H338" s="64"/>
      <c r="I338" s="2"/>
      <c r="J338" s="2"/>
      <c r="K338" s="2"/>
      <c r="L338" s="2"/>
      <c r="M338" s="2"/>
      <c r="N338" s="2"/>
      <c r="O338" s="2"/>
      <c r="P338" s="66"/>
      <c r="Q338" s="66"/>
      <c r="R338" s="2"/>
      <c r="S338" s="2"/>
      <c r="T338" s="2"/>
    </row>
    <row r="339" spans="1:20">
      <c r="A339" s="3"/>
      <c r="B339" s="3"/>
      <c r="C339" s="2"/>
      <c r="D339" s="2"/>
      <c r="E339" s="64"/>
      <c r="F339" s="64"/>
      <c r="G339" s="64"/>
      <c r="H339" s="64"/>
      <c r="I339" s="2"/>
      <c r="J339" s="2"/>
      <c r="K339" s="2"/>
      <c r="L339" s="2"/>
      <c r="M339" s="2"/>
      <c r="N339" s="2"/>
      <c r="O339" s="2"/>
      <c r="P339" s="66"/>
      <c r="Q339" s="66"/>
      <c r="R339" s="2"/>
      <c r="S339" s="2"/>
      <c r="T339" s="2"/>
    </row>
    <row r="340" spans="1:20">
      <c r="A340" s="3"/>
      <c r="B340" s="3"/>
      <c r="C340" s="2"/>
      <c r="D340" s="2"/>
      <c r="E340" s="64"/>
      <c r="F340" s="64"/>
      <c r="G340" s="64"/>
      <c r="H340" s="64"/>
      <c r="I340" s="2"/>
      <c r="J340" s="2"/>
      <c r="K340" s="2"/>
      <c r="L340" s="2"/>
      <c r="M340" s="2"/>
      <c r="N340" s="2"/>
      <c r="O340" s="2"/>
      <c r="P340" s="66"/>
      <c r="Q340" s="66"/>
      <c r="R340" s="2"/>
      <c r="S340" s="2"/>
      <c r="T340" s="2"/>
    </row>
    <row r="341" spans="1:20">
      <c r="A341" s="3"/>
      <c r="B341" s="3"/>
      <c r="C341" s="2"/>
      <c r="D341" s="2"/>
      <c r="E341" s="64"/>
      <c r="F341" s="64"/>
      <c r="G341" s="64"/>
      <c r="H341" s="64"/>
      <c r="I341" s="2"/>
      <c r="J341" s="2"/>
      <c r="K341" s="2"/>
      <c r="L341" s="2"/>
      <c r="M341" s="2"/>
      <c r="N341" s="2"/>
      <c r="O341" s="2"/>
      <c r="P341" s="66"/>
      <c r="Q341" s="66"/>
      <c r="R341" s="2"/>
      <c r="S341" s="2"/>
      <c r="T341" s="2"/>
    </row>
    <row r="342" spans="1:20">
      <c r="A342" s="3"/>
      <c r="B342" s="3"/>
      <c r="C342" s="2"/>
      <c r="D342" s="2"/>
      <c r="E342" s="64"/>
      <c r="F342" s="64"/>
      <c r="G342" s="64"/>
      <c r="H342" s="64"/>
      <c r="I342" s="2"/>
      <c r="J342" s="2"/>
      <c r="K342" s="2"/>
      <c r="L342" s="2"/>
      <c r="M342" s="2"/>
      <c r="N342" s="2"/>
      <c r="O342" s="2"/>
      <c r="P342" s="66"/>
      <c r="Q342" s="66"/>
      <c r="R342" s="2"/>
      <c r="S342" s="2"/>
      <c r="T342" s="2"/>
    </row>
    <row r="343" spans="1:20">
      <c r="A343" s="3"/>
      <c r="B343" s="3"/>
      <c r="C343" s="2"/>
      <c r="D343" s="2"/>
      <c r="E343" s="64"/>
      <c r="F343" s="64"/>
      <c r="G343" s="64"/>
      <c r="H343" s="64"/>
      <c r="I343" s="2"/>
      <c r="J343" s="2"/>
      <c r="K343" s="2"/>
      <c r="L343" s="2"/>
      <c r="M343" s="2"/>
      <c r="N343" s="2"/>
      <c r="O343" s="2"/>
      <c r="P343" s="66"/>
      <c r="Q343" s="66"/>
      <c r="R343" s="2"/>
      <c r="S343" s="2"/>
      <c r="T343" s="2"/>
    </row>
    <row r="344" spans="1:20">
      <c r="A344" s="3"/>
      <c r="B344" s="3"/>
      <c r="C344" s="2"/>
      <c r="D344" s="2"/>
      <c r="E344" s="64"/>
      <c r="F344" s="64"/>
      <c r="G344" s="64"/>
      <c r="H344" s="64"/>
      <c r="I344" s="2"/>
      <c r="J344" s="2"/>
      <c r="K344" s="2"/>
      <c r="L344" s="2"/>
      <c r="M344" s="2"/>
      <c r="N344" s="2"/>
      <c r="O344" s="2"/>
      <c r="P344" s="66"/>
      <c r="Q344" s="66"/>
      <c r="R344" s="2"/>
      <c r="S344" s="2"/>
      <c r="T344" s="2"/>
    </row>
    <row r="345" spans="1:20">
      <c r="A345" s="3"/>
      <c r="B345" s="3"/>
      <c r="C345" s="2"/>
      <c r="D345" s="2"/>
      <c r="E345" s="64"/>
      <c r="F345" s="64"/>
      <c r="G345" s="64"/>
      <c r="H345" s="64"/>
      <c r="I345" s="2"/>
      <c r="J345" s="2"/>
      <c r="K345" s="2"/>
      <c r="L345" s="2"/>
      <c r="M345" s="2"/>
      <c r="N345" s="2"/>
      <c r="O345" s="2"/>
      <c r="P345" s="66"/>
      <c r="Q345" s="66"/>
      <c r="R345" s="2"/>
      <c r="S345" s="2"/>
      <c r="T345" s="2"/>
    </row>
    <row r="346" spans="1:20">
      <c r="A346" s="3"/>
      <c r="B346" s="3"/>
      <c r="C346" s="2"/>
      <c r="D346" s="2"/>
      <c r="E346" s="64"/>
      <c r="F346" s="64"/>
      <c r="G346" s="64"/>
      <c r="H346" s="64"/>
      <c r="I346" s="2"/>
      <c r="J346" s="2"/>
      <c r="K346" s="2"/>
      <c r="L346" s="2"/>
      <c r="M346" s="2"/>
      <c r="N346" s="2"/>
      <c r="O346" s="2"/>
      <c r="P346" s="66"/>
      <c r="Q346" s="66"/>
      <c r="R346" s="2"/>
      <c r="S346" s="2"/>
      <c r="T346" s="2"/>
    </row>
    <row r="347" spans="1:20">
      <c r="A347" s="3"/>
      <c r="B347" s="3"/>
      <c r="C347" s="2"/>
      <c r="D347" s="2"/>
      <c r="E347" s="64"/>
      <c r="F347" s="64"/>
      <c r="G347" s="64"/>
      <c r="H347" s="64"/>
      <c r="I347" s="2"/>
      <c r="J347" s="2"/>
      <c r="K347" s="2"/>
      <c r="L347" s="2"/>
      <c r="M347" s="2"/>
      <c r="N347" s="2"/>
      <c r="O347" s="2"/>
      <c r="P347" s="66"/>
      <c r="Q347" s="66"/>
      <c r="R347" s="2"/>
      <c r="S347" s="2"/>
      <c r="T347" s="2"/>
    </row>
    <row r="348" spans="1:20">
      <c r="A348" s="3"/>
      <c r="B348" s="3"/>
      <c r="C348" s="2"/>
      <c r="D348" s="2"/>
      <c r="E348" s="64"/>
      <c r="F348" s="64"/>
      <c r="G348" s="64"/>
      <c r="H348" s="64"/>
      <c r="I348" s="2"/>
      <c r="J348" s="2"/>
      <c r="K348" s="2"/>
      <c r="L348" s="2"/>
      <c r="M348" s="2"/>
      <c r="N348" s="2"/>
      <c r="O348" s="2"/>
      <c r="P348" s="66"/>
      <c r="Q348" s="66"/>
      <c r="R348" s="2"/>
      <c r="S348" s="2"/>
      <c r="T348" s="2"/>
    </row>
    <row r="349" spans="1:20">
      <c r="A349" s="3"/>
      <c r="B349" s="3"/>
      <c r="C349" s="2"/>
      <c r="D349" s="2"/>
      <c r="E349" s="64"/>
      <c r="F349" s="64"/>
      <c r="G349" s="64"/>
      <c r="H349" s="64"/>
      <c r="I349" s="2"/>
      <c r="J349" s="2"/>
      <c r="K349" s="2"/>
      <c r="L349" s="2"/>
      <c r="M349" s="2"/>
      <c r="N349" s="2"/>
      <c r="O349" s="2"/>
      <c r="P349" s="66"/>
      <c r="Q349" s="66"/>
      <c r="R349" s="2"/>
      <c r="S349" s="2"/>
      <c r="T349" s="2"/>
    </row>
    <row r="350" spans="1:20">
      <c r="A350" s="3"/>
      <c r="B350" s="3"/>
      <c r="C350" s="2"/>
      <c r="D350" s="2"/>
      <c r="E350" s="64"/>
      <c r="F350" s="64"/>
      <c r="G350" s="64"/>
      <c r="H350" s="64"/>
      <c r="I350" s="2"/>
      <c r="J350" s="2"/>
      <c r="K350" s="2"/>
      <c r="L350" s="2"/>
      <c r="M350" s="2"/>
      <c r="N350" s="2"/>
      <c r="O350" s="2"/>
      <c r="P350" s="66"/>
      <c r="Q350" s="66"/>
      <c r="R350" s="2"/>
      <c r="S350" s="2"/>
      <c r="T350" s="2"/>
    </row>
    <row r="351" spans="1:20">
      <c r="A351" s="3"/>
      <c r="B351" s="3"/>
      <c r="C351" s="2"/>
      <c r="D351" s="2"/>
      <c r="E351" s="64"/>
      <c r="F351" s="64"/>
      <c r="G351" s="64"/>
      <c r="H351" s="64"/>
      <c r="I351" s="2"/>
      <c r="J351" s="2"/>
      <c r="K351" s="2"/>
      <c r="L351" s="2"/>
      <c r="M351" s="2"/>
      <c r="N351" s="2"/>
      <c r="O351" s="2"/>
      <c r="P351" s="66"/>
      <c r="Q351" s="66"/>
      <c r="R351" s="2"/>
      <c r="S351" s="2"/>
      <c r="T351" s="2"/>
    </row>
    <row r="352" spans="1:20">
      <c r="A352" s="3"/>
      <c r="B352" s="3"/>
      <c r="C352" s="2"/>
      <c r="D352" s="2"/>
      <c r="E352" s="64"/>
      <c r="F352" s="64"/>
      <c r="G352" s="64"/>
      <c r="H352" s="64"/>
      <c r="I352" s="2"/>
      <c r="J352" s="2"/>
      <c r="K352" s="2"/>
      <c r="L352" s="2"/>
      <c r="M352" s="2"/>
      <c r="N352" s="2"/>
      <c r="O352" s="2"/>
      <c r="P352" s="66"/>
      <c r="Q352" s="66"/>
      <c r="R352" s="2"/>
      <c r="S352" s="2"/>
      <c r="T352" s="2"/>
    </row>
    <row r="353" spans="1:20">
      <c r="A353" s="3"/>
      <c r="B353" s="3"/>
      <c r="C353" s="2"/>
      <c r="D353" s="2"/>
      <c r="E353" s="64"/>
      <c r="F353" s="64"/>
      <c r="G353" s="64"/>
      <c r="H353" s="64"/>
      <c r="I353" s="2"/>
      <c r="J353" s="2"/>
      <c r="K353" s="2"/>
      <c r="L353" s="2"/>
      <c r="M353" s="2"/>
      <c r="N353" s="2"/>
      <c r="O353" s="2"/>
      <c r="P353" s="66"/>
      <c r="Q353" s="66"/>
      <c r="R353" s="2"/>
      <c r="S353" s="2"/>
      <c r="T353" s="2"/>
    </row>
    <row r="354" spans="1:20">
      <c r="A354" s="3"/>
      <c r="B354" s="3"/>
      <c r="C354" s="2"/>
      <c r="D354" s="2"/>
      <c r="E354" s="64"/>
      <c r="F354" s="64"/>
      <c r="G354" s="64"/>
      <c r="H354" s="64"/>
      <c r="I354" s="2"/>
      <c r="J354" s="2"/>
      <c r="K354" s="2"/>
      <c r="L354" s="2"/>
      <c r="M354" s="2"/>
      <c r="N354" s="2"/>
      <c r="O354" s="2"/>
      <c r="P354" s="66"/>
      <c r="Q354" s="66"/>
      <c r="R354" s="2"/>
      <c r="S354" s="2"/>
      <c r="T354" s="2"/>
    </row>
    <row r="355" spans="1:20">
      <c r="A355" s="3"/>
      <c r="B355" s="3"/>
      <c r="C355" s="2"/>
      <c r="D355" s="2"/>
      <c r="E355" s="64"/>
      <c r="F355" s="64"/>
      <c r="G355" s="64"/>
      <c r="H355" s="64"/>
      <c r="I355" s="2"/>
      <c r="J355" s="2"/>
      <c r="K355" s="2"/>
      <c r="L355" s="2"/>
      <c r="M355" s="2"/>
      <c r="N355" s="2"/>
      <c r="O355" s="2"/>
      <c r="P355" s="66"/>
      <c r="Q355" s="66"/>
      <c r="R355" s="2"/>
      <c r="S355" s="2"/>
      <c r="T355" s="2"/>
    </row>
    <row r="356" spans="1:20">
      <c r="A356" s="3"/>
      <c r="B356" s="3"/>
      <c r="C356" s="2"/>
      <c r="D356" s="2"/>
      <c r="E356" s="64"/>
      <c r="F356" s="64"/>
      <c r="G356" s="64"/>
      <c r="H356" s="64"/>
      <c r="I356" s="2"/>
      <c r="J356" s="2"/>
      <c r="K356" s="2"/>
      <c r="L356" s="2"/>
      <c r="M356" s="2"/>
      <c r="N356" s="2"/>
      <c r="O356" s="2"/>
      <c r="P356" s="66"/>
      <c r="Q356" s="66"/>
      <c r="R356" s="2"/>
      <c r="S356" s="2"/>
      <c r="T356" s="2"/>
    </row>
    <row r="357" spans="1:20">
      <c r="A357" s="3"/>
      <c r="B357" s="3"/>
      <c r="C357" s="2"/>
      <c r="D357" s="2"/>
      <c r="E357" s="64"/>
      <c r="F357" s="64"/>
      <c r="G357" s="64"/>
      <c r="H357" s="64"/>
      <c r="I357" s="2"/>
      <c r="J357" s="2"/>
      <c r="K357" s="2"/>
      <c r="L357" s="2"/>
      <c r="M357" s="2"/>
      <c r="N357" s="2"/>
      <c r="O357" s="2"/>
      <c r="P357" s="66"/>
      <c r="Q357" s="66"/>
      <c r="R357" s="2"/>
      <c r="S357" s="2"/>
      <c r="T357" s="2"/>
    </row>
    <row r="358" spans="1:20">
      <c r="A358" s="3"/>
      <c r="B358" s="3"/>
      <c r="C358" s="2"/>
      <c r="D358" s="2"/>
      <c r="E358" s="64"/>
      <c r="F358" s="64"/>
      <c r="G358" s="64"/>
      <c r="H358" s="64"/>
      <c r="I358" s="2"/>
      <c r="J358" s="2"/>
      <c r="K358" s="2"/>
      <c r="L358" s="2"/>
      <c r="M358" s="2"/>
      <c r="N358" s="2"/>
      <c r="O358" s="2"/>
      <c r="P358" s="66"/>
      <c r="Q358" s="66"/>
      <c r="R358" s="2"/>
      <c r="S358" s="2"/>
      <c r="T358" s="2"/>
    </row>
    <row r="359" spans="1:20">
      <c r="A359" s="3"/>
      <c r="B359" s="3"/>
      <c r="C359" s="2"/>
      <c r="D359" s="2"/>
      <c r="E359" s="64"/>
      <c r="F359" s="64"/>
      <c r="G359" s="64"/>
      <c r="H359" s="64"/>
      <c r="I359" s="2"/>
      <c r="J359" s="2"/>
      <c r="K359" s="2"/>
      <c r="L359" s="2"/>
      <c r="M359" s="2"/>
      <c r="N359" s="2"/>
      <c r="O359" s="2"/>
      <c r="P359" s="66"/>
      <c r="Q359" s="66"/>
      <c r="R359" s="2"/>
      <c r="S359" s="2"/>
      <c r="T359" s="2"/>
    </row>
    <row r="360" spans="1:20">
      <c r="A360" s="3"/>
      <c r="B360" s="3"/>
      <c r="C360" s="2"/>
      <c r="D360" s="2"/>
      <c r="E360" s="64"/>
      <c r="F360" s="64"/>
      <c r="G360" s="64"/>
      <c r="H360" s="64"/>
      <c r="I360" s="2"/>
      <c r="J360" s="2"/>
      <c r="K360" s="2"/>
      <c r="L360" s="2"/>
      <c r="M360" s="2"/>
      <c r="N360" s="2"/>
      <c r="O360" s="2"/>
      <c r="P360" s="66"/>
      <c r="Q360" s="66"/>
      <c r="R360" s="2"/>
      <c r="S360" s="2"/>
      <c r="T360" s="2"/>
    </row>
    <row r="361" spans="1:20">
      <c r="A361" s="3"/>
      <c r="B361" s="3"/>
      <c r="C361" s="2"/>
      <c r="D361" s="2"/>
      <c r="E361" s="64"/>
      <c r="F361" s="64"/>
      <c r="G361" s="64"/>
      <c r="H361" s="64"/>
      <c r="I361" s="2"/>
      <c r="J361" s="2"/>
      <c r="K361" s="2"/>
      <c r="L361" s="2"/>
      <c r="M361" s="2"/>
      <c r="N361" s="2"/>
      <c r="O361" s="2"/>
      <c r="P361" s="66"/>
      <c r="Q361" s="66"/>
      <c r="R361" s="2"/>
      <c r="S361" s="2"/>
      <c r="T361" s="2"/>
    </row>
    <row r="362" spans="1:20">
      <c r="A362" s="3"/>
      <c r="B362" s="3"/>
      <c r="C362" s="2"/>
      <c r="D362" s="2"/>
      <c r="E362" s="64"/>
      <c r="F362" s="64"/>
      <c r="G362" s="64"/>
      <c r="H362" s="64"/>
      <c r="I362" s="2"/>
      <c r="J362" s="2"/>
      <c r="K362" s="2"/>
      <c r="L362" s="2"/>
      <c r="M362" s="2"/>
      <c r="N362" s="2"/>
      <c r="O362" s="2"/>
      <c r="P362" s="66"/>
      <c r="Q362" s="66"/>
      <c r="R362" s="2"/>
      <c r="S362" s="2"/>
      <c r="T362" s="2"/>
    </row>
    <row r="363" spans="1:20">
      <c r="A363" s="3"/>
      <c r="B363" s="3"/>
      <c r="C363" s="2"/>
      <c r="D363" s="2"/>
      <c r="E363" s="64"/>
      <c r="F363" s="64"/>
      <c r="G363" s="64"/>
      <c r="H363" s="64"/>
      <c r="I363" s="2"/>
      <c r="J363" s="2"/>
      <c r="K363" s="2"/>
      <c r="L363" s="2"/>
      <c r="M363" s="2"/>
      <c r="N363" s="2"/>
      <c r="O363" s="2"/>
      <c r="P363" s="66"/>
      <c r="Q363" s="66"/>
      <c r="R363" s="2"/>
      <c r="S363" s="2"/>
      <c r="T363" s="2"/>
    </row>
    <row r="364" spans="1:20">
      <c r="A364" s="3"/>
      <c r="B364" s="3"/>
      <c r="C364" s="2"/>
      <c r="D364" s="2"/>
      <c r="E364" s="64"/>
      <c r="F364" s="64"/>
      <c r="G364" s="64"/>
      <c r="H364" s="64"/>
      <c r="I364" s="2"/>
      <c r="J364" s="2"/>
      <c r="K364" s="2"/>
      <c r="L364" s="2"/>
      <c r="M364" s="2"/>
      <c r="N364" s="2"/>
      <c r="O364" s="2"/>
      <c r="P364" s="66"/>
      <c r="Q364" s="66"/>
      <c r="R364" s="2"/>
      <c r="S364" s="2"/>
      <c r="T364" s="2"/>
    </row>
    <row r="365" spans="1:20">
      <c r="A365" s="3"/>
      <c r="B365" s="3"/>
      <c r="C365" s="2"/>
      <c r="D365" s="2"/>
      <c r="E365" s="64"/>
      <c r="F365" s="64"/>
      <c r="G365" s="64"/>
      <c r="H365" s="64"/>
      <c r="I365" s="2"/>
      <c r="J365" s="2"/>
      <c r="K365" s="2"/>
      <c r="L365" s="2"/>
      <c r="M365" s="2"/>
      <c r="N365" s="2"/>
      <c r="O365" s="2"/>
      <c r="P365" s="66"/>
      <c r="Q365" s="66"/>
      <c r="R365" s="2"/>
      <c r="S365" s="2"/>
      <c r="T365" s="2"/>
    </row>
    <row r="366" spans="1:20">
      <c r="A366" s="3"/>
      <c r="B366" s="3"/>
      <c r="C366" s="2"/>
      <c r="D366" s="2"/>
      <c r="E366" s="64"/>
      <c r="F366" s="64"/>
      <c r="G366" s="64"/>
      <c r="H366" s="64"/>
      <c r="I366" s="2"/>
      <c r="J366" s="2"/>
      <c r="K366" s="2"/>
      <c r="L366" s="2"/>
      <c r="M366" s="2"/>
      <c r="N366" s="2"/>
      <c r="O366" s="2"/>
      <c r="P366" s="66"/>
      <c r="Q366" s="66"/>
      <c r="R366" s="2"/>
      <c r="S366" s="2"/>
      <c r="T366" s="2"/>
    </row>
    <row r="367" spans="1:20">
      <c r="A367" s="3"/>
      <c r="B367" s="3"/>
      <c r="C367" s="2"/>
      <c r="D367" s="2"/>
      <c r="E367" s="64"/>
      <c r="F367" s="64"/>
      <c r="G367" s="64"/>
      <c r="H367" s="64"/>
      <c r="I367" s="2"/>
      <c r="J367" s="2"/>
      <c r="K367" s="2"/>
      <c r="L367" s="2"/>
      <c r="M367" s="2"/>
      <c r="N367" s="2"/>
      <c r="O367" s="2"/>
      <c r="P367" s="66"/>
      <c r="Q367" s="66"/>
      <c r="R367" s="2"/>
      <c r="S367" s="2"/>
      <c r="T367" s="2"/>
    </row>
    <row r="368" spans="1:20">
      <c r="A368" s="3"/>
      <c r="B368" s="3"/>
      <c r="C368" s="2"/>
      <c r="D368" s="2"/>
      <c r="E368" s="64"/>
      <c r="F368" s="64"/>
      <c r="G368" s="64"/>
      <c r="H368" s="64"/>
      <c r="I368" s="2"/>
      <c r="J368" s="2"/>
      <c r="K368" s="2"/>
      <c r="L368" s="2"/>
      <c r="M368" s="2"/>
      <c r="N368" s="2"/>
      <c r="O368" s="2"/>
      <c r="P368" s="66"/>
      <c r="Q368" s="66"/>
      <c r="R368" s="2"/>
      <c r="S368" s="2"/>
      <c r="T368" s="2"/>
    </row>
    <row r="369" spans="1:20">
      <c r="A369" s="3"/>
      <c r="B369" s="3"/>
      <c r="C369" s="2"/>
      <c r="D369" s="2"/>
      <c r="E369" s="64"/>
      <c r="F369" s="64"/>
      <c r="G369" s="64"/>
      <c r="H369" s="64"/>
      <c r="I369" s="2"/>
      <c r="J369" s="2"/>
      <c r="K369" s="2"/>
      <c r="L369" s="2"/>
      <c r="M369" s="2"/>
      <c r="N369" s="2"/>
      <c r="O369" s="2"/>
      <c r="P369" s="66"/>
      <c r="Q369" s="66"/>
      <c r="R369" s="2"/>
      <c r="S369" s="2"/>
      <c r="T369" s="2"/>
    </row>
    <row r="370" spans="1:20">
      <c r="A370" s="3"/>
      <c r="B370" s="3"/>
      <c r="C370" s="2"/>
      <c r="D370" s="2"/>
      <c r="E370" s="64"/>
      <c r="F370" s="64"/>
      <c r="G370" s="64"/>
      <c r="H370" s="64"/>
      <c r="I370" s="2"/>
      <c r="J370" s="2"/>
      <c r="K370" s="2"/>
      <c r="L370" s="2"/>
      <c r="M370" s="2"/>
      <c r="N370" s="2"/>
      <c r="O370" s="2"/>
      <c r="P370" s="66"/>
      <c r="Q370" s="66"/>
      <c r="R370" s="2"/>
      <c r="S370" s="2"/>
      <c r="T370" s="2"/>
    </row>
    <row r="371" spans="1:20">
      <c r="A371" s="3"/>
      <c r="B371" s="3"/>
      <c r="C371" s="2"/>
      <c r="D371" s="2"/>
      <c r="E371" s="64"/>
      <c r="F371" s="64"/>
      <c r="G371" s="64"/>
      <c r="H371" s="64"/>
      <c r="I371" s="2"/>
      <c r="J371" s="2"/>
      <c r="K371" s="2"/>
      <c r="L371" s="2"/>
      <c r="M371" s="2"/>
      <c r="N371" s="2"/>
      <c r="O371" s="2"/>
      <c r="P371" s="66"/>
      <c r="Q371" s="66"/>
      <c r="R371" s="2"/>
      <c r="S371" s="2"/>
      <c r="T371" s="2"/>
    </row>
    <row r="372" spans="1:20">
      <c r="A372" s="3"/>
      <c r="B372" s="3"/>
      <c r="C372" s="2"/>
      <c r="D372" s="2"/>
      <c r="E372" s="64"/>
      <c r="F372" s="64"/>
      <c r="G372" s="64"/>
      <c r="H372" s="64"/>
      <c r="I372" s="2"/>
      <c r="J372" s="2"/>
      <c r="K372" s="2"/>
      <c r="L372" s="2"/>
      <c r="M372" s="2"/>
      <c r="N372" s="2"/>
      <c r="O372" s="2"/>
      <c r="P372" s="66"/>
      <c r="Q372" s="66"/>
      <c r="R372" s="2"/>
      <c r="S372" s="2"/>
      <c r="T372" s="2"/>
    </row>
    <row r="373" spans="1:20">
      <c r="A373" s="3"/>
      <c r="B373" s="3"/>
      <c r="C373" s="2"/>
      <c r="D373" s="2"/>
      <c r="E373" s="64"/>
      <c r="F373" s="64"/>
      <c r="G373" s="64"/>
      <c r="H373" s="64"/>
      <c r="I373" s="2"/>
      <c r="J373" s="2"/>
      <c r="K373" s="2"/>
      <c r="L373" s="2"/>
      <c r="M373" s="2"/>
      <c r="N373" s="2"/>
      <c r="O373" s="2"/>
      <c r="P373" s="66"/>
      <c r="Q373" s="66"/>
      <c r="R373" s="2"/>
      <c r="S373" s="2"/>
      <c r="T373" s="2"/>
    </row>
    <row r="374" spans="1:20">
      <c r="A374" s="3"/>
      <c r="B374" s="3"/>
      <c r="C374" s="2"/>
      <c r="D374" s="2"/>
      <c r="E374" s="64"/>
      <c r="F374" s="64"/>
      <c r="G374" s="64"/>
      <c r="H374" s="64"/>
      <c r="I374" s="2"/>
      <c r="J374" s="2"/>
      <c r="K374" s="2"/>
      <c r="L374" s="2"/>
      <c r="M374" s="2"/>
      <c r="N374" s="2"/>
      <c r="O374" s="2"/>
      <c r="P374" s="66"/>
      <c r="Q374" s="66"/>
      <c r="R374" s="2"/>
      <c r="S374" s="2"/>
      <c r="T374" s="2"/>
    </row>
    <row r="375" spans="1:20">
      <c r="A375" s="3"/>
      <c r="B375" s="3"/>
      <c r="C375" s="2"/>
      <c r="D375" s="2"/>
      <c r="E375" s="64"/>
      <c r="F375" s="64"/>
      <c r="G375" s="64"/>
      <c r="H375" s="64"/>
      <c r="I375" s="2"/>
      <c r="J375" s="2"/>
      <c r="K375" s="2"/>
      <c r="L375" s="2"/>
      <c r="M375" s="2"/>
      <c r="N375" s="2"/>
      <c r="O375" s="2"/>
      <c r="P375" s="66"/>
      <c r="Q375" s="66"/>
      <c r="R375" s="2"/>
      <c r="S375" s="2"/>
      <c r="T375" s="2"/>
    </row>
    <row r="376" spans="1:20">
      <c r="A376" s="3"/>
      <c r="B376" s="3"/>
      <c r="C376" s="2"/>
      <c r="D376" s="2"/>
      <c r="E376" s="64"/>
      <c r="F376" s="64"/>
      <c r="G376" s="64"/>
      <c r="H376" s="64"/>
      <c r="I376" s="2"/>
      <c r="J376" s="2"/>
      <c r="K376" s="2"/>
      <c r="L376" s="2"/>
      <c r="M376" s="2"/>
      <c r="N376" s="2"/>
      <c r="O376" s="2"/>
      <c r="P376" s="66"/>
      <c r="Q376" s="66"/>
      <c r="R376" s="2"/>
      <c r="S376" s="2"/>
      <c r="T376" s="2"/>
    </row>
    <row r="377" spans="1:20">
      <c r="A377" s="3"/>
      <c r="B377" s="3"/>
      <c r="C377" s="2"/>
      <c r="D377" s="2"/>
      <c r="E377" s="64"/>
      <c r="F377" s="64"/>
      <c r="G377" s="64"/>
      <c r="H377" s="64"/>
      <c r="I377" s="2"/>
      <c r="J377" s="2"/>
      <c r="K377" s="2"/>
      <c r="L377" s="2"/>
      <c r="M377" s="2"/>
      <c r="N377" s="2"/>
      <c r="O377" s="2"/>
      <c r="P377" s="66"/>
      <c r="Q377" s="66"/>
      <c r="R377" s="2"/>
      <c r="S377" s="2"/>
      <c r="T377" s="2"/>
    </row>
    <row r="378" spans="1:20">
      <c r="A378" s="3"/>
      <c r="B378" s="3"/>
      <c r="C378" s="2"/>
      <c r="D378" s="2"/>
      <c r="E378" s="64"/>
      <c r="F378" s="64"/>
      <c r="G378" s="64"/>
      <c r="H378" s="64"/>
      <c r="I378" s="2"/>
      <c r="J378" s="2"/>
      <c r="K378" s="2"/>
      <c r="L378" s="2"/>
      <c r="M378" s="2"/>
      <c r="N378" s="2"/>
      <c r="O378" s="2"/>
      <c r="P378" s="66"/>
      <c r="Q378" s="66"/>
      <c r="R378" s="2"/>
      <c r="S378" s="2"/>
      <c r="T378" s="2"/>
    </row>
    <row r="379" spans="1:20">
      <c r="A379" s="3"/>
      <c r="B379" s="3"/>
      <c r="C379" s="2"/>
      <c r="D379" s="2"/>
      <c r="E379" s="64"/>
      <c r="F379" s="64"/>
      <c r="G379" s="64"/>
      <c r="H379" s="64"/>
      <c r="I379" s="2"/>
      <c r="J379" s="2"/>
      <c r="K379" s="2"/>
      <c r="L379" s="2"/>
      <c r="M379" s="2"/>
      <c r="N379" s="2"/>
      <c r="O379" s="2"/>
      <c r="P379" s="66"/>
      <c r="Q379" s="66"/>
      <c r="R379" s="2"/>
      <c r="S379" s="2"/>
      <c r="T379" s="2"/>
    </row>
    <row r="380" spans="1:20">
      <c r="A380" s="3"/>
      <c r="B380" s="3"/>
      <c r="C380" s="2"/>
      <c r="D380" s="2"/>
      <c r="E380" s="64"/>
      <c r="F380" s="64"/>
      <c r="G380" s="64"/>
      <c r="H380" s="64"/>
      <c r="I380" s="2"/>
      <c r="J380" s="2"/>
      <c r="K380" s="2"/>
      <c r="L380" s="2"/>
      <c r="M380" s="2"/>
      <c r="N380" s="2"/>
      <c r="O380" s="2"/>
      <c r="P380" s="66"/>
      <c r="Q380" s="66"/>
      <c r="R380" s="2"/>
      <c r="S380" s="2"/>
      <c r="T380" s="2"/>
    </row>
    <row r="381" spans="1:20">
      <c r="A381" s="3"/>
      <c r="B381" s="3"/>
      <c r="C381" s="2"/>
      <c r="D381" s="2"/>
      <c r="E381" s="64"/>
      <c r="F381" s="64"/>
      <c r="G381" s="64"/>
      <c r="H381" s="64"/>
      <c r="I381" s="2"/>
      <c r="J381" s="2"/>
      <c r="K381" s="2"/>
      <c r="L381" s="2"/>
      <c r="M381" s="2"/>
      <c r="N381" s="2"/>
      <c r="O381" s="2"/>
      <c r="P381" s="66"/>
      <c r="Q381" s="66"/>
      <c r="R381" s="2"/>
      <c r="S381" s="2"/>
      <c r="T381" s="2"/>
    </row>
    <row r="382" spans="1:20">
      <c r="A382" s="3"/>
      <c r="B382" s="3"/>
      <c r="C382" s="2"/>
      <c r="D382" s="2"/>
      <c r="E382" s="64"/>
      <c r="F382" s="64"/>
      <c r="G382" s="64"/>
      <c r="H382" s="64"/>
      <c r="I382" s="2"/>
      <c r="J382" s="2"/>
      <c r="K382" s="2"/>
      <c r="L382" s="2"/>
      <c r="M382" s="2"/>
      <c r="N382" s="2"/>
      <c r="O382" s="2"/>
      <c r="P382" s="66"/>
      <c r="Q382" s="66"/>
      <c r="R382" s="2"/>
      <c r="S382" s="2"/>
      <c r="T382" s="2"/>
    </row>
    <row r="383" spans="1:20">
      <c r="A383" s="3"/>
      <c r="B383" s="3"/>
      <c r="C383" s="2"/>
      <c r="D383" s="2"/>
      <c r="E383" s="64"/>
      <c r="F383" s="64"/>
      <c r="G383" s="64"/>
      <c r="H383" s="64"/>
      <c r="I383" s="2"/>
      <c r="J383" s="2"/>
      <c r="K383" s="2"/>
      <c r="L383" s="2"/>
      <c r="M383" s="2"/>
      <c r="N383" s="2"/>
      <c r="O383" s="2"/>
      <c r="P383" s="66"/>
      <c r="Q383" s="66"/>
      <c r="R383" s="2"/>
      <c r="S383" s="2"/>
      <c r="T383" s="2"/>
    </row>
    <row r="384" spans="1:20">
      <c r="A384" s="3"/>
      <c r="B384" s="3"/>
      <c r="C384" s="2"/>
      <c r="D384" s="2"/>
      <c r="E384" s="64"/>
      <c r="F384" s="64"/>
      <c r="G384" s="64"/>
      <c r="H384" s="64"/>
      <c r="I384" s="2"/>
      <c r="J384" s="2"/>
      <c r="K384" s="2"/>
      <c r="L384" s="2"/>
      <c r="M384" s="2"/>
      <c r="N384" s="2"/>
      <c r="O384" s="2"/>
      <c r="P384" s="66"/>
      <c r="Q384" s="66"/>
      <c r="R384" s="2"/>
      <c r="S384" s="2"/>
      <c r="T384" s="2"/>
    </row>
    <row r="385" spans="1:20">
      <c r="A385" s="3"/>
      <c r="B385" s="3"/>
      <c r="C385" s="2"/>
      <c r="D385" s="2"/>
      <c r="E385" s="64"/>
      <c r="F385" s="64"/>
      <c r="G385" s="64"/>
      <c r="H385" s="64"/>
      <c r="I385" s="2"/>
      <c r="J385" s="2"/>
      <c r="K385" s="2"/>
      <c r="L385" s="2"/>
      <c r="M385" s="2"/>
      <c r="N385" s="2"/>
      <c r="O385" s="2"/>
      <c r="P385" s="66"/>
      <c r="Q385" s="66"/>
      <c r="R385" s="2"/>
      <c r="S385" s="2"/>
      <c r="T385" s="2"/>
    </row>
    <row r="386" spans="1:20">
      <c r="A386" s="3"/>
      <c r="B386" s="3"/>
      <c r="C386" s="2"/>
      <c r="D386" s="2"/>
      <c r="E386" s="64"/>
      <c r="F386" s="64"/>
      <c r="G386" s="64"/>
      <c r="H386" s="64"/>
      <c r="I386" s="2"/>
      <c r="J386" s="2"/>
      <c r="K386" s="2"/>
      <c r="L386" s="2"/>
      <c r="M386" s="2"/>
      <c r="N386" s="2"/>
      <c r="O386" s="2"/>
      <c r="P386" s="66"/>
      <c r="Q386" s="66"/>
      <c r="R386" s="2"/>
      <c r="S386" s="2"/>
      <c r="T386" s="2"/>
    </row>
    <row r="387" spans="1:20">
      <c r="A387" s="3"/>
      <c r="B387" s="3"/>
      <c r="C387" s="2"/>
      <c r="D387" s="2"/>
      <c r="E387" s="64"/>
      <c r="F387" s="64"/>
      <c r="G387" s="64"/>
      <c r="H387" s="64"/>
      <c r="I387" s="2"/>
      <c r="J387" s="2"/>
      <c r="K387" s="2"/>
      <c r="L387" s="2"/>
      <c r="M387" s="2"/>
      <c r="N387" s="2"/>
      <c r="O387" s="2"/>
      <c r="P387" s="66"/>
      <c r="Q387" s="66"/>
      <c r="R387" s="2"/>
      <c r="S387" s="2"/>
      <c r="T387" s="2"/>
    </row>
    <row r="388" spans="1:20">
      <c r="A388" s="3"/>
      <c r="B388" s="3"/>
      <c r="C388" s="2"/>
      <c r="D388" s="2"/>
      <c r="E388" s="64"/>
      <c r="F388" s="64"/>
      <c r="G388" s="64"/>
      <c r="H388" s="64"/>
      <c r="I388" s="2"/>
      <c r="J388" s="2"/>
      <c r="K388" s="2"/>
      <c r="L388" s="2"/>
      <c r="M388" s="2"/>
      <c r="N388" s="2"/>
      <c r="O388" s="2"/>
      <c r="P388" s="66"/>
      <c r="Q388" s="66"/>
      <c r="R388" s="2"/>
      <c r="S388" s="2"/>
      <c r="T388" s="2"/>
    </row>
    <row r="389" spans="1:20">
      <c r="A389" s="3"/>
      <c r="B389" s="3"/>
      <c r="C389" s="2"/>
      <c r="D389" s="2"/>
      <c r="E389" s="64"/>
      <c r="F389" s="64"/>
      <c r="G389" s="64"/>
      <c r="H389" s="64"/>
      <c r="I389" s="2"/>
      <c r="J389" s="2"/>
      <c r="K389" s="2"/>
      <c r="L389" s="2"/>
      <c r="M389" s="2"/>
      <c r="N389" s="2"/>
      <c r="O389" s="2"/>
      <c r="P389" s="66"/>
      <c r="Q389" s="66"/>
      <c r="R389" s="2"/>
      <c r="S389" s="2"/>
      <c r="T389" s="2"/>
    </row>
    <row r="390" spans="1:20">
      <c r="A390" s="3"/>
      <c r="B390" s="3"/>
      <c r="C390" s="2"/>
      <c r="D390" s="2"/>
      <c r="E390" s="64"/>
      <c r="F390" s="64"/>
      <c r="G390" s="64"/>
      <c r="H390" s="64"/>
      <c r="I390" s="2"/>
      <c r="J390" s="2"/>
      <c r="K390" s="2"/>
      <c r="L390" s="2"/>
      <c r="M390" s="2"/>
      <c r="N390" s="2"/>
      <c r="O390" s="2"/>
      <c r="P390" s="66"/>
      <c r="Q390" s="66"/>
      <c r="R390" s="2"/>
      <c r="S390" s="2"/>
      <c r="T390" s="2"/>
    </row>
    <row r="391" spans="1:20">
      <c r="A391" s="3"/>
      <c r="B391" s="3"/>
      <c r="C391" s="2"/>
      <c r="D391" s="2"/>
      <c r="E391" s="64"/>
      <c r="F391" s="64"/>
      <c r="G391" s="64"/>
      <c r="H391" s="64"/>
      <c r="I391" s="2"/>
      <c r="J391" s="2"/>
      <c r="K391" s="2"/>
      <c r="L391" s="2"/>
      <c r="M391" s="2"/>
      <c r="N391" s="2"/>
      <c r="O391" s="2"/>
      <c r="P391" s="66"/>
      <c r="Q391" s="66"/>
      <c r="R391" s="2"/>
      <c r="S391" s="2"/>
      <c r="T391" s="2"/>
    </row>
    <row r="392" spans="1:20">
      <c r="A392" s="3"/>
      <c r="B392" s="3"/>
      <c r="C392" s="2"/>
      <c r="D392" s="2"/>
      <c r="E392" s="64"/>
      <c r="F392" s="64"/>
      <c r="G392" s="64"/>
      <c r="H392" s="64"/>
      <c r="I392" s="2"/>
      <c r="J392" s="2"/>
      <c r="K392" s="2"/>
      <c r="L392" s="2"/>
      <c r="M392" s="2"/>
      <c r="N392" s="2"/>
      <c r="O392" s="2"/>
      <c r="P392" s="66"/>
      <c r="Q392" s="66"/>
      <c r="R392" s="2"/>
      <c r="S392" s="2"/>
      <c r="T392" s="2"/>
    </row>
    <row r="393" spans="1:20">
      <c r="A393" s="3"/>
      <c r="B393" s="3"/>
      <c r="C393" s="2"/>
      <c r="D393" s="2"/>
      <c r="E393" s="64"/>
      <c r="F393" s="64"/>
      <c r="G393" s="64"/>
      <c r="H393" s="64"/>
      <c r="I393" s="2"/>
      <c r="J393" s="2"/>
      <c r="K393" s="2"/>
      <c r="L393" s="2"/>
      <c r="M393" s="2"/>
      <c r="N393" s="2"/>
      <c r="O393" s="2"/>
      <c r="P393" s="66"/>
      <c r="Q393" s="66"/>
      <c r="R393" s="2"/>
      <c r="S393" s="2"/>
      <c r="T393" s="2"/>
    </row>
    <row r="394" spans="1:20">
      <c r="A394" s="3"/>
      <c r="B394" s="3"/>
      <c r="C394" s="2"/>
      <c r="D394" s="2"/>
      <c r="E394" s="64"/>
      <c r="F394" s="64"/>
      <c r="G394" s="64"/>
      <c r="H394" s="64"/>
      <c r="I394" s="2"/>
      <c r="J394" s="2"/>
      <c r="K394" s="2"/>
      <c r="L394" s="2"/>
      <c r="M394" s="2"/>
      <c r="N394" s="2"/>
      <c r="O394" s="2"/>
      <c r="P394" s="66"/>
      <c r="Q394" s="66"/>
      <c r="R394" s="2"/>
      <c r="S394" s="2"/>
      <c r="T394" s="2"/>
    </row>
    <row r="395" spans="1:20">
      <c r="A395" s="3"/>
      <c r="B395" s="3"/>
      <c r="C395" s="2"/>
      <c r="D395" s="2"/>
      <c r="E395" s="64"/>
      <c r="F395" s="64"/>
      <c r="G395" s="64"/>
      <c r="H395" s="64"/>
      <c r="I395" s="2"/>
      <c r="J395" s="2"/>
      <c r="K395" s="2"/>
      <c r="L395" s="2"/>
      <c r="M395" s="2"/>
      <c r="N395" s="2"/>
      <c r="O395" s="2"/>
      <c r="P395" s="66"/>
      <c r="Q395" s="66"/>
      <c r="R395" s="2"/>
      <c r="S395" s="2"/>
      <c r="T395" s="2"/>
    </row>
    <row r="396" spans="1:20">
      <c r="A396" s="3"/>
      <c r="B396" s="3"/>
      <c r="C396" s="2"/>
      <c r="D396" s="2"/>
      <c r="E396" s="64"/>
      <c r="F396" s="64"/>
      <c r="G396" s="64"/>
      <c r="H396" s="64"/>
      <c r="I396" s="2"/>
      <c r="J396" s="2"/>
      <c r="K396" s="2"/>
      <c r="L396" s="2"/>
      <c r="M396" s="2"/>
      <c r="N396" s="2"/>
      <c r="O396" s="2"/>
      <c r="P396" s="66"/>
      <c r="Q396" s="66"/>
      <c r="R396" s="2"/>
      <c r="S396" s="2"/>
      <c r="T396" s="2"/>
    </row>
    <row r="397" spans="1:20">
      <c r="A397" s="3"/>
      <c r="B397" s="3"/>
      <c r="C397" s="2"/>
      <c r="D397" s="2"/>
      <c r="E397" s="64"/>
      <c r="F397" s="64"/>
      <c r="G397" s="64"/>
      <c r="H397" s="64"/>
      <c r="I397" s="2"/>
      <c r="J397" s="2"/>
      <c r="K397" s="2"/>
      <c r="L397" s="2"/>
      <c r="M397" s="2"/>
      <c r="N397" s="2"/>
      <c r="O397" s="2"/>
      <c r="P397" s="66"/>
      <c r="Q397" s="66"/>
      <c r="R397" s="2"/>
      <c r="S397" s="2"/>
      <c r="T397" s="2"/>
    </row>
    <row r="398" spans="1:20">
      <c r="A398" s="3"/>
      <c r="B398" s="3"/>
      <c r="C398" s="2"/>
      <c r="D398" s="2"/>
      <c r="E398" s="64"/>
      <c r="F398" s="64"/>
      <c r="G398" s="64"/>
      <c r="H398" s="64"/>
      <c r="I398" s="2"/>
      <c r="J398" s="2"/>
      <c r="K398" s="2"/>
      <c r="L398" s="2"/>
      <c r="M398" s="2"/>
      <c r="N398" s="2"/>
      <c r="O398" s="2"/>
      <c r="P398" s="66"/>
      <c r="Q398" s="66"/>
      <c r="R398" s="2"/>
      <c r="S398" s="2"/>
      <c r="T398" s="2"/>
    </row>
    <row r="399" spans="1:20">
      <c r="A399" s="3"/>
      <c r="B399" s="3"/>
      <c r="C399" s="2"/>
      <c r="D399" s="2"/>
      <c r="E399" s="64"/>
      <c r="F399" s="64"/>
      <c r="G399" s="64"/>
      <c r="H399" s="64"/>
      <c r="I399" s="2"/>
      <c r="J399" s="2"/>
      <c r="K399" s="2"/>
      <c r="L399" s="2"/>
      <c r="M399" s="2"/>
      <c r="N399" s="2"/>
      <c r="O399" s="2"/>
      <c r="P399" s="66"/>
      <c r="Q399" s="66"/>
      <c r="R399" s="2"/>
      <c r="S399" s="2"/>
      <c r="T399" s="2"/>
    </row>
    <row r="400" spans="1:20">
      <c r="A400" s="3"/>
      <c r="B400" s="3"/>
      <c r="C400" s="2"/>
      <c r="D400" s="2"/>
      <c r="E400" s="64"/>
      <c r="F400" s="64"/>
      <c r="G400" s="64"/>
      <c r="H400" s="64"/>
      <c r="I400" s="2"/>
      <c r="J400" s="2"/>
      <c r="K400" s="2"/>
      <c r="L400" s="2"/>
      <c r="M400" s="2"/>
      <c r="N400" s="2"/>
      <c r="O400" s="2"/>
      <c r="P400" s="66"/>
      <c r="Q400" s="66"/>
      <c r="R400" s="2"/>
      <c r="S400" s="2"/>
      <c r="T400" s="2"/>
    </row>
    <row r="401" spans="1:20">
      <c r="A401" s="3"/>
      <c r="B401" s="3"/>
      <c r="C401" s="2"/>
      <c r="D401" s="2"/>
      <c r="E401" s="64"/>
      <c r="F401" s="64"/>
      <c r="G401" s="64"/>
      <c r="H401" s="64"/>
      <c r="I401" s="2"/>
      <c r="J401" s="2"/>
      <c r="K401" s="2"/>
      <c r="L401" s="2"/>
      <c r="M401" s="2"/>
      <c r="N401" s="2"/>
      <c r="O401" s="2"/>
      <c r="P401" s="66"/>
      <c r="Q401" s="66"/>
      <c r="R401" s="2"/>
      <c r="S401" s="2"/>
      <c r="T401" s="2"/>
    </row>
    <row r="402" spans="1:20">
      <c r="A402" s="3"/>
      <c r="B402" s="3"/>
      <c r="C402" s="2"/>
      <c r="D402" s="2"/>
      <c r="E402" s="64"/>
      <c r="F402" s="64"/>
      <c r="G402" s="64"/>
      <c r="H402" s="64"/>
      <c r="I402" s="2"/>
      <c r="J402" s="2"/>
      <c r="K402" s="2"/>
      <c r="L402" s="2"/>
      <c r="M402" s="2"/>
      <c r="N402" s="2"/>
      <c r="O402" s="2"/>
      <c r="P402" s="66"/>
      <c r="Q402" s="66"/>
      <c r="R402" s="2"/>
      <c r="S402" s="2"/>
      <c r="T402" s="2"/>
    </row>
    <row r="403" spans="1:20">
      <c r="A403" s="3"/>
      <c r="B403" s="3"/>
      <c r="C403" s="2"/>
      <c r="D403" s="2"/>
      <c r="E403" s="64"/>
      <c r="F403" s="64"/>
      <c r="G403" s="64"/>
      <c r="H403" s="64"/>
      <c r="I403" s="2"/>
      <c r="J403" s="2"/>
      <c r="K403" s="2"/>
      <c r="L403" s="2"/>
      <c r="M403" s="2"/>
      <c r="N403" s="2"/>
      <c r="O403" s="2"/>
      <c r="P403" s="66"/>
      <c r="Q403" s="66"/>
      <c r="R403" s="2"/>
      <c r="S403" s="2"/>
      <c r="T403" s="2"/>
    </row>
    <row r="404" spans="1:20">
      <c r="A404" s="3"/>
      <c r="B404" s="3"/>
      <c r="C404" s="2"/>
      <c r="D404" s="2"/>
      <c r="E404" s="64"/>
      <c r="F404" s="64"/>
      <c r="G404" s="64"/>
      <c r="H404" s="64"/>
      <c r="I404" s="2"/>
      <c r="J404" s="2"/>
      <c r="K404" s="2"/>
      <c r="L404" s="2"/>
      <c r="M404" s="2"/>
      <c r="N404" s="2"/>
      <c r="O404" s="2"/>
      <c r="P404" s="66"/>
      <c r="Q404" s="66"/>
      <c r="R404" s="2"/>
      <c r="S404" s="2"/>
      <c r="T404" s="2"/>
    </row>
    <row r="405" spans="1:20">
      <c r="A405" s="3"/>
      <c r="B405" s="3"/>
      <c r="C405" s="2"/>
      <c r="D405" s="2"/>
      <c r="E405" s="64"/>
      <c r="F405" s="64"/>
      <c r="G405" s="64"/>
      <c r="H405" s="64"/>
      <c r="I405" s="2"/>
      <c r="J405" s="2"/>
      <c r="K405" s="2"/>
      <c r="L405" s="2"/>
      <c r="M405" s="2"/>
      <c r="N405" s="2"/>
      <c r="O405" s="2"/>
      <c r="P405" s="66"/>
      <c r="Q405" s="66"/>
      <c r="R405" s="2"/>
      <c r="S405" s="2"/>
      <c r="T405" s="2"/>
    </row>
    <row r="406" spans="1:20">
      <c r="A406" s="3"/>
      <c r="B406" s="3"/>
      <c r="C406" s="2"/>
      <c r="D406" s="2"/>
      <c r="E406" s="64"/>
      <c r="F406" s="64"/>
      <c r="G406" s="64"/>
      <c r="H406" s="64"/>
      <c r="I406" s="2"/>
      <c r="J406" s="2"/>
      <c r="K406" s="2"/>
      <c r="L406" s="2"/>
      <c r="M406" s="2"/>
      <c r="N406" s="2"/>
      <c r="O406" s="2"/>
      <c r="P406" s="66"/>
      <c r="Q406" s="66"/>
      <c r="R406" s="2"/>
      <c r="S406" s="2"/>
      <c r="T406" s="2"/>
    </row>
    <row r="407" spans="1:20">
      <c r="A407" s="3"/>
      <c r="B407" s="3"/>
      <c r="C407" s="2"/>
      <c r="D407" s="2"/>
      <c r="E407" s="64"/>
      <c r="F407" s="64"/>
      <c r="G407" s="64"/>
      <c r="H407" s="64"/>
      <c r="I407" s="2"/>
      <c r="J407" s="2"/>
      <c r="K407" s="2"/>
      <c r="L407" s="2"/>
      <c r="M407" s="2"/>
      <c r="N407" s="2"/>
      <c r="O407" s="2"/>
      <c r="P407" s="66"/>
      <c r="Q407" s="66"/>
      <c r="R407" s="2"/>
      <c r="S407" s="2"/>
      <c r="T407" s="2"/>
    </row>
    <row r="408" spans="1:20">
      <c r="A408" s="3"/>
      <c r="B408" s="3"/>
      <c r="C408" s="2"/>
      <c r="D408" s="2"/>
      <c r="E408" s="64"/>
      <c r="F408" s="64"/>
      <c r="G408" s="64"/>
      <c r="H408" s="64"/>
      <c r="I408" s="2"/>
      <c r="J408" s="2"/>
      <c r="K408" s="2"/>
      <c r="L408" s="2"/>
      <c r="M408" s="2"/>
      <c r="N408" s="2"/>
      <c r="O408" s="2"/>
      <c r="P408" s="66"/>
      <c r="Q408" s="66"/>
      <c r="R408" s="2"/>
      <c r="S408" s="2"/>
      <c r="T408" s="2"/>
    </row>
    <row r="409" spans="1:20">
      <c r="A409" s="3"/>
      <c r="B409" s="3"/>
      <c r="C409" s="2"/>
      <c r="D409" s="2"/>
      <c r="E409" s="64"/>
      <c r="F409" s="64"/>
      <c r="G409" s="64"/>
      <c r="H409" s="64"/>
      <c r="I409" s="2"/>
      <c r="J409" s="2"/>
      <c r="K409" s="2"/>
      <c r="L409" s="2"/>
      <c r="M409" s="2"/>
      <c r="N409" s="2"/>
      <c r="O409" s="2"/>
      <c r="P409" s="66"/>
      <c r="Q409" s="66"/>
      <c r="R409" s="2"/>
      <c r="S409" s="2"/>
      <c r="T409" s="2"/>
    </row>
    <row r="410" spans="1:20">
      <c r="A410" s="3"/>
      <c r="B410" s="3"/>
      <c r="C410" s="2"/>
      <c r="D410" s="2"/>
      <c r="E410" s="64"/>
      <c r="F410" s="64"/>
      <c r="G410" s="64"/>
      <c r="H410" s="64"/>
      <c r="I410" s="2"/>
      <c r="J410" s="2"/>
      <c r="K410" s="2"/>
      <c r="L410" s="2"/>
      <c r="M410" s="2"/>
      <c r="N410" s="2"/>
      <c r="O410" s="2"/>
      <c r="P410" s="66"/>
      <c r="Q410" s="66"/>
      <c r="R410" s="2"/>
      <c r="S410" s="2"/>
      <c r="T410" s="2"/>
    </row>
    <row r="411" spans="1:20">
      <c r="A411" s="3"/>
      <c r="B411" s="3"/>
      <c r="C411" s="2"/>
      <c r="D411" s="2"/>
      <c r="E411" s="64"/>
      <c r="F411" s="64"/>
      <c r="G411" s="64"/>
      <c r="H411" s="64"/>
      <c r="I411" s="2"/>
      <c r="J411" s="2"/>
      <c r="K411" s="2"/>
      <c r="L411" s="2"/>
      <c r="M411" s="2"/>
      <c r="N411" s="2"/>
      <c r="O411" s="2"/>
      <c r="P411" s="66"/>
      <c r="Q411" s="66"/>
      <c r="R411" s="2"/>
      <c r="S411" s="2"/>
      <c r="T411" s="2"/>
    </row>
    <row r="412" spans="1:20">
      <c r="A412" s="3"/>
      <c r="B412" s="3"/>
      <c r="C412" s="2"/>
      <c r="D412" s="2"/>
      <c r="E412" s="64"/>
      <c r="F412" s="64"/>
      <c r="G412" s="64"/>
      <c r="H412" s="64"/>
      <c r="I412" s="2"/>
      <c r="J412" s="2"/>
      <c r="K412" s="2"/>
      <c r="L412" s="2"/>
      <c r="M412" s="2"/>
      <c r="N412" s="2"/>
      <c r="O412" s="2"/>
      <c r="P412" s="66"/>
      <c r="Q412" s="66"/>
      <c r="R412" s="2"/>
      <c r="S412" s="2"/>
      <c r="T412" s="2"/>
    </row>
    <row r="413" spans="1:20">
      <c r="A413" s="3"/>
      <c r="B413" s="3"/>
      <c r="C413" s="2"/>
      <c r="D413" s="2"/>
      <c r="E413" s="64"/>
      <c r="F413" s="64"/>
      <c r="G413" s="64"/>
      <c r="H413" s="64"/>
      <c r="I413" s="2"/>
      <c r="J413" s="2"/>
      <c r="K413" s="2"/>
      <c r="L413" s="2"/>
      <c r="M413" s="2"/>
      <c r="N413" s="2"/>
      <c r="O413" s="2"/>
      <c r="P413" s="66"/>
      <c r="Q413" s="66"/>
      <c r="R413" s="2"/>
      <c r="S413" s="2"/>
      <c r="T413" s="2"/>
    </row>
    <row r="414" spans="1:20">
      <c r="A414" s="3"/>
      <c r="B414" s="3"/>
      <c r="C414" s="2"/>
      <c r="D414" s="2"/>
      <c r="E414" s="64"/>
      <c r="F414" s="64"/>
      <c r="G414" s="64"/>
      <c r="H414" s="64"/>
      <c r="I414" s="2"/>
      <c r="J414" s="2"/>
      <c r="K414" s="2"/>
      <c r="L414" s="2"/>
      <c r="M414" s="2"/>
      <c r="N414" s="2"/>
      <c r="O414" s="2"/>
      <c r="P414" s="66"/>
      <c r="Q414" s="66"/>
      <c r="R414" s="2"/>
      <c r="S414" s="2"/>
      <c r="T414" s="2"/>
    </row>
    <row r="415" spans="1:20">
      <c r="A415" s="3"/>
      <c r="B415" s="3"/>
      <c r="C415" s="2"/>
      <c r="D415" s="2"/>
      <c r="E415" s="64"/>
      <c r="F415" s="64"/>
      <c r="G415" s="64"/>
      <c r="H415" s="64"/>
      <c r="I415" s="2"/>
      <c r="J415" s="2"/>
      <c r="K415" s="2"/>
      <c r="L415" s="2"/>
      <c r="M415" s="2"/>
      <c r="N415" s="2"/>
      <c r="O415" s="2"/>
      <c r="P415" s="66"/>
      <c r="Q415" s="66"/>
      <c r="R415" s="2"/>
      <c r="S415" s="2"/>
      <c r="T415" s="2"/>
    </row>
    <row r="416" spans="1:20">
      <c r="A416" s="3"/>
      <c r="B416" s="3"/>
      <c r="C416" s="2"/>
      <c r="D416" s="2"/>
      <c r="E416" s="64"/>
      <c r="F416" s="64"/>
      <c r="G416" s="64"/>
      <c r="H416" s="64"/>
      <c r="I416" s="2"/>
      <c r="J416" s="2"/>
      <c r="K416" s="2"/>
      <c r="L416" s="2"/>
      <c r="M416" s="2"/>
      <c r="N416" s="2"/>
      <c r="O416" s="2"/>
      <c r="P416" s="66"/>
      <c r="Q416" s="66"/>
      <c r="R416" s="2"/>
      <c r="S416" s="2"/>
      <c r="T416" s="2"/>
    </row>
    <row r="417" spans="1:20">
      <c r="A417" s="3"/>
      <c r="B417" s="3"/>
      <c r="C417" s="2"/>
      <c r="D417" s="2"/>
      <c r="E417" s="64"/>
      <c r="F417" s="64"/>
      <c r="G417" s="64"/>
      <c r="H417" s="64"/>
      <c r="I417" s="2"/>
      <c r="J417" s="2"/>
      <c r="K417" s="2"/>
      <c r="L417" s="2"/>
      <c r="M417" s="2"/>
      <c r="N417" s="2"/>
      <c r="O417" s="2"/>
      <c r="P417" s="66"/>
      <c r="Q417" s="66"/>
      <c r="R417" s="2"/>
      <c r="S417" s="2"/>
      <c r="T417" s="2"/>
    </row>
    <row r="418" spans="1:20">
      <c r="A418" s="3"/>
      <c r="B418" s="3"/>
      <c r="C418" s="2"/>
      <c r="D418" s="2"/>
      <c r="E418" s="64"/>
      <c r="F418" s="64"/>
      <c r="G418" s="64"/>
      <c r="H418" s="64"/>
      <c r="I418" s="2"/>
      <c r="J418" s="2"/>
      <c r="K418" s="2"/>
      <c r="L418" s="2"/>
      <c r="M418" s="2"/>
      <c r="N418" s="2"/>
      <c r="O418" s="2"/>
      <c r="P418" s="66"/>
      <c r="Q418" s="66"/>
      <c r="R418" s="2"/>
      <c r="S418" s="2"/>
      <c r="T418" s="2"/>
    </row>
    <row r="419" spans="1:20">
      <c r="A419" s="3"/>
      <c r="B419" s="3"/>
      <c r="C419" s="2"/>
      <c r="D419" s="2"/>
      <c r="E419" s="64"/>
      <c r="F419" s="64"/>
      <c r="G419" s="64"/>
      <c r="H419" s="64"/>
      <c r="I419" s="2"/>
      <c r="J419" s="2"/>
      <c r="K419" s="2"/>
      <c r="L419" s="2"/>
      <c r="M419" s="2"/>
      <c r="N419" s="2"/>
      <c r="O419" s="2"/>
      <c r="P419" s="66"/>
      <c r="Q419" s="66"/>
      <c r="R419" s="2"/>
      <c r="S419" s="2"/>
      <c r="T419" s="2"/>
    </row>
    <row r="420" spans="1:20">
      <c r="A420" s="3"/>
      <c r="B420" s="3"/>
      <c r="C420" s="2"/>
      <c r="D420" s="2"/>
      <c r="E420" s="64"/>
      <c r="F420" s="64"/>
      <c r="G420" s="64"/>
      <c r="H420" s="64"/>
      <c r="I420" s="2"/>
      <c r="J420" s="2"/>
      <c r="K420" s="2"/>
      <c r="L420" s="2"/>
      <c r="M420" s="2"/>
      <c r="N420" s="2"/>
      <c r="O420" s="2"/>
      <c r="P420" s="66"/>
      <c r="Q420" s="66"/>
      <c r="R420" s="2"/>
      <c r="S420" s="2"/>
      <c r="T420" s="2"/>
    </row>
    <row r="421" spans="1:20">
      <c r="A421" s="3"/>
      <c r="B421" s="3"/>
      <c r="C421" s="2"/>
      <c r="D421" s="2"/>
      <c r="E421" s="64"/>
      <c r="F421" s="64"/>
      <c r="G421" s="64"/>
      <c r="H421" s="64"/>
      <c r="I421" s="2"/>
      <c r="J421" s="2"/>
      <c r="K421" s="2"/>
      <c r="L421" s="2"/>
      <c r="M421" s="2"/>
      <c r="N421" s="2"/>
      <c r="O421" s="2"/>
      <c r="P421" s="66"/>
      <c r="Q421" s="66"/>
      <c r="R421" s="2"/>
      <c r="S421" s="2"/>
      <c r="T421" s="2"/>
    </row>
    <row r="422" spans="1:20">
      <c r="A422" s="3"/>
      <c r="B422" s="3"/>
      <c r="C422" s="2"/>
      <c r="D422" s="2"/>
      <c r="E422" s="64"/>
      <c r="F422" s="64"/>
      <c r="G422" s="64"/>
      <c r="H422" s="64"/>
      <c r="I422" s="2"/>
      <c r="J422" s="2"/>
      <c r="K422" s="2"/>
      <c r="L422" s="2"/>
      <c r="M422" s="2"/>
      <c r="N422" s="2"/>
      <c r="O422" s="2"/>
      <c r="P422" s="66"/>
      <c r="Q422" s="66"/>
      <c r="R422" s="2"/>
      <c r="S422" s="2"/>
      <c r="T422" s="2"/>
    </row>
    <row r="423" spans="1:20">
      <c r="A423" s="3"/>
      <c r="B423" s="3"/>
      <c r="C423" s="2"/>
      <c r="D423" s="2"/>
      <c r="E423" s="64"/>
      <c r="F423" s="64"/>
      <c r="G423" s="64"/>
      <c r="H423" s="64"/>
      <c r="I423" s="2"/>
      <c r="J423" s="2"/>
      <c r="K423" s="2"/>
      <c r="L423" s="2"/>
      <c r="M423" s="2"/>
      <c r="N423" s="2"/>
      <c r="O423" s="2"/>
      <c r="P423" s="66"/>
      <c r="Q423" s="66"/>
      <c r="R423" s="2"/>
      <c r="S423" s="2"/>
      <c r="T423" s="2"/>
    </row>
    <row r="424" spans="1:20">
      <c r="A424" s="3"/>
      <c r="B424" s="3"/>
      <c r="C424" s="2"/>
      <c r="D424" s="2"/>
      <c r="E424" s="64"/>
      <c r="F424" s="64"/>
      <c r="G424" s="64"/>
      <c r="H424" s="64"/>
      <c r="I424" s="2"/>
      <c r="J424" s="2"/>
      <c r="K424" s="2"/>
      <c r="L424" s="2"/>
      <c r="M424" s="2"/>
      <c r="N424" s="2"/>
      <c r="O424" s="2"/>
      <c r="P424" s="66"/>
      <c r="Q424" s="66"/>
      <c r="R424" s="2"/>
      <c r="S424" s="2"/>
      <c r="T424" s="2"/>
    </row>
    <row r="425" spans="1:20">
      <c r="A425" s="3"/>
      <c r="B425" s="3"/>
      <c r="C425" s="2"/>
      <c r="D425" s="2"/>
      <c r="E425" s="64"/>
      <c r="F425" s="64"/>
      <c r="G425" s="64"/>
      <c r="H425" s="64"/>
      <c r="I425" s="2"/>
      <c r="J425" s="2"/>
      <c r="K425" s="2"/>
      <c r="L425" s="2"/>
      <c r="M425" s="2"/>
      <c r="N425" s="2"/>
      <c r="O425" s="2"/>
      <c r="P425" s="66"/>
      <c r="Q425" s="66"/>
      <c r="R425" s="2"/>
      <c r="S425" s="2"/>
      <c r="T425" s="2"/>
    </row>
    <row r="426" spans="1:20">
      <c r="A426" s="3"/>
      <c r="B426" s="3"/>
      <c r="C426" s="2"/>
      <c r="D426" s="2"/>
      <c r="E426" s="64"/>
      <c r="F426" s="64"/>
      <c r="G426" s="64"/>
      <c r="H426" s="64"/>
      <c r="I426" s="2"/>
      <c r="J426" s="2"/>
      <c r="K426" s="2"/>
      <c r="L426" s="2"/>
      <c r="M426" s="2"/>
      <c r="N426" s="2"/>
      <c r="O426" s="2"/>
      <c r="P426" s="66"/>
      <c r="Q426" s="66"/>
      <c r="R426" s="2"/>
      <c r="S426" s="2"/>
      <c r="T426" s="2"/>
    </row>
    <row r="427" spans="1:20">
      <c r="A427" s="3"/>
      <c r="B427" s="3"/>
      <c r="C427" s="2"/>
      <c r="D427" s="2"/>
      <c r="E427" s="64"/>
      <c r="F427" s="64"/>
      <c r="G427" s="64"/>
      <c r="H427" s="64"/>
      <c r="I427" s="2"/>
      <c r="J427" s="2"/>
      <c r="K427" s="2"/>
      <c r="L427" s="2"/>
      <c r="M427" s="2"/>
      <c r="N427" s="2"/>
      <c r="O427" s="2"/>
      <c r="P427" s="66"/>
      <c r="Q427" s="66"/>
      <c r="R427" s="2"/>
      <c r="S427" s="2"/>
      <c r="T427" s="2"/>
    </row>
    <row r="428" spans="1:20">
      <c r="A428" s="3"/>
      <c r="B428" s="3"/>
      <c r="C428" s="2"/>
      <c r="D428" s="2"/>
      <c r="E428" s="64"/>
      <c r="F428" s="64"/>
      <c r="G428" s="64"/>
      <c r="H428" s="64"/>
      <c r="I428" s="2"/>
      <c r="J428" s="2"/>
      <c r="K428" s="2"/>
      <c r="L428" s="2"/>
      <c r="M428" s="2"/>
      <c r="N428" s="2"/>
      <c r="O428" s="2"/>
      <c r="P428" s="66"/>
      <c r="Q428" s="66"/>
      <c r="R428" s="2"/>
      <c r="S428" s="2"/>
      <c r="T428" s="2"/>
    </row>
    <row r="429" spans="1:20">
      <c r="A429" s="3"/>
      <c r="B429" s="3"/>
      <c r="C429" s="2"/>
      <c r="D429" s="2"/>
      <c r="E429" s="64"/>
      <c r="F429" s="64"/>
      <c r="G429" s="64"/>
      <c r="H429" s="64"/>
      <c r="I429" s="2"/>
      <c r="J429" s="2"/>
      <c r="K429" s="2"/>
      <c r="L429" s="2"/>
      <c r="M429" s="2"/>
      <c r="N429" s="2"/>
      <c r="O429" s="2"/>
      <c r="P429" s="66"/>
      <c r="Q429" s="66"/>
      <c r="R429" s="2"/>
      <c r="S429" s="2"/>
      <c r="T429" s="2"/>
    </row>
    <row r="430" spans="1:20">
      <c r="A430" s="3"/>
      <c r="B430" s="3"/>
      <c r="C430" s="2"/>
      <c r="D430" s="2"/>
      <c r="E430" s="64"/>
      <c r="F430" s="64"/>
      <c r="G430" s="64"/>
      <c r="H430" s="64"/>
      <c r="I430" s="2"/>
      <c r="J430" s="2"/>
      <c r="K430" s="2"/>
      <c r="L430" s="2"/>
      <c r="M430" s="2"/>
      <c r="N430" s="2"/>
      <c r="O430" s="2"/>
      <c r="P430" s="66"/>
      <c r="Q430" s="66"/>
      <c r="R430" s="2"/>
      <c r="S430" s="2"/>
      <c r="T430" s="2"/>
    </row>
    <row r="431" spans="1:20">
      <c r="A431" s="3"/>
      <c r="B431" s="3"/>
      <c r="C431" s="2"/>
      <c r="D431" s="2"/>
      <c r="E431" s="64"/>
      <c r="F431" s="64"/>
      <c r="G431" s="64"/>
      <c r="H431" s="64"/>
      <c r="I431" s="2"/>
      <c r="J431" s="2"/>
      <c r="K431" s="2"/>
      <c r="L431" s="2"/>
      <c r="M431" s="2"/>
      <c r="N431" s="2"/>
      <c r="O431" s="2"/>
      <c r="P431" s="66"/>
      <c r="Q431" s="66"/>
      <c r="R431" s="2"/>
      <c r="S431" s="2"/>
      <c r="T431" s="2"/>
    </row>
    <row r="432" spans="1:20">
      <c r="A432" s="3"/>
      <c r="B432" s="3"/>
      <c r="C432" s="2"/>
      <c r="D432" s="2"/>
      <c r="E432" s="64"/>
      <c r="F432" s="64"/>
      <c r="G432" s="64"/>
      <c r="H432" s="64"/>
      <c r="I432" s="2"/>
      <c r="J432" s="2"/>
      <c r="K432" s="2"/>
      <c r="L432" s="2"/>
      <c r="M432" s="2"/>
      <c r="N432" s="2"/>
      <c r="O432" s="2"/>
      <c r="P432" s="66"/>
      <c r="Q432" s="66"/>
      <c r="R432" s="2"/>
      <c r="S432" s="2"/>
      <c r="T432" s="2"/>
    </row>
    <row r="433" spans="1:20">
      <c r="A433" s="3"/>
      <c r="B433" s="3"/>
      <c r="C433" s="2"/>
      <c r="D433" s="2"/>
      <c r="E433" s="64"/>
      <c r="F433" s="64"/>
      <c r="G433" s="64"/>
      <c r="H433" s="64"/>
      <c r="I433" s="2"/>
      <c r="J433" s="2"/>
      <c r="K433" s="2"/>
      <c r="L433" s="2"/>
      <c r="M433" s="2"/>
      <c r="N433" s="2"/>
      <c r="O433" s="2"/>
      <c r="P433" s="66"/>
      <c r="Q433" s="66"/>
      <c r="R433" s="2"/>
      <c r="S433" s="2"/>
      <c r="T433" s="2"/>
    </row>
    <row r="434" spans="1:20">
      <c r="A434" s="3"/>
      <c r="B434" s="3"/>
      <c r="C434" s="2"/>
      <c r="D434" s="2"/>
      <c r="E434" s="64"/>
      <c r="F434" s="64"/>
      <c r="G434" s="64"/>
      <c r="H434" s="64"/>
      <c r="I434" s="2"/>
      <c r="J434" s="2"/>
      <c r="K434" s="2"/>
      <c r="L434" s="2"/>
      <c r="M434" s="2"/>
      <c r="N434" s="2"/>
      <c r="O434" s="2"/>
      <c r="P434" s="66"/>
      <c r="Q434" s="66"/>
      <c r="R434" s="2"/>
      <c r="S434" s="2"/>
      <c r="T434" s="2"/>
    </row>
    <row r="435" spans="1:20">
      <c r="A435" s="3"/>
      <c r="B435" s="3"/>
      <c r="C435" s="2"/>
      <c r="D435" s="2"/>
      <c r="E435" s="64"/>
      <c r="F435" s="64"/>
      <c r="G435" s="64"/>
      <c r="H435" s="64"/>
      <c r="I435" s="2"/>
      <c r="J435" s="2"/>
      <c r="K435" s="2"/>
      <c r="L435" s="2"/>
      <c r="M435" s="2"/>
      <c r="N435" s="2"/>
      <c r="O435" s="2"/>
      <c r="P435" s="66"/>
      <c r="Q435" s="66"/>
      <c r="R435" s="2"/>
      <c r="S435" s="2"/>
      <c r="T435" s="2"/>
    </row>
    <row r="436" spans="1:20">
      <c r="A436" s="3"/>
      <c r="B436" s="3"/>
      <c r="C436" s="2"/>
      <c r="D436" s="2"/>
      <c r="E436" s="64"/>
      <c r="F436" s="64"/>
      <c r="G436" s="64"/>
      <c r="H436" s="64"/>
      <c r="I436" s="2"/>
      <c r="J436" s="2"/>
      <c r="K436" s="2"/>
      <c r="L436" s="2"/>
      <c r="M436" s="2"/>
      <c r="N436" s="2"/>
      <c r="O436" s="2"/>
      <c r="P436" s="66"/>
      <c r="Q436" s="66"/>
      <c r="R436" s="2"/>
      <c r="S436" s="2"/>
      <c r="T436" s="2"/>
    </row>
    <row r="437" spans="1:20">
      <c r="A437" s="3"/>
      <c r="B437" s="3"/>
      <c r="C437" s="2"/>
      <c r="D437" s="2"/>
      <c r="E437" s="64"/>
      <c r="F437" s="64"/>
      <c r="G437" s="64"/>
      <c r="H437" s="64"/>
      <c r="I437" s="2"/>
      <c r="J437" s="2"/>
      <c r="K437" s="2"/>
      <c r="L437" s="2"/>
      <c r="M437" s="2"/>
      <c r="N437" s="2"/>
      <c r="O437" s="2"/>
      <c r="P437" s="66"/>
      <c r="Q437" s="66"/>
      <c r="R437" s="2"/>
      <c r="S437" s="2"/>
      <c r="T437" s="2"/>
    </row>
    <row r="438" spans="1:20">
      <c r="A438" s="3"/>
      <c r="B438" s="3"/>
      <c r="C438" s="2"/>
      <c r="D438" s="2"/>
      <c r="E438" s="64"/>
      <c r="F438" s="64"/>
      <c r="G438" s="64"/>
      <c r="H438" s="64"/>
      <c r="I438" s="2"/>
      <c r="J438" s="2"/>
      <c r="K438" s="2"/>
      <c r="L438" s="2"/>
      <c r="M438" s="2"/>
      <c r="N438" s="2"/>
      <c r="O438" s="2"/>
      <c r="P438" s="66"/>
      <c r="Q438" s="66"/>
      <c r="R438" s="2"/>
      <c r="S438" s="2"/>
      <c r="T438" s="2"/>
    </row>
    <row r="439" spans="1:20">
      <c r="A439" s="3"/>
      <c r="B439" s="3"/>
      <c r="C439" s="2"/>
      <c r="D439" s="2"/>
      <c r="E439" s="64"/>
      <c r="F439" s="64"/>
      <c r="G439" s="64"/>
      <c r="H439" s="64"/>
      <c r="I439" s="2"/>
      <c r="J439" s="2"/>
      <c r="K439" s="2"/>
      <c r="L439" s="2"/>
      <c r="M439" s="2"/>
      <c r="N439" s="2"/>
      <c r="O439" s="2"/>
      <c r="P439" s="66"/>
      <c r="Q439" s="66"/>
      <c r="R439" s="2"/>
      <c r="S439" s="2"/>
      <c r="T439" s="2"/>
    </row>
    <row r="440" spans="1:20">
      <c r="A440" s="3"/>
      <c r="B440" s="3"/>
      <c r="C440" s="2"/>
      <c r="D440" s="2"/>
      <c r="E440" s="64"/>
      <c r="F440" s="64"/>
      <c r="G440" s="64"/>
      <c r="H440" s="64"/>
      <c r="I440" s="2"/>
      <c r="J440" s="2"/>
      <c r="K440" s="2"/>
      <c r="L440" s="2"/>
      <c r="M440" s="2"/>
      <c r="N440" s="2"/>
      <c r="O440" s="2"/>
      <c r="P440" s="66"/>
      <c r="Q440" s="66"/>
      <c r="R440" s="2"/>
      <c r="S440" s="2"/>
      <c r="T440" s="2"/>
    </row>
    <row r="441" spans="1:20">
      <c r="A441" s="3"/>
      <c r="B441" s="3"/>
      <c r="C441" s="2"/>
      <c r="D441" s="2"/>
      <c r="E441" s="64"/>
      <c r="F441" s="64"/>
      <c r="G441" s="64"/>
      <c r="H441" s="64"/>
      <c r="I441" s="2"/>
      <c r="J441" s="2"/>
      <c r="K441" s="2"/>
      <c r="L441" s="2"/>
      <c r="M441" s="2"/>
      <c r="N441" s="2"/>
      <c r="O441" s="2"/>
      <c r="P441" s="66"/>
      <c r="Q441" s="66"/>
      <c r="R441" s="2"/>
      <c r="S441" s="2"/>
      <c r="T441" s="2"/>
    </row>
    <row r="442" spans="1:20">
      <c r="A442" s="3"/>
      <c r="B442" s="3"/>
      <c r="C442" s="2"/>
      <c r="D442" s="2"/>
      <c r="E442" s="64"/>
      <c r="F442" s="64"/>
      <c r="G442" s="64"/>
      <c r="H442" s="64"/>
      <c r="I442" s="2"/>
      <c r="J442" s="2"/>
      <c r="K442" s="2"/>
      <c r="L442" s="2"/>
      <c r="M442" s="2"/>
      <c r="N442" s="2"/>
      <c r="O442" s="2"/>
      <c r="P442" s="66"/>
      <c r="Q442" s="66"/>
      <c r="R442" s="2"/>
      <c r="S442" s="2"/>
      <c r="T442" s="2"/>
    </row>
    <row r="443" spans="1:20">
      <c r="A443" s="3"/>
      <c r="B443" s="3"/>
      <c r="C443" s="2"/>
      <c r="D443" s="2"/>
      <c r="E443" s="64"/>
      <c r="F443" s="64"/>
      <c r="G443" s="64"/>
      <c r="H443" s="64"/>
      <c r="I443" s="2"/>
      <c r="J443" s="2"/>
      <c r="K443" s="2"/>
      <c r="L443" s="2"/>
      <c r="M443" s="2"/>
      <c r="N443" s="2"/>
      <c r="O443" s="2"/>
      <c r="P443" s="66"/>
      <c r="Q443" s="66"/>
      <c r="R443" s="2"/>
      <c r="S443" s="2"/>
      <c r="T443" s="2"/>
    </row>
    <row r="444" spans="1:20">
      <c r="A444" s="3"/>
      <c r="B444" s="3"/>
      <c r="C444" s="2"/>
      <c r="D444" s="2"/>
      <c r="E444" s="64"/>
      <c r="F444" s="64"/>
      <c r="G444" s="64"/>
      <c r="H444" s="64"/>
      <c r="I444" s="2"/>
      <c r="J444" s="2"/>
      <c r="K444" s="2"/>
      <c r="L444" s="2"/>
      <c r="M444" s="2"/>
      <c r="N444" s="2"/>
      <c r="O444" s="2"/>
      <c r="P444" s="66"/>
      <c r="Q444" s="66"/>
      <c r="R444" s="2"/>
      <c r="S444" s="2"/>
      <c r="T444" s="2"/>
    </row>
    <row r="445" spans="1:20">
      <c r="A445" s="3"/>
      <c r="B445" s="3"/>
      <c r="C445" s="2"/>
      <c r="D445" s="2"/>
      <c r="E445" s="64"/>
      <c r="F445" s="64"/>
      <c r="G445" s="64"/>
      <c r="H445" s="64"/>
      <c r="I445" s="2"/>
      <c r="J445" s="2"/>
      <c r="K445" s="2"/>
      <c r="L445" s="2"/>
      <c r="M445" s="2"/>
      <c r="N445" s="2"/>
      <c r="O445" s="2"/>
      <c r="P445" s="66"/>
      <c r="Q445" s="66"/>
      <c r="R445" s="2"/>
      <c r="S445" s="2"/>
      <c r="T445" s="2"/>
    </row>
    <row r="446" spans="1:20">
      <c r="A446" s="3"/>
      <c r="B446" s="3"/>
      <c r="C446" s="2"/>
      <c r="D446" s="2"/>
      <c r="E446" s="64"/>
      <c r="F446" s="64"/>
      <c r="G446" s="64"/>
      <c r="H446" s="64"/>
      <c r="I446" s="2"/>
      <c r="J446" s="2"/>
      <c r="K446" s="2"/>
      <c r="L446" s="2"/>
      <c r="M446" s="2"/>
      <c r="N446" s="2"/>
      <c r="O446" s="2"/>
      <c r="P446" s="66"/>
      <c r="Q446" s="66"/>
      <c r="R446" s="2"/>
      <c r="S446" s="2"/>
      <c r="T446" s="2"/>
    </row>
    <row r="447" spans="1:20">
      <c r="A447" s="3"/>
      <c r="B447" s="3"/>
      <c r="C447" s="2"/>
      <c r="D447" s="2"/>
      <c r="E447" s="64"/>
      <c r="F447" s="64"/>
      <c r="G447" s="64"/>
      <c r="H447" s="64"/>
      <c r="I447" s="2"/>
      <c r="J447" s="2"/>
      <c r="K447" s="2"/>
      <c r="L447" s="2"/>
      <c r="M447" s="2"/>
      <c r="N447" s="2"/>
      <c r="O447" s="2"/>
      <c r="P447" s="66"/>
      <c r="Q447" s="66"/>
      <c r="R447" s="2"/>
      <c r="S447" s="2"/>
      <c r="T447" s="2"/>
    </row>
    <row r="448" spans="1:20">
      <c r="A448" s="3"/>
      <c r="B448" s="3"/>
      <c r="C448" s="2"/>
      <c r="D448" s="2"/>
      <c r="E448" s="64"/>
      <c r="F448" s="64"/>
      <c r="G448" s="64"/>
      <c r="H448" s="64"/>
      <c r="I448" s="2"/>
      <c r="J448" s="2"/>
      <c r="K448" s="2"/>
      <c r="L448" s="2"/>
      <c r="M448" s="2"/>
      <c r="N448" s="2"/>
      <c r="O448" s="2"/>
      <c r="P448" s="66"/>
      <c r="Q448" s="66"/>
      <c r="R448" s="2"/>
      <c r="S448" s="2"/>
      <c r="T448" s="2"/>
    </row>
    <row r="449" spans="1:20">
      <c r="A449" s="3"/>
      <c r="B449" s="3"/>
      <c r="C449" s="2"/>
      <c r="D449" s="2"/>
      <c r="E449" s="64"/>
      <c r="F449" s="64"/>
      <c r="G449" s="64"/>
      <c r="H449" s="64"/>
      <c r="I449" s="2"/>
      <c r="J449" s="2"/>
      <c r="K449" s="2"/>
      <c r="L449" s="2"/>
      <c r="M449" s="2"/>
      <c r="N449" s="2"/>
      <c r="O449" s="2"/>
      <c r="P449" s="66"/>
      <c r="Q449" s="66"/>
      <c r="R449" s="2"/>
      <c r="S449" s="2"/>
      <c r="T449" s="2"/>
    </row>
    <row r="450" spans="1:20">
      <c r="A450" s="3"/>
      <c r="B450" s="3"/>
      <c r="C450" s="2"/>
      <c r="D450" s="2"/>
      <c r="E450" s="64"/>
      <c r="F450" s="64"/>
      <c r="G450" s="64"/>
      <c r="H450" s="64"/>
      <c r="I450" s="2"/>
      <c r="J450" s="2"/>
      <c r="K450" s="2"/>
      <c r="L450" s="2"/>
      <c r="M450" s="2"/>
      <c r="N450" s="2"/>
      <c r="O450" s="2"/>
      <c r="P450" s="66"/>
      <c r="Q450" s="66"/>
      <c r="R450" s="2"/>
      <c r="S450" s="2"/>
      <c r="T450" s="2"/>
    </row>
    <row r="451" spans="1:20">
      <c r="A451" s="3"/>
      <c r="B451" s="3"/>
      <c r="C451" s="2"/>
      <c r="D451" s="2"/>
      <c r="E451" s="64"/>
      <c r="F451" s="64"/>
      <c r="G451" s="64"/>
      <c r="H451" s="64"/>
      <c r="I451" s="2"/>
      <c r="J451" s="2"/>
      <c r="K451" s="2"/>
      <c r="L451" s="2"/>
      <c r="M451" s="2"/>
      <c r="N451" s="2"/>
      <c r="O451" s="2"/>
      <c r="P451" s="66"/>
      <c r="Q451" s="66"/>
      <c r="R451" s="2"/>
      <c r="S451" s="2"/>
      <c r="T451" s="2"/>
    </row>
    <row r="452" spans="1:20">
      <c r="A452" s="3"/>
      <c r="B452" s="3"/>
      <c r="C452" s="2"/>
      <c r="D452" s="2"/>
      <c r="E452" s="64"/>
      <c r="F452" s="64"/>
      <c r="G452" s="64"/>
      <c r="H452" s="64"/>
      <c r="I452" s="2"/>
      <c r="J452" s="2"/>
      <c r="K452" s="2"/>
      <c r="L452" s="2"/>
      <c r="M452" s="2"/>
      <c r="N452" s="2"/>
      <c r="O452" s="2"/>
      <c r="P452" s="66"/>
      <c r="Q452" s="66"/>
      <c r="R452" s="2"/>
      <c r="S452" s="2"/>
      <c r="T452" s="2"/>
    </row>
    <row r="453" spans="1:20">
      <c r="A453" s="3"/>
      <c r="B453" s="3"/>
      <c r="C453" s="2"/>
      <c r="D453" s="2"/>
      <c r="E453" s="64"/>
      <c r="F453" s="64"/>
      <c r="G453" s="64"/>
      <c r="H453" s="64"/>
      <c r="I453" s="2"/>
      <c r="J453" s="2"/>
      <c r="K453" s="2"/>
      <c r="L453" s="2"/>
      <c r="M453" s="2"/>
      <c r="N453" s="2"/>
      <c r="O453" s="2"/>
      <c r="P453" s="66"/>
      <c r="Q453" s="66"/>
      <c r="R453" s="2"/>
      <c r="S453" s="2"/>
      <c r="T453" s="2"/>
    </row>
    <row r="454" spans="1:20">
      <c r="A454" s="3"/>
      <c r="B454" s="3"/>
      <c r="C454" s="2"/>
      <c r="D454" s="2"/>
      <c r="E454" s="64"/>
      <c r="F454" s="64"/>
      <c r="G454" s="64"/>
      <c r="H454" s="64"/>
      <c r="I454" s="2"/>
      <c r="J454" s="2"/>
      <c r="K454" s="2"/>
      <c r="L454" s="2"/>
      <c r="M454" s="2"/>
      <c r="N454" s="2"/>
      <c r="O454" s="2"/>
      <c r="P454" s="66"/>
      <c r="Q454" s="66"/>
      <c r="R454" s="2"/>
      <c r="S454" s="2"/>
      <c r="T454" s="2"/>
    </row>
    <row r="455" spans="1:20">
      <c r="A455" s="3"/>
      <c r="B455" s="3"/>
      <c r="C455" s="2"/>
      <c r="D455" s="2"/>
      <c r="E455" s="64"/>
      <c r="F455" s="64"/>
      <c r="G455" s="64"/>
      <c r="H455" s="64"/>
      <c r="I455" s="2"/>
      <c r="J455" s="2"/>
      <c r="K455" s="2"/>
      <c r="L455" s="2"/>
      <c r="M455" s="2"/>
      <c r="N455" s="2"/>
      <c r="O455" s="2"/>
      <c r="P455" s="66"/>
      <c r="Q455" s="66"/>
      <c r="R455" s="2"/>
      <c r="S455" s="2"/>
      <c r="T455" s="2"/>
    </row>
    <row r="456" spans="1:20">
      <c r="A456" s="3"/>
      <c r="B456" s="3"/>
      <c r="C456" s="2"/>
      <c r="D456" s="2"/>
      <c r="E456" s="64"/>
      <c r="F456" s="64"/>
      <c r="G456" s="64"/>
      <c r="H456" s="64"/>
      <c r="I456" s="2"/>
      <c r="J456" s="2"/>
      <c r="K456" s="2"/>
      <c r="L456" s="2"/>
      <c r="M456" s="2"/>
      <c r="N456" s="2"/>
      <c r="O456" s="2"/>
      <c r="P456" s="66"/>
      <c r="Q456" s="66"/>
      <c r="R456" s="2"/>
      <c r="S456" s="2"/>
      <c r="T456" s="2"/>
    </row>
    <row r="457" spans="1:20">
      <c r="A457" s="3"/>
      <c r="B457" s="3"/>
      <c r="C457" s="2"/>
      <c r="D457" s="2"/>
      <c r="E457" s="64"/>
      <c r="F457" s="64"/>
      <c r="G457" s="64"/>
      <c r="H457" s="64"/>
      <c r="I457" s="2"/>
      <c r="J457" s="2"/>
      <c r="K457" s="2"/>
      <c r="L457" s="2"/>
      <c r="M457" s="2"/>
      <c r="N457" s="2"/>
      <c r="O457" s="2"/>
      <c r="P457" s="66"/>
      <c r="Q457" s="66"/>
      <c r="R457" s="2"/>
      <c r="S457" s="2"/>
      <c r="T457" s="2"/>
    </row>
    <row r="458" spans="1:20">
      <c r="A458" s="3"/>
      <c r="B458" s="3"/>
      <c r="C458" s="2"/>
      <c r="D458" s="2"/>
      <c r="E458" s="64"/>
      <c r="F458" s="64"/>
      <c r="G458" s="64"/>
      <c r="H458" s="64"/>
      <c r="I458" s="2"/>
      <c r="J458" s="2"/>
      <c r="K458" s="2"/>
      <c r="L458" s="2"/>
      <c r="M458" s="2"/>
      <c r="N458" s="2"/>
      <c r="O458" s="2"/>
      <c r="P458" s="66"/>
      <c r="Q458" s="66"/>
      <c r="R458" s="2"/>
      <c r="S458" s="2"/>
      <c r="T458" s="2"/>
    </row>
    <row r="459" spans="1:20">
      <c r="A459" s="3"/>
      <c r="B459" s="3"/>
      <c r="C459" s="2"/>
      <c r="D459" s="2"/>
      <c r="E459" s="64"/>
      <c r="F459" s="64"/>
      <c r="G459" s="64"/>
      <c r="H459" s="64"/>
      <c r="I459" s="2"/>
      <c r="J459" s="2"/>
      <c r="K459" s="2"/>
      <c r="L459" s="2"/>
      <c r="M459" s="2"/>
      <c r="N459" s="2"/>
      <c r="O459" s="2"/>
      <c r="P459" s="66"/>
      <c r="Q459" s="66"/>
      <c r="R459" s="2"/>
      <c r="S459" s="2"/>
      <c r="T459" s="2"/>
    </row>
    <row r="460" spans="1:20">
      <c r="A460" s="3"/>
      <c r="B460" s="3"/>
      <c r="C460" s="2"/>
      <c r="D460" s="2"/>
      <c r="E460" s="64"/>
      <c r="F460" s="64"/>
      <c r="G460" s="64"/>
      <c r="H460" s="64"/>
      <c r="I460" s="2"/>
      <c r="J460" s="2"/>
      <c r="K460" s="2"/>
      <c r="L460" s="2"/>
      <c r="M460" s="2"/>
      <c r="N460" s="2"/>
      <c r="O460" s="2"/>
      <c r="P460" s="66"/>
      <c r="Q460" s="66"/>
      <c r="R460" s="2"/>
      <c r="S460" s="2"/>
      <c r="T460" s="2"/>
    </row>
    <row r="461" spans="1:20">
      <c r="A461" s="3"/>
      <c r="B461" s="3"/>
      <c r="C461" s="2"/>
      <c r="D461" s="2"/>
      <c r="E461" s="64"/>
      <c r="F461" s="64"/>
      <c r="G461" s="64"/>
      <c r="H461" s="64"/>
      <c r="I461" s="2"/>
      <c r="J461" s="2"/>
      <c r="K461" s="2"/>
      <c r="L461" s="2"/>
      <c r="M461" s="2"/>
      <c r="N461" s="2"/>
      <c r="O461" s="2"/>
      <c r="P461" s="66"/>
      <c r="Q461" s="66"/>
      <c r="R461" s="2"/>
      <c r="S461" s="2"/>
      <c r="T461" s="2"/>
    </row>
    <row r="462" spans="1:20">
      <c r="A462" s="3"/>
      <c r="B462" s="3"/>
      <c r="C462" s="2"/>
      <c r="D462" s="2"/>
      <c r="E462" s="64"/>
      <c r="F462" s="64"/>
      <c r="G462" s="64"/>
      <c r="H462" s="64"/>
      <c r="I462" s="2"/>
      <c r="J462" s="2"/>
      <c r="K462" s="2"/>
      <c r="L462" s="2"/>
      <c r="M462" s="2"/>
      <c r="N462" s="2"/>
      <c r="O462" s="2"/>
      <c r="P462" s="66"/>
      <c r="Q462" s="66"/>
      <c r="R462" s="2"/>
      <c r="S462" s="2"/>
      <c r="T462" s="2"/>
    </row>
    <row r="463" spans="1:20">
      <c r="A463" s="3"/>
      <c r="B463" s="3"/>
      <c r="C463" s="2"/>
      <c r="D463" s="2"/>
      <c r="E463" s="64"/>
      <c r="F463" s="64"/>
      <c r="G463" s="64"/>
      <c r="H463" s="64"/>
      <c r="I463" s="2"/>
      <c r="J463" s="2"/>
      <c r="K463" s="2"/>
      <c r="L463" s="2"/>
      <c r="M463" s="2"/>
      <c r="N463" s="2"/>
      <c r="O463" s="2"/>
      <c r="P463" s="66"/>
      <c r="Q463" s="66"/>
      <c r="R463" s="2"/>
      <c r="S463" s="2"/>
      <c r="T463" s="2"/>
    </row>
    <row r="464" spans="1:20">
      <c r="A464" s="3"/>
      <c r="B464" s="3"/>
      <c r="C464" s="2"/>
      <c r="D464" s="2"/>
      <c r="E464" s="64"/>
      <c r="F464" s="64"/>
      <c r="G464" s="64"/>
      <c r="H464" s="64"/>
      <c r="I464" s="2"/>
      <c r="J464" s="2"/>
      <c r="K464" s="2"/>
      <c r="L464" s="2"/>
      <c r="M464" s="2"/>
      <c r="N464" s="2"/>
      <c r="O464" s="2"/>
      <c r="P464" s="66"/>
      <c r="Q464" s="66"/>
      <c r="R464" s="2"/>
      <c r="S464" s="2"/>
      <c r="T464" s="2"/>
    </row>
    <row r="465" spans="1:20">
      <c r="A465" s="3"/>
      <c r="B465" s="3"/>
      <c r="C465" s="2"/>
      <c r="D465" s="2"/>
      <c r="E465" s="64"/>
      <c r="F465" s="64"/>
      <c r="G465" s="64"/>
      <c r="H465" s="64"/>
      <c r="I465" s="2"/>
      <c r="J465" s="2"/>
      <c r="K465" s="2"/>
      <c r="L465" s="2"/>
      <c r="M465" s="2"/>
      <c r="N465" s="2"/>
      <c r="O465" s="2"/>
      <c r="P465" s="66"/>
      <c r="Q465" s="66"/>
      <c r="R465" s="2"/>
      <c r="S465" s="2"/>
      <c r="T465" s="2"/>
    </row>
    <row r="466" spans="1:20">
      <c r="A466" s="3"/>
      <c r="B466" s="3"/>
      <c r="C466" s="2"/>
      <c r="D466" s="2"/>
      <c r="E466" s="64"/>
      <c r="F466" s="64"/>
      <c r="G466" s="64"/>
      <c r="H466" s="64"/>
      <c r="I466" s="2"/>
      <c r="J466" s="2"/>
      <c r="K466" s="2"/>
      <c r="L466" s="2"/>
      <c r="M466" s="2"/>
      <c r="N466" s="2"/>
      <c r="O466" s="2"/>
      <c r="P466" s="66"/>
      <c r="Q466" s="66"/>
      <c r="R466" s="2"/>
      <c r="S466" s="2"/>
      <c r="T466" s="2"/>
    </row>
    <row r="467" spans="1:20">
      <c r="A467" s="3"/>
      <c r="B467" s="3"/>
      <c r="C467" s="2"/>
      <c r="D467" s="2"/>
      <c r="E467" s="64"/>
      <c r="F467" s="64"/>
      <c r="G467" s="64"/>
      <c r="H467" s="64"/>
      <c r="I467" s="2"/>
      <c r="J467" s="2"/>
      <c r="K467" s="2"/>
      <c r="L467" s="2"/>
      <c r="M467" s="2"/>
      <c r="N467" s="2"/>
      <c r="O467" s="2"/>
      <c r="P467" s="66"/>
      <c r="Q467" s="66"/>
      <c r="R467" s="2"/>
      <c r="S467" s="2"/>
      <c r="T467" s="2"/>
    </row>
    <row r="468" spans="1:20">
      <c r="A468" s="3"/>
      <c r="B468" s="3"/>
      <c r="C468" s="2"/>
      <c r="D468" s="2"/>
      <c r="E468" s="64"/>
      <c r="F468" s="64"/>
      <c r="G468" s="64"/>
      <c r="H468" s="64"/>
      <c r="I468" s="2"/>
      <c r="J468" s="2"/>
      <c r="K468" s="2"/>
      <c r="L468" s="2"/>
      <c r="M468" s="2"/>
      <c r="N468" s="2"/>
      <c r="O468" s="2"/>
      <c r="P468" s="66"/>
      <c r="Q468" s="66"/>
      <c r="R468" s="2"/>
      <c r="S468" s="2"/>
      <c r="T468" s="2"/>
    </row>
    <row r="469" spans="1:20">
      <c r="A469" s="3"/>
      <c r="B469" s="3"/>
      <c r="C469" s="2"/>
      <c r="D469" s="2"/>
      <c r="E469" s="64"/>
      <c r="F469" s="64"/>
      <c r="G469" s="64"/>
      <c r="H469" s="64"/>
      <c r="I469" s="2"/>
      <c r="J469" s="2"/>
      <c r="K469" s="2"/>
      <c r="L469" s="2"/>
      <c r="M469" s="2"/>
      <c r="N469" s="2"/>
      <c r="O469" s="2"/>
      <c r="P469" s="66"/>
      <c r="Q469" s="66"/>
      <c r="R469" s="2"/>
      <c r="S469" s="2"/>
      <c r="T469" s="2"/>
    </row>
    <row r="470" spans="1:20">
      <c r="A470" s="3"/>
      <c r="B470" s="3"/>
      <c r="C470" s="2"/>
      <c r="D470" s="2"/>
      <c r="E470" s="64"/>
      <c r="F470" s="64"/>
      <c r="G470" s="64"/>
      <c r="H470" s="64"/>
      <c r="I470" s="2"/>
      <c r="J470" s="2"/>
      <c r="K470" s="2"/>
      <c r="L470" s="2"/>
      <c r="M470" s="2"/>
      <c r="N470" s="2"/>
      <c r="O470" s="2"/>
      <c r="P470" s="66"/>
      <c r="Q470" s="66"/>
      <c r="R470" s="2"/>
      <c r="S470" s="2"/>
      <c r="T470" s="2"/>
    </row>
    <row r="471" spans="1:20">
      <c r="A471" s="3"/>
      <c r="B471" s="3"/>
      <c r="C471" s="2"/>
      <c r="D471" s="2"/>
      <c r="E471" s="64"/>
      <c r="F471" s="64"/>
      <c r="G471" s="64"/>
      <c r="H471" s="64"/>
      <c r="I471" s="2"/>
      <c r="J471" s="2"/>
      <c r="K471" s="2"/>
      <c r="L471" s="2"/>
      <c r="M471" s="2"/>
      <c r="N471" s="2"/>
      <c r="O471" s="2"/>
      <c r="P471" s="66"/>
      <c r="Q471" s="66"/>
      <c r="R471" s="2"/>
      <c r="S471" s="2"/>
      <c r="T471" s="2"/>
    </row>
    <row r="472" spans="1:20">
      <c r="A472" s="3"/>
      <c r="B472" s="3"/>
      <c r="C472" s="2"/>
      <c r="D472" s="2"/>
      <c r="E472" s="64"/>
      <c r="F472" s="64"/>
      <c r="G472" s="64"/>
      <c r="H472" s="64"/>
      <c r="I472" s="2"/>
      <c r="J472" s="2"/>
      <c r="K472" s="2"/>
      <c r="L472" s="2"/>
      <c r="M472" s="2"/>
      <c r="N472" s="2"/>
      <c r="O472" s="2"/>
      <c r="P472" s="66"/>
      <c r="Q472" s="66"/>
      <c r="R472" s="2"/>
      <c r="S472" s="2"/>
      <c r="T472" s="2"/>
    </row>
    <row r="473" spans="1:20">
      <c r="A473" s="3"/>
      <c r="B473" s="3"/>
      <c r="C473" s="2"/>
      <c r="D473" s="2"/>
      <c r="E473" s="64"/>
      <c r="F473" s="64"/>
      <c r="G473" s="64"/>
      <c r="H473" s="64"/>
      <c r="I473" s="2"/>
      <c r="J473" s="2"/>
      <c r="K473" s="2"/>
      <c r="L473" s="2"/>
      <c r="M473" s="2"/>
      <c r="N473" s="2"/>
      <c r="O473" s="2"/>
      <c r="P473" s="66"/>
      <c r="Q473" s="66"/>
      <c r="R473" s="2"/>
      <c r="S473" s="2"/>
      <c r="T473" s="2"/>
    </row>
    <row r="474" spans="1:20">
      <c r="A474" s="3"/>
      <c r="B474" s="3"/>
      <c r="C474" s="2"/>
      <c r="D474" s="2"/>
      <c r="E474" s="64"/>
      <c r="F474" s="64"/>
      <c r="G474" s="64"/>
      <c r="H474" s="64"/>
      <c r="I474" s="2"/>
      <c r="J474" s="2"/>
      <c r="K474" s="2"/>
      <c r="L474" s="2"/>
      <c r="M474" s="2"/>
      <c r="N474" s="2"/>
      <c r="O474" s="2"/>
      <c r="P474" s="66"/>
      <c r="Q474" s="66"/>
      <c r="R474" s="2"/>
      <c r="S474" s="2"/>
      <c r="T474" s="2"/>
    </row>
    <row r="475" spans="1:20">
      <c r="A475" s="3"/>
      <c r="B475" s="3"/>
      <c r="C475" s="2"/>
      <c r="D475" s="2"/>
      <c r="E475" s="64"/>
      <c r="F475" s="64"/>
      <c r="G475" s="64"/>
      <c r="H475" s="64"/>
      <c r="I475" s="2"/>
      <c r="J475" s="2"/>
      <c r="K475" s="2"/>
      <c r="L475" s="2"/>
      <c r="M475" s="2"/>
      <c r="N475" s="2"/>
      <c r="O475" s="2"/>
      <c r="P475" s="66"/>
      <c r="Q475" s="66"/>
      <c r="R475" s="2"/>
      <c r="S475" s="2"/>
      <c r="T475" s="2"/>
    </row>
    <row r="476" spans="1:20">
      <c r="A476" s="3"/>
      <c r="B476" s="3"/>
      <c r="C476" s="2"/>
      <c r="D476" s="2"/>
      <c r="E476" s="64"/>
      <c r="F476" s="64"/>
      <c r="G476" s="64"/>
      <c r="H476" s="64"/>
      <c r="I476" s="2"/>
      <c r="J476" s="2"/>
      <c r="K476" s="2"/>
      <c r="L476" s="2"/>
      <c r="M476" s="2"/>
      <c r="N476" s="2"/>
      <c r="O476" s="2"/>
      <c r="P476" s="66"/>
      <c r="Q476" s="66"/>
      <c r="R476" s="2"/>
      <c r="S476" s="2"/>
      <c r="T476" s="2"/>
    </row>
    <row r="477" spans="1:20">
      <c r="A477" s="3"/>
      <c r="B477" s="3"/>
      <c r="C477" s="2"/>
      <c r="D477" s="2"/>
      <c r="E477" s="64"/>
      <c r="F477" s="64"/>
      <c r="G477" s="64"/>
      <c r="H477" s="64"/>
      <c r="I477" s="2"/>
      <c r="J477" s="2"/>
      <c r="K477" s="2"/>
      <c r="L477" s="2"/>
      <c r="M477" s="2"/>
      <c r="N477" s="2"/>
      <c r="O477" s="2"/>
      <c r="P477" s="66"/>
      <c r="Q477" s="66"/>
      <c r="R477" s="2"/>
      <c r="S477" s="2"/>
      <c r="T477" s="2"/>
    </row>
    <row r="478" spans="1:20">
      <c r="A478" s="3"/>
      <c r="B478" s="3"/>
      <c r="C478" s="2"/>
      <c r="D478" s="2"/>
      <c r="E478" s="64"/>
      <c r="F478" s="64"/>
      <c r="G478" s="64"/>
      <c r="H478" s="64"/>
      <c r="I478" s="2"/>
      <c r="J478" s="2"/>
      <c r="K478" s="2"/>
      <c r="L478" s="2"/>
      <c r="M478" s="2"/>
      <c r="N478" s="2"/>
      <c r="O478" s="2"/>
      <c r="P478" s="66"/>
      <c r="Q478" s="66"/>
      <c r="R478" s="2"/>
      <c r="S478" s="2"/>
      <c r="T478" s="2"/>
    </row>
    <row r="479" spans="1:20">
      <c r="A479" s="3"/>
      <c r="B479" s="3"/>
      <c r="C479" s="2"/>
      <c r="D479" s="2"/>
      <c r="E479" s="64"/>
      <c r="F479" s="64"/>
      <c r="G479" s="64"/>
      <c r="H479" s="64"/>
      <c r="I479" s="2"/>
      <c r="J479" s="2"/>
      <c r="K479" s="2"/>
      <c r="L479" s="2"/>
      <c r="M479" s="2"/>
      <c r="N479" s="2"/>
      <c r="O479" s="2"/>
      <c r="P479" s="66"/>
      <c r="Q479" s="66"/>
      <c r="R479" s="2"/>
      <c r="S479" s="2"/>
      <c r="T479" s="2"/>
    </row>
    <row r="480" spans="1:20">
      <c r="A480" s="3"/>
      <c r="B480" s="3"/>
      <c r="C480" s="2"/>
      <c r="D480" s="2"/>
      <c r="E480" s="64"/>
      <c r="F480" s="64"/>
      <c r="G480" s="64"/>
      <c r="H480" s="64"/>
      <c r="I480" s="2"/>
      <c r="J480" s="2"/>
      <c r="K480" s="2"/>
      <c r="L480" s="2"/>
      <c r="M480" s="2"/>
      <c r="N480" s="2"/>
      <c r="O480" s="2"/>
      <c r="P480" s="66"/>
      <c r="Q480" s="66"/>
      <c r="R480" s="2"/>
      <c r="S480" s="2"/>
      <c r="T480" s="2"/>
    </row>
    <row r="481" spans="1:20">
      <c r="A481" s="3"/>
      <c r="B481" s="3"/>
      <c r="C481" s="2"/>
      <c r="D481" s="2"/>
      <c r="E481" s="64"/>
      <c r="F481" s="64"/>
      <c r="G481" s="64"/>
      <c r="H481" s="64"/>
      <c r="I481" s="2"/>
      <c r="J481" s="2"/>
      <c r="K481" s="2"/>
      <c r="L481" s="2"/>
      <c r="M481" s="2"/>
      <c r="N481" s="2"/>
      <c r="O481" s="2"/>
      <c r="P481" s="66"/>
      <c r="Q481" s="66"/>
      <c r="R481" s="2"/>
      <c r="S481" s="2"/>
      <c r="T481" s="2"/>
    </row>
    <row r="482" spans="1:20">
      <c r="A482" s="3"/>
      <c r="B482" s="3"/>
      <c r="C482" s="2"/>
      <c r="D482" s="2"/>
      <c r="E482" s="64"/>
      <c r="F482" s="64"/>
      <c r="G482" s="64"/>
      <c r="H482" s="64"/>
      <c r="I482" s="2"/>
      <c r="J482" s="2"/>
      <c r="K482" s="2"/>
      <c r="L482" s="2"/>
      <c r="M482" s="2"/>
      <c r="N482" s="2"/>
      <c r="O482" s="2"/>
      <c r="P482" s="66"/>
      <c r="Q482" s="66"/>
      <c r="R482" s="2"/>
      <c r="S482" s="2"/>
      <c r="T482" s="2"/>
    </row>
    <row r="483" spans="1:20">
      <c r="A483" s="3"/>
      <c r="B483" s="3"/>
      <c r="C483" s="2"/>
      <c r="D483" s="2"/>
      <c r="E483" s="64"/>
      <c r="F483" s="64"/>
      <c r="G483" s="64"/>
      <c r="H483" s="64"/>
      <c r="I483" s="2"/>
      <c r="J483" s="2"/>
      <c r="K483" s="2"/>
      <c r="L483" s="2"/>
      <c r="M483" s="2"/>
      <c r="N483" s="2"/>
      <c r="O483" s="2"/>
      <c r="P483" s="66"/>
      <c r="Q483" s="66"/>
      <c r="R483" s="2"/>
      <c r="S483" s="2"/>
      <c r="T483" s="2"/>
    </row>
    <row r="484" spans="1:20">
      <c r="A484" s="3"/>
      <c r="B484" s="3"/>
      <c r="C484" s="2"/>
      <c r="D484" s="2"/>
      <c r="E484" s="64"/>
      <c r="F484" s="64"/>
      <c r="G484" s="64"/>
      <c r="H484" s="64"/>
      <c r="I484" s="2"/>
      <c r="J484" s="2"/>
      <c r="K484" s="2"/>
      <c r="L484" s="2"/>
      <c r="M484" s="2"/>
      <c r="N484" s="2"/>
      <c r="O484" s="2"/>
      <c r="P484" s="66"/>
      <c r="Q484" s="66"/>
      <c r="R484" s="2"/>
      <c r="S484" s="2"/>
      <c r="T484" s="2"/>
    </row>
    <row r="485" spans="1:20">
      <c r="A485" s="3"/>
      <c r="B485" s="3"/>
      <c r="C485" s="2"/>
      <c r="D485" s="2"/>
      <c r="E485" s="64"/>
      <c r="F485" s="64"/>
      <c r="G485" s="64"/>
      <c r="H485" s="64"/>
      <c r="I485" s="2"/>
      <c r="J485" s="2"/>
      <c r="K485" s="2"/>
      <c r="L485" s="2"/>
      <c r="M485" s="2"/>
      <c r="N485" s="2"/>
      <c r="O485" s="2"/>
      <c r="P485" s="66"/>
      <c r="Q485" s="66"/>
      <c r="R485" s="2"/>
      <c r="S485" s="2"/>
      <c r="T485" s="2"/>
    </row>
    <row r="486" spans="1:20">
      <c r="A486" s="3"/>
      <c r="B486" s="3"/>
      <c r="C486" s="2"/>
      <c r="D486" s="2"/>
      <c r="E486" s="64"/>
      <c r="F486" s="64"/>
      <c r="G486" s="64"/>
      <c r="H486" s="64"/>
      <c r="I486" s="2"/>
      <c r="J486" s="2"/>
      <c r="K486" s="2"/>
      <c r="L486" s="2"/>
      <c r="M486" s="2"/>
      <c r="N486" s="2"/>
      <c r="O486" s="2"/>
      <c r="P486" s="66"/>
      <c r="Q486" s="66"/>
      <c r="R486" s="2"/>
      <c r="S486" s="2"/>
      <c r="T486" s="2"/>
    </row>
    <row r="487" spans="1:20">
      <c r="A487" s="3"/>
      <c r="B487" s="3"/>
      <c r="C487" s="2"/>
      <c r="D487" s="2"/>
      <c r="E487" s="64"/>
      <c r="F487" s="64"/>
      <c r="G487" s="64"/>
      <c r="H487" s="64"/>
      <c r="I487" s="2"/>
      <c r="J487" s="2"/>
      <c r="K487" s="2"/>
      <c r="L487" s="2"/>
      <c r="M487" s="2"/>
      <c r="N487" s="2"/>
      <c r="O487" s="2"/>
      <c r="P487" s="66"/>
      <c r="Q487" s="66"/>
      <c r="R487" s="2"/>
      <c r="S487" s="2"/>
      <c r="T487" s="2"/>
    </row>
    <row r="488" spans="1:20">
      <c r="A488" s="3"/>
      <c r="B488" s="3"/>
      <c r="C488" s="2"/>
      <c r="D488" s="2"/>
      <c r="E488" s="64"/>
      <c r="F488" s="64"/>
      <c r="G488" s="64"/>
      <c r="H488" s="64"/>
      <c r="I488" s="2"/>
      <c r="J488" s="2"/>
      <c r="K488" s="2"/>
      <c r="L488" s="2"/>
      <c r="M488" s="2"/>
      <c r="N488" s="2"/>
      <c r="O488" s="2"/>
      <c r="P488" s="66"/>
      <c r="Q488" s="66"/>
      <c r="R488" s="2"/>
      <c r="S488" s="2"/>
      <c r="T488" s="2"/>
    </row>
    <row r="489" spans="1:20">
      <c r="A489" s="3"/>
      <c r="B489" s="3"/>
      <c r="C489" s="2"/>
      <c r="D489" s="2"/>
      <c r="E489" s="64"/>
      <c r="F489" s="64"/>
      <c r="G489" s="64"/>
      <c r="H489" s="64"/>
      <c r="I489" s="2"/>
      <c r="J489" s="2"/>
      <c r="K489" s="2"/>
      <c r="L489" s="2"/>
      <c r="M489" s="2"/>
      <c r="N489" s="2"/>
      <c r="O489" s="2"/>
      <c r="P489" s="66"/>
      <c r="Q489" s="66"/>
      <c r="R489" s="2"/>
      <c r="S489" s="2"/>
      <c r="T489" s="2"/>
    </row>
    <row r="490" spans="1:20">
      <c r="A490" s="3"/>
      <c r="B490" s="3"/>
      <c r="C490" s="2"/>
      <c r="D490" s="2"/>
      <c r="E490" s="64"/>
      <c r="F490" s="64"/>
      <c r="G490" s="64"/>
      <c r="H490" s="64"/>
      <c r="I490" s="2"/>
      <c r="J490" s="2"/>
      <c r="K490" s="2"/>
      <c r="L490" s="2"/>
      <c r="M490" s="2"/>
      <c r="N490" s="2"/>
      <c r="O490" s="2"/>
      <c r="P490" s="66"/>
      <c r="Q490" s="66"/>
      <c r="R490" s="2"/>
      <c r="S490" s="2"/>
      <c r="T490" s="2"/>
    </row>
    <row r="491" spans="1:20">
      <c r="A491" s="3"/>
      <c r="B491" s="3"/>
      <c r="C491" s="2"/>
      <c r="D491" s="2"/>
      <c r="E491" s="64"/>
      <c r="F491" s="64"/>
      <c r="G491" s="64"/>
      <c r="H491" s="64"/>
      <c r="I491" s="2"/>
      <c r="J491" s="2"/>
      <c r="K491" s="2"/>
      <c r="L491" s="2"/>
      <c r="M491" s="2"/>
      <c r="N491" s="2"/>
      <c r="O491" s="2"/>
      <c r="P491" s="66"/>
      <c r="Q491" s="66"/>
      <c r="R491" s="2"/>
      <c r="S491" s="2"/>
      <c r="T491" s="2"/>
    </row>
    <row r="492" spans="1:20">
      <c r="A492" s="3"/>
      <c r="B492" s="3"/>
      <c r="C492" s="2"/>
      <c r="D492" s="2"/>
      <c r="E492" s="64"/>
      <c r="F492" s="64"/>
      <c r="G492" s="64"/>
      <c r="H492" s="64"/>
      <c r="I492" s="2"/>
      <c r="J492" s="2"/>
      <c r="K492" s="2"/>
      <c r="L492" s="2"/>
      <c r="M492" s="2"/>
      <c r="N492" s="2"/>
      <c r="O492" s="2"/>
      <c r="P492" s="66"/>
      <c r="Q492" s="66"/>
      <c r="R492" s="2"/>
      <c r="S492" s="2"/>
      <c r="T492" s="2"/>
    </row>
    <row r="493" spans="1:20">
      <c r="A493" s="3"/>
      <c r="B493" s="3"/>
      <c r="C493" s="2"/>
      <c r="D493" s="2"/>
      <c r="E493" s="64"/>
      <c r="F493" s="64"/>
      <c r="G493" s="64"/>
      <c r="H493" s="64"/>
      <c r="I493" s="2"/>
      <c r="J493" s="2"/>
      <c r="K493" s="2"/>
      <c r="L493" s="2"/>
      <c r="M493" s="2"/>
      <c r="N493" s="2"/>
      <c r="O493" s="2"/>
      <c r="P493" s="66"/>
      <c r="Q493" s="66"/>
      <c r="R493" s="2"/>
      <c r="S493" s="2"/>
      <c r="T493" s="2"/>
    </row>
    <row r="494" spans="1:20">
      <c r="A494" s="3"/>
      <c r="B494" s="3"/>
      <c r="C494" s="2"/>
      <c r="D494" s="2"/>
      <c r="E494" s="64"/>
      <c r="F494" s="64"/>
      <c r="G494" s="64"/>
      <c r="H494" s="64"/>
      <c r="I494" s="2"/>
      <c r="J494" s="2"/>
      <c r="K494" s="2"/>
      <c r="L494" s="2"/>
      <c r="M494" s="2"/>
      <c r="N494" s="2"/>
      <c r="O494" s="2"/>
      <c r="P494" s="66"/>
      <c r="Q494" s="66"/>
      <c r="R494" s="2"/>
      <c r="S494" s="2"/>
      <c r="T494" s="2"/>
    </row>
    <row r="495" spans="1:20">
      <c r="A495" s="3"/>
      <c r="B495" s="3"/>
      <c r="C495" s="2"/>
      <c r="D495" s="2"/>
      <c r="E495" s="64"/>
      <c r="F495" s="64"/>
      <c r="G495" s="64"/>
      <c r="H495" s="64"/>
      <c r="I495" s="2"/>
      <c r="J495" s="2"/>
      <c r="K495" s="2"/>
      <c r="L495" s="2"/>
      <c r="M495" s="2"/>
      <c r="N495" s="2"/>
      <c r="O495" s="2"/>
      <c r="P495" s="66"/>
      <c r="Q495" s="66"/>
      <c r="R495" s="2"/>
      <c r="S495" s="2"/>
      <c r="T495" s="2"/>
    </row>
    <row r="496" spans="1:20">
      <c r="A496" s="3"/>
      <c r="B496" s="3"/>
      <c r="C496" s="2"/>
      <c r="D496" s="2"/>
      <c r="E496" s="64"/>
      <c r="F496" s="64"/>
      <c r="G496" s="64"/>
      <c r="H496" s="64"/>
      <c r="I496" s="2"/>
      <c r="J496" s="2"/>
      <c r="K496" s="2"/>
      <c r="L496" s="2"/>
      <c r="M496" s="2"/>
      <c r="N496" s="2"/>
      <c r="O496" s="2"/>
      <c r="P496" s="66"/>
      <c r="Q496" s="66"/>
      <c r="R496" s="2"/>
      <c r="S496" s="2"/>
      <c r="T496" s="2"/>
    </row>
    <row r="497" spans="1:20">
      <c r="A497" s="3"/>
      <c r="B497" s="3"/>
      <c r="C497" s="2"/>
      <c r="D497" s="2"/>
      <c r="E497" s="64"/>
      <c r="F497" s="64"/>
      <c r="G497" s="64"/>
      <c r="H497" s="64"/>
      <c r="I497" s="2"/>
      <c r="J497" s="2"/>
      <c r="K497" s="2"/>
      <c r="L497" s="2"/>
      <c r="M497" s="2"/>
      <c r="N497" s="2"/>
      <c r="O497" s="2"/>
      <c r="P497" s="66"/>
      <c r="Q497" s="66"/>
      <c r="R497" s="2"/>
      <c r="S497" s="2"/>
      <c r="T497" s="2"/>
    </row>
    <row r="498" spans="1:20">
      <c r="A498" s="3"/>
      <c r="B498" s="3"/>
      <c r="C498" s="2"/>
      <c r="D498" s="2"/>
      <c r="E498" s="64"/>
      <c r="F498" s="64"/>
      <c r="G498" s="64"/>
      <c r="H498" s="64"/>
      <c r="I498" s="2"/>
      <c r="J498" s="2"/>
      <c r="K498" s="2"/>
      <c r="L498" s="2"/>
      <c r="M498" s="2"/>
      <c r="N498" s="2"/>
      <c r="O498" s="2"/>
      <c r="P498" s="66"/>
      <c r="Q498" s="66"/>
      <c r="R498" s="2"/>
      <c r="S498" s="2"/>
      <c r="T498" s="2"/>
    </row>
    <row r="499" spans="1:20">
      <c r="A499" s="3"/>
      <c r="B499" s="3"/>
      <c r="C499" s="2"/>
      <c r="D499" s="2"/>
      <c r="E499" s="64"/>
      <c r="F499" s="64"/>
      <c r="G499" s="64"/>
      <c r="H499" s="64"/>
      <c r="I499" s="2"/>
      <c r="J499" s="2"/>
      <c r="K499" s="2"/>
      <c r="L499" s="2"/>
      <c r="M499" s="2"/>
      <c r="N499" s="2"/>
      <c r="O499" s="2"/>
      <c r="P499" s="66"/>
      <c r="Q499" s="66"/>
      <c r="R499" s="2"/>
      <c r="S499" s="2"/>
      <c r="T499" s="2"/>
    </row>
    <row r="500" spans="1:20">
      <c r="A500" s="3"/>
      <c r="B500" s="3"/>
      <c r="C500" s="2"/>
      <c r="D500" s="2"/>
      <c r="E500" s="64"/>
      <c r="F500" s="64"/>
      <c r="G500" s="64"/>
      <c r="H500" s="64"/>
      <c r="I500" s="2"/>
      <c r="J500" s="2"/>
      <c r="K500" s="2"/>
      <c r="L500" s="2"/>
      <c r="M500" s="2"/>
      <c r="N500" s="2"/>
      <c r="O500" s="2"/>
      <c r="P500" s="66"/>
      <c r="Q500" s="66"/>
      <c r="R500" s="2"/>
      <c r="S500" s="2"/>
      <c r="T500" s="2"/>
    </row>
    <row r="501" spans="1:20">
      <c r="A501" s="3"/>
      <c r="B501" s="3"/>
      <c r="C501" s="2"/>
      <c r="D501" s="2"/>
      <c r="E501" s="64"/>
      <c r="F501" s="64"/>
      <c r="G501" s="64"/>
      <c r="H501" s="64"/>
      <c r="I501" s="2"/>
      <c r="J501" s="2"/>
      <c r="K501" s="2"/>
      <c r="L501" s="2"/>
      <c r="M501" s="2"/>
      <c r="N501" s="2"/>
      <c r="O501" s="2"/>
      <c r="P501" s="66"/>
      <c r="Q501" s="66"/>
      <c r="R501" s="2"/>
      <c r="S501" s="2"/>
      <c r="T501" s="2"/>
    </row>
    <row r="502" spans="1:20">
      <c r="A502" s="3"/>
      <c r="B502" s="3"/>
      <c r="C502" s="2"/>
      <c r="D502" s="2"/>
      <c r="E502" s="64"/>
      <c r="F502" s="64"/>
      <c r="G502" s="64"/>
      <c r="H502" s="64"/>
      <c r="I502" s="2"/>
      <c r="J502" s="2"/>
      <c r="K502" s="2"/>
      <c r="L502" s="2"/>
      <c r="M502" s="2"/>
      <c r="N502" s="2"/>
      <c r="O502" s="2"/>
      <c r="P502" s="66"/>
      <c r="Q502" s="66"/>
      <c r="R502" s="2"/>
      <c r="S502" s="2"/>
      <c r="T502" s="2"/>
    </row>
    <row r="503" spans="1:20">
      <c r="A503" s="3"/>
      <c r="B503" s="3"/>
      <c r="C503" s="2"/>
      <c r="D503" s="2"/>
      <c r="E503" s="64"/>
      <c r="F503" s="64"/>
      <c r="G503" s="64"/>
      <c r="H503" s="64"/>
      <c r="I503" s="2"/>
      <c r="J503" s="2"/>
      <c r="K503" s="2"/>
      <c r="L503" s="2"/>
      <c r="M503" s="2"/>
      <c r="N503" s="2"/>
      <c r="O503" s="2"/>
      <c r="P503" s="66"/>
      <c r="Q503" s="66"/>
      <c r="R503" s="2"/>
      <c r="S503" s="2"/>
      <c r="T503" s="2"/>
    </row>
    <row r="504" spans="1:20">
      <c r="A504" s="3"/>
      <c r="B504" s="3"/>
      <c r="C504" s="2"/>
      <c r="D504" s="2"/>
      <c r="E504" s="64"/>
      <c r="F504" s="64"/>
      <c r="G504" s="64"/>
      <c r="H504" s="64"/>
      <c r="I504" s="2"/>
      <c r="J504" s="2"/>
      <c r="K504" s="2"/>
      <c r="L504" s="2"/>
      <c r="M504" s="2"/>
      <c r="N504" s="2"/>
      <c r="O504" s="2"/>
      <c r="P504" s="66"/>
      <c r="Q504" s="66"/>
      <c r="R504" s="2"/>
      <c r="S504" s="2"/>
      <c r="T504" s="2"/>
    </row>
    <row r="505" spans="1:20">
      <c r="A505" s="3"/>
      <c r="B505" s="3"/>
      <c r="C505" s="2"/>
      <c r="D505" s="2"/>
      <c r="E505" s="64"/>
      <c r="F505" s="64"/>
      <c r="G505" s="64"/>
      <c r="H505" s="64"/>
      <c r="I505" s="2"/>
      <c r="J505" s="2"/>
      <c r="K505" s="2"/>
      <c r="L505" s="2"/>
      <c r="M505" s="2"/>
      <c r="N505" s="2"/>
      <c r="O505" s="2"/>
      <c r="P505" s="66"/>
      <c r="Q505" s="66"/>
      <c r="R505" s="2"/>
      <c r="S505" s="2"/>
      <c r="T505" s="2"/>
    </row>
    <row r="506" spans="1:20">
      <c r="A506" s="3"/>
      <c r="B506" s="3"/>
      <c r="C506" s="2"/>
      <c r="D506" s="2"/>
      <c r="E506" s="64"/>
      <c r="F506" s="64"/>
      <c r="G506" s="64"/>
      <c r="H506" s="64"/>
      <c r="I506" s="2"/>
      <c r="J506" s="2"/>
      <c r="K506" s="2"/>
      <c r="L506" s="2"/>
      <c r="M506" s="2"/>
      <c r="N506" s="2"/>
      <c r="O506" s="2"/>
      <c r="P506" s="66"/>
      <c r="Q506" s="66"/>
      <c r="R506" s="2"/>
      <c r="S506" s="2"/>
      <c r="T506" s="2"/>
    </row>
    <row r="507" spans="1:20">
      <c r="A507" s="3"/>
      <c r="B507" s="3"/>
      <c r="C507" s="2"/>
      <c r="D507" s="2"/>
      <c r="E507" s="64"/>
      <c r="F507" s="64"/>
      <c r="G507" s="64"/>
      <c r="H507" s="64"/>
      <c r="I507" s="2"/>
      <c r="J507" s="2"/>
      <c r="K507" s="2"/>
      <c r="L507" s="2"/>
      <c r="M507" s="2"/>
      <c r="N507" s="2"/>
      <c r="O507" s="2"/>
      <c r="P507" s="66"/>
      <c r="Q507" s="66"/>
      <c r="R507" s="2"/>
      <c r="S507" s="2"/>
      <c r="T507" s="2"/>
    </row>
    <row r="508" spans="1:20">
      <c r="A508" s="3"/>
      <c r="B508" s="3"/>
      <c r="C508" s="2"/>
      <c r="D508" s="2"/>
      <c r="E508" s="64"/>
      <c r="F508" s="64"/>
      <c r="G508" s="64"/>
      <c r="H508" s="64"/>
      <c r="I508" s="2"/>
      <c r="J508" s="2"/>
      <c r="K508" s="2"/>
      <c r="L508" s="2"/>
      <c r="M508" s="2"/>
      <c r="N508" s="2"/>
      <c r="O508" s="2"/>
      <c r="P508" s="66"/>
      <c r="Q508" s="66"/>
      <c r="R508" s="2"/>
      <c r="S508" s="2"/>
      <c r="T508" s="2"/>
    </row>
    <row r="509" spans="1:20">
      <c r="A509" s="3"/>
      <c r="B509" s="3"/>
      <c r="C509" s="2"/>
      <c r="D509" s="2"/>
      <c r="E509" s="64"/>
      <c r="F509" s="64"/>
      <c r="G509" s="64"/>
      <c r="H509" s="64"/>
      <c r="I509" s="2"/>
      <c r="J509" s="2"/>
      <c r="K509" s="2"/>
      <c r="L509" s="2"/>
      <c r="M509" s="2"/>
      <c r="N509" s="2"/>
      <c r="O509" s="2"/>
      <c r="P509" s="66"/>
      <c r="Q509" s="66"/>
      <c r="R509" s="2"/>
      <c r="S509" s="2"/>
      <c r="T509" s="2"/>
    </row>
    <row r="510" spans="1:20">
      <c r="A510" s="3"/>
      <c r="B510" s="3"/>
      <c r="C510" s="2"/>
      <c r="D510" s="2"/>
      <c r="E510" s="64"/>
      <c r="F510" s="64"/>
      <c r="G510" s="64"/>
      <c r="H510" s="64"/>
      <c r="I510" s="2"/>
      <c r="J510" s="2"/>
      <c r="K510" s="2"/>
      <c r="L510" s="2"/>
      <c r="M510" s="2"/>
      <c r="N510" s="2"/>
      <c r="O510" s="2"/>
      <c r="P510" s="66"/>
      <c r="Q510" s="66"/>
      <c r="R510" s="2"/>
      <c r="S510" s="2"/>
      <c r="T510" s="2"/>
    </row>
    <row r="511" spans="1:20">
      <c r="A511" s="3"/>
      <c r="B511" s="3"/>
      <c r="C511" s="2"/>
      <c r="D511" s="2"/>
      <c r="E511" s="64"/>
      <c r="F511" s="64"/>
      <c r="G511" s="64"/>
      <c r="H511" s="64"/>
      <c r="I511" s="2"/>
      <c r="J511" s="2"/>
      <c r="K511" s="2"/>
      <c r="L511" s="2"/>
      <c r="M511" s="2"/>
      <c r="N511" s="2"/>
      <c r="O511" s="2"/>
      <c r="P511" s="66"/>
      <c r="Q511" s="66"/>
      <c r="R511" s="2"/>
      <c r="S511" s="2"/>
      <c r="T511" s="2"/>
    </row>
    <row r="512" spans="1:20">
      <c r="A512" s="3"/>
      <c r="B512" s="3"/>
      <c r="C512" s="2"/>
      <c r="D512" s="2"/>
      <c r="E512" s="64"/>
      <c r="F512" s="64"/>
      <c r="G512" s="64"/>
      <c r="H512" s="64"/>
      <c r="I512" s="2"/>
      <c r="J512" s="2"/>
      <c r="K512" s="2"/>
      <c r="L512" s="2"/>
      <c r="M512" s="2"/>
      <c r="N512" s="2"/>
      <c r="O512" s="2"/>
      <c r="P512" s="66"/>
      <c r="Q512" s="66"/>
      <c r="R512" s="2"/>
      <c r="S512" s="2"/>
      <c r="T512" s="2"/>
    </row>
    <row r="513" spans="1:20">
      <c r="A513" s="3"/>
      <c r="B513" s="3"/>
      <c r="C513" s="2"/>
      <c r="D513" s="2"/>
      <c r="E513" s="64"/>
      <c r="F513" s="64"/>
      <c r="G513" s="64"/>
      <c r="H513" s="64"/>
      <c r="I513" s="2"/>
      <c r="J513" s="2"/>
      <c r="K513" s="2"/>
      <c r="L513" s="2"/>
      <c r="M513" s="2"/>
      <c r="N513" s="2"/>
      <c r="O513" s="2"/>
      <c r="P513" s="66"/>
      <c r="Q513" s="66"/>
      <c r="R513" s="2"/>
      <c r="S513" s="2"/>
      <c r="T513" s="2"/>
    </row>
    <row r="514" spans="1:20">
      <c r="A514" s="3"/>
      <c r="B514" s="3"/>
      <c r="C514" s="2"/>
      <c r="D514" s="2"/>
      <c r="E514" s="64"/>
      <c r="F514" s="64"/>
      <c r="G514" s="64"/>
      <c r="H514" s="64"/>
      <c r="I514" s="2"/>
      <c r="J514" s="2"/>
      <c r="K514" s="2"/>
      <c r="L514" s="2"/>
      <c r="M514" s="2"/>
      <c r="N514" s="2"/>
      <c r="O514" s="2"/>
      <c r="P514" s="66"/>
      <c r="Q514" s="66"/>
      <c r="R514" s="2"/>
      <c r="S514" s="2"/>
      <c r="T514" s="2"/>
    </row>
    <row r="515" spans="1:20">
      <c r="A515" s="3"/>
      <c r="B515" s="3"/>
      <c r="C515" s="2"/>
      <c r="D515" s="2"/>
      <c r="E515" s="64"/>
      <c r="F515" s="64"/>
      <c r="G515" s="64"/>
      <c r="H515" s="64"/>
      <c r="I515" s="2"/>
      <c r="J515" s="2"/>
      <c r="K515" s="2"/>
      <c r="L515" s="2"/>
      <c r="M515" s="2"/>
      <c r="N515" s="2"/>
      <c r="O515" s="2"/>
      <c r="P515" s="66"/>
      <c r="Q515" s="66"/>
      <c r="R515" s="2"/>
      <c r="S515" s="2"/>
      <c r="T515" s="2"/>
    </row>
    <row r="516" spans="1:20">
      <c r="A516" s="3"/>
      <c r="B516" s="3"/>
      <c r="C516" s="2"/>
      <c r="D516" s="2"/>
      <c r="E516" s="64"/>
      <c r="F516" s="64"/>
      <c r="G516" s="64"/>
      <c r="H516" s="64"/>
      <c r="I516" s="2"/>
      <c r="J516" s="2"/>
      <c r="K516" s="2"/>
      <c r="L516" s="2"/>
      <c r="M516" s="2"/>
      <c r="N516" s="2"/>
      <c r="O516" s="2"/>
      <c r="P516" s="66"/>
      <c r="Q516" s="66"/>
      <c r="R516" s="2"/>
      <c r="S516" s="2"/>
      <c r="T516" s="2"/>
    </row>
    <row r="517" spans="1:20">
      <c r="A517" s="3"/>
      <c r="B517" s="3"/>
      <c r="C517" s="2"/>
      <c r="D517" s="2"/>
      <c r="E517" s="64"/>
      <c r="F517" s="64"/>
      <c r="G517" s="64"/>
      <c r="H517" s="64"/>
      <c r="I517" s="2"/>
      <c r="J517" s="2"/>
      <c r="K517" s="2"/>
      <c r="L517" s="2"/>
      <c r="M517" s="2"/>
      <c r="N517" s="2"/>
      <c r="O517" s="2"/>
      <c r="P517" s="66"/>
      <c r="Q517" s="66"/>
      <c r="R517" s="2"/>
      <c r="S517" s="2"/>
      <c r="T517" s="2"/>
    </row>
    <row r="518" spans="1:20">
      <c r="A518" s="3"/>
      <c r="B518" s="3"/>
      <c r="C518" s="2"/>
      <c r="D518" s="2"/>
      <c r="E518" s="64"/>
      <c r="F518" s="64"/>
      <c r="G518" s="64"/>
      <c r="H518" s="64"/>
      <c r="I518" s="2"/>
      <c r="J518" s="2"/>
      <c r="K518" s="2"/>
      <c r="L518" s="2"/>
      <c r="M518" s="2"/>
      <c r="N518" s="2"/>
      <c r="O518" s="2"/>
      <c r="P518" s="66"/>
      <c r="Q518" s="66"/>
      <c r="R518" s="2"/>
      <c r="S518" s="2"/>
      <c r="T518" s="2"/>
    </row>
    <row r="519" spans="1:20">
      <c r="A519" s="3"/>
      <c r="B519" s="3"/>
      <c r="C519" s="2"/>
      <c r="D519" s="2"/>
      <c r="E519" s="64"/>
      <c r="F519" s="64"/>
      <c r="G519" s="64"/>
      <c r="H519" s="64"/>
      <c r="I519" s="2"/>
      <c r="J519" s="2"/>
      <c r="K519" s="2"/>
      <c r="L519" s="2"/>
      <c r="M519" s="2"/>
      <c r="N519" s="2"/>
      <c r="O519" s="2"/>
      <c r="P519" s="66"/>
      <c r="Q519" s="66"/>
      <c r="R519" s="2"/>
      <c r="S519" s="2"/>
      <c r="T519" s="2"/>
    </row>
    <row r="520" spans="1:20">
      <c r="A520" s="3"/>
      <c r="B520" s="3"/>
      <c r="C520" s="2"/>
      <c r="D520" s="2"/>
      <c r="E520" s="64"/>
      <c r="F520" s="64"/>
      <c r="G520" s="64"/>
      <c r="H520" s="64"/>
      <c r="I520" s="2"/>
      <c r="J520" s="2"/>
      <c r="K520" s="2"/>
      <c r="L520" s="2"/>
      <c r="M520" s="2"/>
      <c r="N520" s="2"/>
      <c r="O520" s="2"/>
      <c r="P520" s="66"/>
      <c r="Q520" s="66"/>
      <c r="R520" s="2"/>
      <c r="S520" s="2"/>
      <c r="T520" s="2"/>
    </row>
    <row r="521" spans="1:20">
      <c r="A521" s="3"/>
      <c r="B521" s="3"/>
      <c r="C521" s="2"/>
      <c r="D521" s="2"/>
      <c r="E521" s="64"/>
      <c r="F521" s="64"/>
      <c r="G521" s="64"/>
      <c r="H521" s="64"/>
      <c r="I521" s="2"/>
      <c r="J521" s="2"/>
      <c r="K521" s="2"/>
      <c r="L521" s="2"/>
      <c r="M521" s="2"/>
      <c r="N521" s="2"/>
      <c r="O521" s="2"/>
      <c r="P521" s="66"/>
      <c r="Q521" s="66"/>
      <c r="R521" s="2"/>
      <c r="S521" s="2"/>
      <c r="T521" s="2"/>
    </row>
    <row r="522" spans="1:20">
      <c r="A522" s="3"/>
      <c r="B522" s="3"/>
      <c r="C522" s="2"/>
      <c r="D522" s="2"/>
      <c r="E522" s="64"/>
      <c r="F522" s="64"/>
      <c r="G522" s="64"/>
      <c r="H522" s="64"/>
      <c r="I522" s="2"/>
      <c r="J522" s="2"/>
      <c r="K522" s="2"/>
      <c r="L522" s="2"/>
      <c r="M522" s="2"/>
      <c r="N522" s="2"/>
      <c r="O522" s="2"/>
      <c r="P522" s="66"/>
      <c r="Q522" s="66"/>
      <c r="R522" s="2"/>
      <c r="S522" s="2"/>
      <c r="T522" s="2"/>
    </row>
    <row r="523" spans="1:20">
      <c r="A523" s="3"/>
      <c r="B523" s="3"/>
      <c r="C523" s="2"/>
      <c r="D523" s="2"/>
      <c r="E523" s="64"/>
      <c r="F523" s="64"/>
      <c r="G523" s="64"/>
      <c r="H523" s="64"/>
      <c r="I523" s="2"/>
      <c r="J523" s="2"/>
      <c r="K523" s="2"/>
      <c r="L523" s="2"/>
      <c r="M523" s="2"/>
      <c r="N523" s="2"/>
      <c r="O523" s="2"/>
      <c r="P523" s="66"/>
      <c r="Q523" s="66"/>
      <c r="R523" s="2"/>
      <c r="S523" s="2"/>
      <c r="T523" s="2"/>
    </row>
    <row r="524" spans="1:20">
      <c r="A524" s="3"/>
      <c r="B524" s="3"/>
      <c r="C524" s="2"/>
      <c r="D524" s="2"/>
      <c r="E524" s="64"/>
      <c r="F524" s="64"/>
      <c r="G524" s="64"/>
      <c r="H524" s="64"/>
      <c r="I524" s="2"/>
      <c r="J524" s="2"/>
      <c r="K524" s="2"/>
      <c r="L524" s="2"/>
      <c r="M524" s="2"/>
      <c r="N524" s="2"/>
      <c r="O524" s="2"/>
      <c r="P524" s="66"/>
      <c r="Q524" s="66"/>
      <c r="R524" s="2"/>
      <c r="S524" s="2"/>
      <c r="T524" s="2"/>
    </row>
    <row r="525" spans="1:20">
      <c r="A525" s="3"/>
      <c r="B525" s="3"/>
      <c r="C525" s="2"/>
      <c r="D525" s="2"/>
      <c r="E525" s="64"/>
      <c r="F525" s="64"/>
      <c r="G525" s="64"/>
      <c r="H525" s="64"/>
      <c r="I525" s="2"/>
      <c r="J525" s="2"/>
      <c r="K525" s="2"/>
      <c r="L525" s="2"/>
      <c r="M525" s="2"/>
      <c r="N525" s="2"/>
      <c r="O525" s="2"/>
      <c r="P525" s="66"/>
      <c r="Q525" s="66"/>
      <c r="R525" s="2"/>
      <c r="S525" s="2"/>
      <c r="T525" s="2"/>
    </row>
    <row r="526" spans="1:20">
      <c r="A526" s="3"/>
      <c r="B526" s="3"/>
      <c r="C526" s="2"/>
      <c r="D526" s="2"/>
      <c r="E526" s="64"/>
      <c r="F526" s="64"/>
      <c r="G526" s="64"/>
      <c r="H526" s="64"/>
      <c r="I526" s="2"/>
      <c r="J526" s="2"/>
      <c r="K526" s="2"/>
      <c r="L526" s="2"/>
      <c r="M526" s="2"/>
      <c r="N526" s="2"/>
      <c r="O526" s="2"/>
      <c r="P526" s="66"/>
      <c r="Q526" s="66"/>
      <c r="R526" s="2"/>
      <c r="S526" s="2"/>
      <c r="T526" s="2"/>
    </row>
    <row r="527" spans="1:20">
      <c r="A527" s="3"/>
      <c r="B527" s="3"/>
      <c r="C527" s="2"/>
      <c r="D527" s="2"/>
      <c r="E527" s="64"/>
      <c r="F527" s="64"/>
      <c r="G527" s="64"/>
      <c r="H527" s="64"/>
      <c r="I527" s="2"/>
      <c r="J527" s="2"/>
      <c r="K527" s="2"/>
      <c r="L527" s="2"/>
      <c r="M527" s="2"/>
      <c r="N527" s="2"/>
      <c r="O527" s="2"/>
      <c r="P527" s="66"/>
      <c r="Q527" s="66"/>
      <c r="R527" s="2"/>
      <c r="S527" s="2"/>
      <c r="T527" s="2"/>
    </row>
    <row r="528" spans="1:20">
      <c r="A528" s="3"/>
      <c r="B528" s="3"/>
      <c r="C528" s="2"/>
      <c r="D528" s="2"/>
      <c r="E528" s="64"/>
      <c r="F528" s="64"/>
      <c r="G528" s="64"/>
      <c r="H528" s="64"/>
      <c r="I528" s="2"/>
      <c r="J528" s="2"/>
      <c r="K528" s="2"/>
      <c r="L528" s="2"/>
      <c r="M528" s="2"/>
      <c r="N528" s="2"/>
      <c r="O528" s="2"/>
      <c r="P528" s="66"/>
      <c r="Q528" s="66"/>
      <c r="R528" s="2"/>
      <c r="S528" s="2"/>
      <c r="T528" s="2"/>
    </row>
    <row r="529" spans="1:20">
      <c r="A529" s="3"/>
      <c r="B529" s="3"/>
      <c r="C529" s="2"/>
      <c r="D529" s="2"/>
      <c r="E529" s="64"/>
      <c r="F529" s="64"/>
      <c r="G529" s="64"/>
      <c r="H529" s="64"/>
      <c r="I529" s="2"/>
      <c r="J529" s="2"/>
      <c r="K529" s="2"/>
      <c r="L529" s="2"/>
      <c r="M529" s="2"/>
      <c r="N529" s="2"/>
      <c r="O529" s="2"/>
      <c r="P529" s="66"/>
      <c r="Q529" s="66"/>
      <c r="R529" s="2"/>
      <c r="S529" s="2"/>
      <c r="T529" s="2"/>
    </row>
    <row r="530" spans="1:20">
      <c r="A530" s="3"/>
      <c r="B530" s="3"/>
      <c r="C530" s="2"/>
      <c r="D530" s="2"/>
      <c r="E530" s="64"/>
      <c r="F530" s="64"/>
      <c r="G530" s="64"/>
      <c r="H530" s="64"/>
      <c r="I530" s="2"/>
      <c r="J530" s="2"/>
      <c r="K530" s="2"/>
      <c r="L530" s="2"/>
      <c r="M530" s="2"/>
      <c r="N530" s="2"/>
      <c r="O530" s="2"/>
      <c r="P530" s="66"/>
      <c r="Q530" s="66"/>
      <c r="R530" s="2"/>
      <c r="S530" s="2"/>
      <c r="T530" s="2"/>
    </row>
    <row r="531" spans="1:20">
      <c r="A531" s="3"/>
      <c r="B531" s="3"/>
      <c r="C531" s="2"/>
      <c r="D531" s="2"/>
      <c r="E531" s="64"/>
      <c r="F531" s="64"/>
      <c r="G531" s="64"/>
      <c r="H531" s="64"/>
      <c r="I531" s="2"/>
      <c r="J531" s="2"/>
      <c r="K531" s="2"/>
      <c r="L531" s="2"/>
      <c r="M531" s="2"/>
      <c r="N531" s="2"/>
      <c r="O531" s="2"/>
      <c r="P531" s="66"/>
      <c r="Q531" s="66"/>
      <c r="R531" s="2"/>
      <c r="S531" s="2"/>
      <c r="T531" s="2"/>
    </row>
    <row r="532" spans="1:20">
      <c r="A532" s="3"/>
      <c r="B532" s="3"/>
      <c r="C532" s="2"/>
      <c r="D532" s="2"/>
      <c r="E532" s="64"/>
      <c r="F532" s="64"/>
      <c r="G532" s="64"/>
      <c r="H532" s="64"/>
      <c r="I532" s="2"/>
      <c r="J532" s="2"/>
      <c r="K532" s="2"/>
      <c r="L532" s="2"/>
      <c r="M532" s="2"/>
      <c r="N532" s="2"/>
      <c r="O532" s="2"/>
      <c r="P532" s="66"/>
      <c r="Q532" s="66"/>
      <c r="R532" s="2"/>
      <c r="S532" s="2"/>
      <c r="T532" s="2"/>
    </row>
    <row r="533" spans="1:20">
      <c r="A533" s="3"/>
      <c r="B533" s="3"/>
      <c r="C533" s="2"/>
      <c r="D533" s="2"/>
      <c r="E533" s="64"/>
      <c r="F533" s="64"/>
      <c r="G533" s="64"/>
      <c r="H533" s="64"/>
      <c r="I533" s="2"/>
      <c r="J533" s="2"/>
      <c r="K533" s="2"/>
      <c r="L533" s="2"/>
      <c r="M533" s="2"/>
      <c r="N533" s="2"/>
      <c r="O533" s="2"/>
      <c r="P533" s="66"/>
      <c r="Q533" s="66"/>
      <c r="R533" s="2"/>
      <c r="S533" s="2"/>
      <c r="T533" s="2"/>
    </row>
    <row r="534" spans="1:20">
      <c r="A534" s="3"/>
      <c r="B534" s="3"/>
      <c r="C534" s="2"/>
      <c r="D534" s="2"/>
      <c r="E534" s="64"/>
      <c r="F534" s="64"/>
      <c r="G534" s="64"/>
      <c r="H534" s="64"/>
      <c r="I534" s="2"/>
      <c r="J534" s="2"/>
      <c r="K534" s="2"/>
      <c r="L534" s="2"/>
      <c r="M534" s="2"/>
      <c r="N534" s="2"/>
      <c r="O534" s="2"/>
      <c r="P534" s="66"/>
      <c r="Q534" s="66"/>
      <c r="R534" s="2"/>
      <c r="S534" s="2"/>
      <c r="T534" s="2"/>
    </row>
    <row r="535" spans="1:20">
      <c r="A535" s="3"/>
      <c r="B535" s="3"/>
      <c r="C535" s="2"/>
      <c r="D535" s="2"/>
      <c r="E535" s="64"/>
      <c r="F535" s="64"/>
      <c r="G535" s="64"/>
      <c r="H535" s="64"/>
      <c r="I535" s="2"/>
      <c r="J535" s="2"/>
      <c r="K535" s="2"/>
      <c r="L535" s="2"/>
      <c r="M535" s="2"/>
      <c r="N535" s="2"/>
      <c r="O535" s="2"/>
      <c r="P535" s="66"/>
      <c r="Q535" s="66"/>
      <c r="R535" s="2"/>
      <c r="S535" s="2"/>
      <c r="T535" s="2"/>
    </row>
    <row r="536" spans="1:20">
      <c r="A536" s="3"/>
      <c r="B536" s="3"/>
      <c r="C536" s="2"/>
      <c r="D536" s="2"/>
      <c r="E536" s="64"/>
      <c r="F536" s="64"/>
      <c r="G536" s="64"/>
      <c r="H536" s="64"/>
      <c r="I536" s="2"/>
      <c r="J536" s="2"/>
      <c r="K536" s="2"/>
      <c r="L536" s="2"/>
      <c r="M536" s="2"/>
      <c r="N536" s="2"/>
      <c r="O536" s="2"/>
      <c r="P536" s="66"/>
      <c r="Q536" s="66"/>
      <c r="R536" s="2"/>
      <c r="S536" s="2"/>
      <c r="T536" s="2"/>
    </row>
    <row r="537" spans="1:20">
      <c r="A537" s="3"/>
      <c r="B537" s="3"/>
      <c r="C537" s="2"/>
      <c r="D537" s="2"/>
      <c r="E537" s="64"/>
      <c r="F537" s="64"/>
      <c r="G537" s="64"/>
      <c r="H537" s="64"/>
      <c r="I537" s="2"/>
      <c r="J537" s="2"/>
      <c r="K537" s="2"/>
      <c r="L537" s="2"/>
      <c r="M537" s="2"/>
      <c r="N537" s="2"/>
      <c r="O537" s="2"/>
      <c r="P537" s="66"/>
      <c r="Q537" s="66"/>
      <c r="R537" s="2"/>
      <c r="S537" s="2"/>
      <c r="T537" s="2"/>
    </row>
    <row r="538" spans="1:20">
      <c r="A538" s="3"/>
      <c r="B538" s="3"/>
      <c r="C538" s="2"/>
      <c r="D538" s="2"/>
      <c r="E538" s="64"/>
      <c r="F538" s="64"/>
      <c r="G538" s="64"/>
      <c r="H538" s="64"/>
      <c r="I538" s="2"/>
      <c r="J538" s="2"/>
      <c r="K538" s="2"/>
      <c r="L538" s="2"/>
      <c r="M538" s="2"/>
      <c r="N538" s="2"/>
      <c r="O538" s="2"/>
      <c r="P538" s="66"/>
      <c r="Q538" s="66"/>
      <c r="R538" s="2"/>
      <c r="S538" s="2"/>
      <c r="T538" s="2"/>
    </row>
    <row r="539" spans="1:20">
      <c r="A539" s="3"/>
      <c r="B539" s="3"/>
      <c r="C539" s="2"/>
      <c r="D539" s="2"/>
      <c r="E539" s="64"/>
      <c r="F539" s="64"/>
      <c r="G539" s="64"/>
      <c r="H539" s="64"/>
      <c r="I539" s="2"/>
      <c r="J539" s="2"/>
      <c r="K539" s="2"/>
      <c r="L539" s="2"/>
      <c r="M539" s="2"/>
      <c r="N539" s="2"/>
      <c r="O539" s="2"/>
      <c r="P539" s="66"/>
      <c r="Q539" s="66"/>
      <c r="R539" s="2"/>
      <c r="S539" s="2"/>
      <c r="T539" s="2"/>
    </row>
    <row r="540" spans="1:20">
      <c r="A540" s="3"/>
      <c r="B540" s="3"/>
      <c r="C540" s="2"/>
      <c r="D540" s="2"/>
      <c r="E540" s="64"/>
      <c r="F540" s="64"/>
      <c r="G540" s="64"/>
      <c r="H540" s="64"/>
      <c r="I540" s="2"/>
      <c r="J540" s="2"/>
      <c r="K540" s="2"/>
      <c r="L540" s="2"/>
      <c r="M540" s="2"/>
      <c r="N540" s="2"/>
      <c r="O540" s="2"/>
      <c r="P540" s="66"/>
      <c r="Q540" s="66"/>
      <c r="R540" s="2"/>
      <c r="S540" s="2"/>
      <c r="T540" s="2"/>
    </row>
    <row r="541" spans="1:20">
      <c r="A541" s="3"/>
      <c r="B541" s="3"/>
      <c r="C541" s="2"/>
      <c r="D541" s="2"/>
      <c r="E541" s="64"/>
      <c r="F541" s="64"/>
      <c r="G541" s="64"/>
      <c r="H541" s="64"/>
      <c r="I541" s="2"/>
      <c r="J541" s="2"/>
      <c r="K541" s="2"/>
      <c r="L541" s="2"/>
      <c r="M541" s="2"/>
      <c r="N541" s="2"/>
      <c r="O541" s="2"/>
      <c r="P541" s="66"/>
      <c r="Q541" s="66"/>
      <c r="R541" s="2"/>
      <c r="S541" s="2"/>
      <c r="T541" s="2"/>
    </row>
    <row r="542" spans="1:20">
      <c r="A542" s="3"/>
      <c r="B542" s="3"/>
      <c r="C542" s="2"/>
      <c r="D542" s="2"/>
      <c r="E542" s="64"/>
      <c r="F542" s="64"/>
      <c r="G542" s="64"/>
      <c r="H542" s="64"/>
      <c r="I542" s="2"/>
      <c r="J542" s="2"/>
      <c r="K542" s="2"/>
      <c r="L542" s="2"/>
      <c r="M542" s="2"/>
      <c r="N542" s="2"/>
      <c r="O542" s="2"/>
      <c r="P542" s="66"/>
      <c r="Q542" s="66"/>
      <c r="R542" s="2"/>
      <c r="S542" s="2"/>
      <c r="T542" s="2"/>
    </row>
    <row r="543" spans="1:20">
      <c r="A543" s="3"/>
      <c r="B543" s="3"/>
      <c r="C543" s="2"/>
      <c r="D543" s="2"/>
      <c r="E543" s="64"/>
      <c r="F543" s="64"/>
      <c r="G543" s="64"/>
      <c r="H543" s="64"/>
      <c r="I543" s="2"/>
      <c r="J543" s="2"/>
      <c r="K543" s="2"/>
      <c r="L543" s="2"/>
      <c r="M543" s="2"/>
      <c r="N543" s="2"/>
      <c r="O543" s="2"/>
      <c r="P543" s="66"/>
      <c r="Q543" s="66"/>
      <c r="R543" s="2"/>
      <c r="S543" s="2"/>
      <c r="T543" s="2"/>
    </row>
    <row r="544" spans="1:20">
      <c r="A544" s="3"/>
      <c r="B544" s="3"/>
      <c r="C544" s="2"/>
      <c r="D544" s="2"/>
      <c r="E544" s="64"/>
      <c r="F544" s="64"/>
      <c r="G544" s="64"/>
      <c r="H544" s="64"/>
      <c r="I544" s="2"/>
      <c r="J544" s="2"/>
      <c r="K544" s="2"/>
      <c r="L544" s="2"/>
      <c r="M544" s="2"/>
      <c r="N544" s="2"/>
      <c r="O544" s="2"/>
      <c r="P544" s="66"/>
      <c r="Q544" s="66"/>
      <c r="R544" s="2"/>
      <c r="S544" s="2"/>
      <c r="T544" s="2"/>
    </row>
    <row r="545" spans="1:20">
      <c r="A545" s="3"/>
      <c r="B545" s="3"/>
      <c r="C545" s="2"/>
      <c r="D545" s="2"/>
      <c r="E545" s="64"/>
      <c r="F545" s="64"/>
      <c r="G545" s="64"/>
      <c r="H545" s="64"/>
      <c r="I545" s="2"/>
      <c r="J545" s="2"/>
      <c r="K545" s="2"/>
      <c r="L545" s="2"/>
      <c r="M545" s="2"/>
      <c r="N545" s="2"/>
      <c r="O545" s="2"/>
      <c r="P545" s="66"/>
      <c r="Q545" s="66"/>
      <c r="R545" s="2"/>
      <c r="S545" s="2"/>
      <c r="T545" s="2"/>
    </row>
    <row r="546" spans="1:20">
      <c r="A546" s="3"/>
      <c r="B546" s="3"/>
      <c r="C546" s="2"/>
      <c r="D546" s="2"/>
      <c r="E546" s="64"/>
      <c r="F546" s="64"/>
      <c r="G546" s="64"/>
      <c r="H546" s="64"/>
      <c r="I546" s="2"/>
      <c r="J546" s="2"/>
      <c r="K546" s="2"/>
      <c r="L546" s="2"/>
      <c r="M546" s="2"/>
      <c r="N546" s="2"/>
      <c r="O546" s="2"/>
      <c r="P546" s="66"/>
      <c r="Q546" s="66"/>
      <c r="R546" s="2"/>
      <c r="S546" s="2"/>
      <c r="T546" s="2"/>
    </row>
    <row r="547" spans="1:20">
      <c r="A547" s="3"/>
      <c r="B547" s="3"/>
      <c r="C547" s="2"/>
      <c r="D547" s="2"/>
      <c r="E547" s="64"/>
      <c r="F547" s="64"/>
      <c r="G547" s="64"/>
      <c r="H547" s="64"/>
      <c r="I547" s="2"/>
      <c r="J547" s="2"/>
      <c r="K547" s="2"/>
      <c r="L547" s="2"/>
      <c r="M547" s="2"/>
      <c r="N547" s="2"/>
      <c r="O547" s="2"/>
      <c r="P547" s="66"/>
      <c r="Q547" s="66"/>
      <c r="R547" s="2"/>
      <c r="S547" s="2"/>
      <c r="T547" s="2"/>
    </row>
    <row r="548" spans="1:20">
      <c r="A548" s="3"/>
      <c r="B548" s="3"/>
      <c r="C548" s="2"/>
      <c r="D548" s="2"/>
      <c r="E548" s="64"/>
      <c r="F548" s="64"/>
      <c r="G548" s="64"/>
      <c r="H548" s="64"/>
      <c r="I548" s="2"/>
      <c r="J548" s="2"/>
      <c r="K548" s="2"/>
      <c r="L548" s="2"/>
      <c r="M548" s="2"/>
      <c r="N548" s="2"/>
      <c r="O548" s="2"/>
      <c r="P548" s="66"/>
      <c r="Q548" s="66"/>
      <c r="R548" s="2"/>
      <c r="S548" s="2"/>
      <c r="T548" s="2"/>
    </row>
    <row r="549" spans="1:20">
      <c r="A549" s="3"/>
      <c r="B549" s="3"/>
      <c r="C549" s="2"/>
      <c r="D549" s="2"/>
      <c r="E549" s="64"/>
      <c r="F549" s="64"/>
      <c r="G549" s="64"/>
      <c r="H549" s="64"/>
      <c r="I549" s="2"/>
      <c r="J549" s="2"/>
      <c r="K549" s="2"/>
      <c r="L549" s="2"/>
      <c r="M549" s="2"/>
      <c r="N549" s="2"/>
      <c r="O549" s="2"/>
      <c r="P549" s="66"/>
      <c r="Q549" s="66"/>
      <c r="R549" s="2"/>
      <c r="S549" s="2"/>
      <c r="T549" s="2"/>
    </row>
    <row r="550" spans="1:20">
      <c r="A550" s="3"/>
      <c r="B550" s="3"/>
      <c r="C550" s="2"/>
      <c r="D550" s="2"/>
      <c r="E550" s="64"/>
      <c r="F550" s="64"/>
      <c r="G550" s="64"/>
      <c r="H550" s="64"/>
      <c r="I550" s="2"/>
      <c r="J550" s="2"/>
      <c r="K550" s="2"/>
      <c r="L550" s="2"/>
      <c r="M550" s="2"/>
      <c r="N550" s="2"/>
      <c r="O550" s="2"/>
      <c r="P550" s="66"/>
      <c r="Q550" s="66"/>
      <c r="R550" s="2"/>
      <c r="S550" s="2"/>
      <c r="T550" s="2"/>
    </row>
    <row r="551" spans="1:20">
      <c r="A551" s="3"/>
      <c r="B551" s="3"/>
      <c r="C551" s="2"/>
      <c r="D551" s="2"/>
      <c r="E551" s="64"/>
      <c r="F551" s="64"/>
      <c r="G551" s="64"/>
      <c r="H551" s="64"/>
      <c r="I551" s="2"/>
      <c r="J551" s="2"/>
      <c r="K551" s="2"/>
      <c r="L551" s="2"/>
      <c r="M551" s="2"/>
      <c r="N551" s="2"/>
      <c r="O551" s="2"/>
      <c r="P551" s="66"/>
      <c r="Q551" s="66"/>
      <c r="R551" s="2"/>
      <c r="S551" s="2"/>
      <c r="T551" s="2"/>
    </row>
    <row r="552" spans="1:20">
      <c r="A552" s="3"/>
      <c r="B552" s="3"/>
      <c r="C552" s="2"/>
      <c r="D552" s="2"/>
      <c r="E552" s="64"/>
      <c r="F552" s="64"/>
      <c r="G552" s="64"/>
      <c r="H552" s="64"/>
      <c r="I552" s="2"/>
      <c r="J552" s="2"/>
      <c r="K552" s="2"/>
      <c r="L552" s="2"/>
      <c r="M552" s="2"/>
      <c r="N552" s="2"/>
      <c r="O552" s="2"/>
      <c r="P552" s="66"/>
      <c r="Q552" s="66"/>
      <c r="R552" s="2"/>
      <c r="S552" s="2"/>
      <c r="T552" s="2"/>
    </row>
    <row r="553" spans="1:20">
      <c r="A553" s="3"/>
      <c r="B553" s="3"/>
      <c r="C553" s="2"/>
      <c r="D553" s="2"/>
      <c r="E553" s="64"/>
      <c r="F553" s="64"/>
      <c r="G553" s="64"/>
      <c r="H553" s="64"/>
      <c r="I553" s="2"/>
      <c r="J553" s="2"/>
      <c r="K553" s="2"/>
      <c r="L553" s="2"/>
      <c r="M553" s="2"/>
      <c r="N553" s="2"/>
      <c r="O553" s="2"/>
      <c r="P553" s="66"/>
      <c r="Q553" s="66"/>
      <c r="R553" s="2"/>
      <c r="S553" s="2"/>
      <c r="T553" s="2"/>
    </row>
    <row r="554" spans="1:20">
      <c r="A554" s="3"/>
      <c r="B554" s="3"/>
      <c r="C554" s="2"/>
      <c r="D554" s="2"/>
      <c r="E554" s="64"/>
      <c r="F554" s="64"/>
      <c r="G554" s="64"/>
      <c r="H554" s="64"/>
      <c r="I554" s="2"/>
      <c r="J554" s="2"/>
      <c r="K554" s="2"/>
      <c r="L554" s="2"/>
      <c r="M554" s="2"/>
      <c r="N554" s="2"/>
      <c r="O554" s="2"/>
      <c r="P554" s="66"/>
      <c r="Q554" s="66"/>
      <c r="R554" s="2"/>
      <c r="S554" s="2"/>
      <c r="T554" s="2"/>
    </row>
    <row r="555" spans="1:20">
      <c r="A555" s="3"/>
      <c r="B555" s="3"/>
      <c r="C555" s="2"/>
      <c r="D555" s="2"/>
      <c r="E555" s="64"/>
      <c r="F555" s="64"/>
      <c r="G555" s="64"/>
      <c r="H555" s="64"/>
      <c r="I555" s="2"/>
      <c r="J555" s="2"/>
      <c r="K555" s="2"/>
      <c r="L555" s="2"/>
      <c r="M555" s="2"/>
      <c r="N555" s="2"/>
      <c r="O555" s="2"/>
      <c r="P555" s="66"/>
      <c r="Q555" s="66"/>
      <c r="R555" s="2"/>
      <c r="S555" s="2"/>
      <c r="T555" s="2"/>
    </row>
    <row r="556" spans="1:20">
      <c r="A556" s="3"/>
      <c r="B556" s="3"/>
      <c r="C556" s="2"/>
      <c r="D556" s="2"/>
      <c r="E556" s="64"/>
      <c r="F556" s="64"/>
      <c r="G556" s="64"/>
      <c r="H556" s="64"/>
      <c r="I556" s="2"/>
      <c r="J556" s="2"/>
      <c r="K556" s="2"/>
      <c r="L556" s="2"/>
      <c r="M556" s="2"/>
      <c r="N556" s="2"/>
      <c r="O556" s="2"/>
      <c r="P556" s="66"/>
      <c r="Q556" s="66"/>
      <c r="R556" s="2"/>
      <c r="S556" s="2"/>
      <c r="T556" s="2"/>
    </row>
    <row r="557" spans="1:20">
      <c r="A557" s="3"/>
      <c r="B557" s="3"/>
      <c r="C557" s="2"/>
      <c r="D557" s="2"/>
      <c r="E557" s="64"/>
      <c r="F557" s="64"/>
      <c r="G557" s="64"/>
      <c r="H557" s="64"/>
      <c r="I557" s="2"/>
      <c r="J557" s="2"/>
      <c r="K557" s="2"/>
      <c r="L557" s="2"/>
      <c r="M557" s="2"/>
      <c r="N557" s="2"/>
      <c r="O557" s="2"/>
      <c r="P557" s="66"/>
      <c r="Q557" s="66"/>
      <c r="R557" s="2"/>
      <c r="S557" s="2"/>
      <c r="T557" s="2"/>
    </row>
    <row r="558" spans="1:20">
      <c r="A558" s="3"/>
      <c r="B558" s="3"/>
      <c r="C558" s="2"/>
      <c r="D558" s="2"/>
      <c r="E558" s="64"/>
      <c r="F558" s="64"/>
      <c r="G558" s="64"/>
      <c r="H558" s="64"/>
      <c r="I558" s="2"/>
      <c r="J558" s="2"/>
      <c r="K558" s="2"/>
      <c r="L558" s="2"/>
      <c r="M558" s="2"/>
      <c r="N558" s="2"/>
      <c r="O558" s="2"/>
      <c r="P558" s="66"/>
      <c r="Q558" s="66"/>
      <c r="R558" s="2"/>
      <c r="S558" s="2"/>
      <c r="T558" s="2"/>
    </row>
    <row r="559" spans="1:20">
      <c r="A559" s="3"/>
      <c r="B559" s="3"/>
      <c r="C559" s="2"/>
      <c r="D559" s="2"/>
      <c r="E559" s="64"/>
      <c r="F559" s="64"/>
      <c r="G559" s="64"/>
      <c r="H559" s="64"/>
      <c r="I559" s="2"/>
      <c r="J559" s="2"/>
      <c r="K559" s="2"/>
      <c r="L559" s="2"/>
      <c r="M559" s="2"/>
      <c r="N559" s="2"/>
      <c r="O559" s="2"/>
      <c r="P559" s="66"/>
      <c r="Q559" s="66"/>
      <c r="R559" s="2"/>
      <c r="S559" s="2"/>
      <c r="T559" s="2"/>
    </row>
    <row r="560" spans="1:20">
      <c r="A560" s="3"/>
      <c r="B560" s="3"/>
      <c r="C560" s="2"/>
      <c r="D560" s="2"/>
      <c r="E560" s="64"/>
      <c r="F560" s="64"/>
      <c r="G560" s="64"/>
      <c r="H560" s="64"/>
      <c r="I560" s="2"/>
      <c r="J560" s="2"/>
      <c r="K560" s="2"/>
      <c r="L560" s="2"/>
      <c r="M560" s="2"/>
      <c r="N560" s="2"/>
      <c r="O560" s="2"/>
      <c r="P560" s="66"/>
      <c r="Q560" s="66"/>
      <c r="R560" s="2"/>
      <c r="S560" s="2"/>
      <c r="T560" s="2"/>
    </row>
    <row r="561" spans="1:20">
      <c r="A561" s="3"/>
      <c r="B561" s="3"/>
      <c r="C561" s="2"/>
      <c r="D561" s="2"/>
      <c r="E561" s="64"/>
      <c r="F561" s="64"/>
      <c r="G561" s="64"/>
      <c r="H561" s="64"/>
      <c r="I561" s="2"/>
      <c r="J561" s="2"/>
      <c r="K561" s="2"/>
      <c r="L561" s="2"/>
      <c r="M561" s="2"/>
      <c r="N561" s="2"/>
      <c r="O561" s="2"/>
      <c r="P561" s="66"/>
      <c r="Q561" s="66"/>
      <c r="R561" s="2"/>
      <c r="S561" s="2"/>
      <c r="T561" s="2"/>
    </row>
    <row r="562" spans="1:20">
      <c r="A562" s="3"/>
      <c r="B562" s="3"/>
      <c r="C562" s="2"/>
      <c r="D562" s="2"/>
      <c r="E562" s="64"/>
      <c r="F562" s="64"/>
      <c r="G562" s="64"/>
      <c r="H562" s="64"/>
      <c r="I562" s="2"/>
      <c r="J562" s="2"/>
      <c r="K562" s="2"/>
      <c r="L562" s="2"/>
      <c r="M562" s="2"/>
      <c r="N562" s="2"/>
      <c r="O562" s="2"/>
      <c r="P562" s="66"/>
      <c r="Q562" s="66"/>
      <c r="R562" s="2"/>
      <c r="S562" s="2"/>
      <c r="T562" s="2"/>
    </row>
    <row r="563" spans="1:20">
      <c r="A563" s="3"/>
      <c r="B563" s="3"/>
      <c r="C563" s="2"/>
      <c r="D563" s="2"/>
      <c r="E563" s="64"/>
      <c r="F563" s="64"/>
      <c r="G563" s="64"/>
      <c r="H563" s="64"/>
      <c r="I563" s="2"/>
      <c r="J563" s="2"/>
      <c r="K563" s="2"/>
      <c r="L563" s="2"/>
      <c r="M563" s="2"/>
      <c r="N563" s="2"/>
      <c r="O563" s="2"/>
      <c r="P563" s="66"/>
      <c r="Q563" s="66"/>
      <c r="R563" s="2"/>
      <c r="S563" s="2"/>
      <c r="T563" s="2"/>
    </row>
    <row r="564" spans="1:20">
      <c r="A564" s="3"/>
      <c r="B564" s="3"/>
      <c r="C564" s="2"/>
      <c r="D564" s="2"/>
      <c r="E564" s="64"/>
      <c r="F564" s="64"/>
      <c r="G564" s="64"/>
      <c r="H564" s="64"/>
      <c r="I564" s="2"/>
      <c r="J564" s="2"/>
      <c r="K564" s="2"/>
      <c r="L564" s="2"/>
      <c r="M564" s="2"/>
      <c r="N564" s="2"/>
      <c r="O564" s="2"/>
      <c r="P564" s="66"/>
      <c r="Q564" s="66"/>
      <c r="R564" s="2"/>
      <c r="S564" s="2"/>
      <c r="T564" s="2"/>
    </row>
    <row r="565" spans="1:20">
      <c r="A565" s="3"/>
      <c r="B565" s="3"/>
      <c r="C565" s="2"/>
      <c r="D565" s="2"/>
      <c r="E565" s="64"/>
      <c r="F565" s="64"/>
      <c r="G565" s="64"/>
      <c r="H565" s="64"/>
      <c r="I565" s="2"/>
      <c r="J565" s="2"/>
      <c r="K565" s="2"/>
      <c r="L565" s="2"/>
      <c r="M565" s="2"/>
      <c r="N565" s="2"/>
      <c r="O565" s="2"/>
      <c r="P565" s="66"/>
      <c r="Q565" s="66"/>
      <c r="R565" s="2"/>
      <c r="S565" s="2"/>
      <c r="T565" s="2"/>
    </row>
    <row r="566" spans="1:20">
      <c r="A566" s="3"/>
      <c r="B566" s="3"/>
      <c r="C566" s="2"/>
      <c r="D566" s="2"/>
      <c r="E566" s="64"/>
      <c r="F566" s="64"/>
      <c r="G566" s="64"/>
      <c r="H566" s="64"/>
      <c r="I566" s="2"/>
      <c r="J566" s="2"/>
      <c r="K566" s="2"/>
      <c r="L566" s="2"/>
      <c r="M566" s="2"/>
      <c r="N566" s="2"/>
      <c r="O566" s="2"/>
      <c r="P566" s="66"/>
      <c r="Q566" s="66"/>
      <c r="R566" s="2"/>
      <c r="S566" s="2"/>
      <c r="T566" s="2"/>
    </row>
    <row r="567" spans="1:20">
      <c r="A567" s="3"/>
      <c r="B567" s="3"/>
      <c r="C567" s="2"/>
      <c r="D567" s="2"/>
      <c r="E567" s="64"/>
      <c r="F567" s="64"/>
      <c r="G567" s="64"/>
      <c r="H567" s="64"/>
      <c r="I567" s="2"/>
      <c r="J567" s="2"/>
      <c r="K567" s="2"/>
      <c r="L567" s="2"/>
      <c r="M567" s="2"/>
      <c r="N567" s="2"/>
      <c r="O567" s="2"/>
      <c r="P567" s="66"/>
      <c r="Q567" s="66"/>
      <c r="R567" s="2"/>
      <c r="S567" s="2"/>
      <c r="T567" s="2"/>
    </row>
    <row r="568" spans="1:20">
      <c r="A568" s="3"/>
      <c r="B568" s="3"/>
      <c r="C568" s="2"/>
      <c r="D568" s="2"/>
      <c r="E568" s="64"/>
      <c r="F568" s="64"/>
      <c r="G568" s="64"/>
      <c r="H568" s="64"/>
      <c r="I568" s="2"/>
      <c r="J568" s="2"/>
      <c r="K568" s="2"/>
      <c r="L568" s="2"/>
      <c r="M568" s="2"/>
      <c r="N568" s="2"/>
      <c r="O568" s="2"/>
      <c r="P568" s="66"/>
      <c r="Q568" s="66"/>
      <c r="R568" s="2"/>
      <c r="S568" s="2"/>
      <c r="T568" s="2"/>
    </row>
    <row r="569" spans="1:20">
      <c r="A569" s="3"/>
      <c r="B569" s="3"/>
      <c r="C569" s="2"/>
      <c r="D569" s="2"/>
      <c r="E569" s="64"/>
      <c r="F569" s="64"/>
      <c r="G569" s="64"/>
      <c r="H569" s="64"/>
      <c r="I569" s="2"/>
      <c r="J569" s="2"/>
      <c r="K569" s="2"/>
      <c r="L569" s="2"/>
      <c r="M569" s="2"/>
      <c r="N569" s="2"/>
      <c r="O569" s="2"/>
      <c r="P569" s="66"/>
      <c r="Q569" s="66"/>
      <c r="R569" s="2"/>
      <c r="S569" s="2"/>
      <c r="T569" s="2"/>
    </row>
    <row r="570" spans="1:20">
      <c r="A570" s="3"/>
      <c r="B570" s="3"/>
      <c r="C570" s="2"/>
      <c r="D570" s="2"/>
      <c r="E570" s="64"/>
      <c r="F570" s="64"/>
      <c r="G570" s="64"/>
      <c r="H570" s="64"/>
      <c r="I570" s="2"/>
      <c r="J570" s="2"/>
      <c r="K570" s="2"/>
      <c r="L570" s="2"/>
      <c r="M570" s="2"/>
      <c r="N570" s="2"/>
      <c r="O570" s="2"/>
      <c r="P570" s="66"/>
      <c r="Q570" s="66"/>
      <c r="R570" s="2"/>
      <c r="S570" s="2"/>
      <c r="T570" s="2"/>
    </row>
    <row r="571" spans="1:20">
      <c r="A571" s="3"/>
      <c r="B571" s="3"/>
      <c r="C571" s="2"/>
      <c r="D571" s="2"/>
      <c r="E571" s="64"/>
      <c r="F571" s="64"/>
      <c r="G571" s="64"/>
      <c r="H571" s="64"/>
      <c r="I571" s="2"/>
      <c r="J571" s="2"/>
      <c r="K571" s="2"/>
      <c r="L571" s="2"/>
      <c r="M571" s="2"/>
      <c r="N571" s="2"/>
      <c r="O571" s="2"/>
      <c r="P571" s="66"/>
      <c r="Q571" s="66"/>
      <c r="R571" s="2"/>
      <c r="S571" s="2"/>
      <c r="T571" s="2"/>
    </row>
    <row r="572" spans="1:20">
      <c r="A572" s="3"/>
      <c r="B572" s="3"/>
      <c r="C572" s="2"/>
      <c r="D572" s="2"/>
      <c r="E572" s="64"/>
      <c r="F572" s="64"/>
      <c r="G572" s="64"/>
      <c r="H572" s="64"/>
      <c r="I572" s="2"/>
      <c r="J572" s="2"/>
      <c r="K572" s="2"/>
      <c r="L572" s="2"/>
      <c r="M572" s="2"/>
      <c r="N572" s="2"/>
      <c r="O572" s="2"/>
      <c r="P572" s="66"/>
      <c r="Q572" s="66"/>
      <c r="R572" s="2"/>
      <c r="S572" s="2"/>
      <c r="T572" s="2"/>
    </row>
    <row r="573" spans="1:20">
      <c r="A573" s="3"/>
      <c r="B573" s="3"/>
      <c r="C573" s="2"/>
      <c r="D573" s="2"/>
      <c r="E573" s="64"/>
      <c r="F573" s="64"/>
      <c r="G573" s="64"/>
      <c r="H573" s="64"/>
      <c r="I573" s="2"/>
      <c r="J573" s="2"/>
      <c r="K573" s="2"/>
      <c r="L573" s="2"/>
      <c r="M573" s="2"/>
      <c r="N573" s="2"/>
      <c r="O573" s="2"/>
      <c r="P573" s="66"/>
      <c r="Q573" s="66"/>
      <c r="R573" s="2"/>
      <c r="S573" s="2"/>
      <c r="T573" s="2"/>
    </row>
    <row r="574" spans="1:20">
      <c r="A574" s="3"/>
      <c r="B574" s="3"/>
      <c r="C574" s="2"/>
      <c r="D574" s="2"/>
      <c r="E574" s="64"/>
      <c r="F574" s="64"/>
      <c r="G574" s="64"/>
      <c r="H574" s="64"/>
      <c r="I574" s="2"/>
      <c r="J574" s="2"/>
      <c r="K574" s="2"/>
      <c r="L574" s="2"/>
      <c r="M574" s="2"/>
      <c r="N574" s="2"/>
      <c r="O574" s="2"/>
      <c r="P574" s="66"/>
      <c r="Q574" s="66"/>
      <c r="R574" s="2"/>
      <c r="S574" s="2"/>
      <c r="T574" s="2"/>
    </row>
    <row r="575" spans="1:20">
      <c r="A575" s="3"/>
      <c r="B575" s="3"/>
      <c r="C575" s="2"/>
      <c r="D575" s="2"/>
      <c r="E575" s="64"/>
      <c r="F575" s="64"/>
      <c r="G575" s="64"/>
      <c r="H575" s="64"/>
      <c r="I575" s="2"/>
      <c r="J575" s="2"/>
      <c r="K575" s="2"/>
      <c r="L575" s="2"/>
      <c r="M575" s="2"/>
      <c r="N575" s="2"/>
      <c r="O575" s="2"/>
      <c r="P575" s="66"/>
      <c r="Q575" s="66"/>
      <c r="R575" s="2"/>
      <c r="S575" s="2"/>
      <c r="T575" s="2"/>
    </row>
    <row r="576" spans="1:20">
      <c r="A576" s="3"/>
      <c r="B576" s="3"/>
      <c r="C576" s="2"/>
      <c r="D576" s="2"/>
      <c r="E576" s="64"/>
      <c r="F576" s="64"/>
      <c r="G576" s="64"/>
      <c r="H576" s="64"/>
      <c r="I576" s="2"/>
      <c r="J576" s="2"/>
      <c r="K576" s="2"/>
      <c r="L576" s="2"/>
      <c r="M576" s="2"/>
      <c r="N576" s="2"/>
      <c r="O576" s="2"/>
      <c r="P576" s="66"/>
      <c r="Q576" s="66"/>
      <c r="R576" s="2"/>
      <c r="S576" s="2"/>
      <c r="T576" s="2"/>
    </row>
    <row r="577" spans="1:20">
      <c r="A577" s="3"/>
      <c r="B577" s="3"/>
      <c r="C577" s="2"/>
      <c r="D577" s="2"/>
      <c r="E577" s="64"/>
      <c r="F577" s="64"/>
      <c r="G577" s="64"/>
      <c r="H577" s="64"/>
      <c r="I577" s="2"/>
      <c r="J577" s="2"/>
      <c r="K577" s="2"/>
      <c r="L577" s="2"/>
      <c r="M577" s="2"/>
      <c r="N577" s="2"/>
      <c r="O577" s="2"/>
      <c r="P577" s="66"/>
      <c r="Q577" s="66"/>
      <c r="R577" s="2"/>
      <c r="S577" s="2"/>
      <c r="T577" s="2"/>
    </row>
    <row r="578" spans="1:20">
      <c r="A578" s="3"/>
      <c r="B578" s="3"/>
      <c r="C578" s="2"/>
      <c r="D578" s="2"/>
      <c r="E578" s="64"/>
      <c r="F578" s="64"/>
      <c r="G578" s="64"/>
      <c r="H578" s="64"/>
      <c r="I578" s="2"/>
      <c r="J578" s="2"/>
      <c r="K578" s="2"/>
      <c r="L578" s="2"/>
      <c r="M578" s="2"/>
      <c r="N578" s="2"/>
      <c r="O578" s="2"/>
      <c r="P578" s="66"/>
      <c r="Q578" s="66"/>
      <c r="R578" s="2"/>
      <c r="S578" s="2"/>
      <c r="T578" s="2"/>
    </row>
    <row r="579" spans="1:20">
      <c r="A579" s="3"/>
      <c r="B579" s="3"/>
      <c r="C579" s="2"/>
      <c r="D579" s="2"/>
      <c r="E579" s="64"/>
      <c r="F579" s="64"/>
      <c r="G579" s="64"/>
      <c r="H579" s="64"/>
      <c r="I579" s="2"/>
      <c r="J579" s="2"/>
      <c r="K579" s="2"/>
      <c r="L579" s="2"/>
      <c r="M579" s="2"/>
      <c r="N579" s="2"/>
      <c r="O579" s="2"/>
      <c r="P579" s="66"/>
      <c r="Q579" s="66"/>
      <c r="R579" s="2"/>
      <c r="S579" s="2"/>
      <c r="T579" s="2"/>
    </row>
    <row r="580" spans="1:20">
      <c r="A580" s="3"/>
      <c r="B580" s="3"/>
      <c r="C580" s="2"/>
      <c r="D580" s="2"/>
      <c r="E580" s="64"/>
      <c r="F580" s="64"/>
      <c r="G580" s="64"/>
      <c r="H580" s="64"/>
      <c r="I580" s="2"/>
      <c r="J580" s="2"/>
      <c r="K580" s="2"/>
      <c r="L580" s="2"/>
      <c r="M580" s="2"/>
      <c r="N580" s="2"/>
      <c r="O580" s="2"/>
      <c r="P580" s="66"/>
      <c r="Q580" s="66"/>
      <c r="R580" s="2"/>
      <c r="S580" s="2"/>
      <c r="T580" s="2"/>
    </row>
    <row r="581" spans="1:20">
      <c r="A581" s="3"/>
      <c r="B581" s="3"/>
      <c r="C581" s="2"/>
      <c r="D581" s="2"/>
      <c r="E581" s="64"/>
      <c r="F581" s="64"/>
      <c r="G581" s="64"/>
      <c r="H581" s="64"/>
      <c r="I581" s="2"/>
      <c r="J581" s="2"/>
      <c r="K581" s="2"/>
      <c r="L581" s="2"/>
      <c r="M581" s="2"/>
      <c r="N581" s="2"/>
      <c r="O581" s="2"/>
      <c r="P581" s="66"/>
      <c r="Q581" s="66"/>
      <c r="R581" s="2"/>
      <c r="S581" s="2"/>
      <c r="T581" s="2"/>
    </row>
    <row r="582" spans="1:20">
      <c r="A582" s="3"/>
      <c r="B582" s="3"/>
      <c r="C582" s="2"/>
      <c r="D582" s="2"/>
      <c r="E582" s="64"/>
      <c r="F582" s="64"/>
      <c r="G582" s="64"/>
      <c r="H582" s="64"/>
      <c r="I582" s="2"/>
      <c r="J582" s="2"/>
      <c r="K582" s="2"/>
      <c r="L582" s="2"/>
      <c r="M582" s="2"/>
      <c r="N582" s="2"/>
      <c r="O582" s="2"/>
      <c r="P582" s="66"/>
      <c r="Q582" s="66"/>
      <c r="R582" s="2"/>
      <c r="S582" s="2"/>
      <c r="T582" s="2"/>
    </row>
    <row r="583" spans="1:20">
      <c r="A583" s="3"/>
      <c r="B583" s="3"/>
      <c r="C583" s="2"/>
      <c r="D583" s="2"/>
      <c r="E583" s="64"/>
      <c r="F583" s="64"/>
      <c r="G583" s="64"/>
      <c r="H583" s="64"/>
      <c r="I583" s="2"/>
      <c r="J583" s="2"/>
      <c r="K583" s="2"/>
      <c r="L583" s="2"/>
      <c r="M583" s="2"/>
      <c r="N583" s="2"/>
      <c r="O583" s="2"/>
      <c r="P583" s="66"/>
      <c r="Q583" s="66"/>
      <c r="R583" s="2"/>
      <c r="S583" s="2"/>
      <c r="T583" s="2"/>
    </row>
    <row r="584" spans="1:20">
      <c r="A584" s="3"/>
      <c r="B584" s="3"/>
      <c r="C584" s="2"/>
      <c r="D584" s="2"/>
      <c r="E584" s="64"/>
      <c r="F584" s="64"/>
      <c r="G584" s="64"/>
      <c r="H584" s="64"/>
      <c r="I584" s="2"/>
      <c r="J584" s="2"/>
      <c r="K584" s="2"/>
      <c r="L584" s="2"/>
      <c r="M584" s="2"/>
      <c r="N584" s="2"/>
      <c r="O584" s="2"/>
      <c r="P584" s="66"/>
      <c r="Q584" s="66"/>
      <c r="R584" s="2"/>
      <c r="S584" s="2"/>
      <c r="T584" s="2"/>
    </row>
    <row r="585" spans="1:20">
      <c r="A585" s="3"/>
      <c r="B585" s="3"/>
      <c r="C585" s="2"/>
      <c r="D585" s="2"/>
      <c r="E585" s="64"/>
      <c r="F585" s="64"/>
      <c r="G585" s="64"/>
      <c r="H585" s="64"/>
      <c r="I585" s="2"/>
      <c r="J585" s="2"/>
      <c r="K585" s="2"/>
      <c r="L585" s="2"/>
      <c r="M585" s="2"/>
      <c r="N585" s="2"/>
      <c r="O585" s="2"/>
      <c r="P585" s="66"/>
      <c r="Q585" s="66"/>
      <c r="R585" s="2"/>
      <c r="S585" s="2"/>
      <c r="T585" s="2"/>
    </row>
    <row r="586" spans="1:20">
      <c r="A586" s="3"/>
      <c r="B586" s="3"/>
      <c r="C586" s="2"/>
      <c r="D586" s="2"/>
      <c r="E586" s="64"/>
      <c r="F586" s="64"/>
      <c r="G586" s="64"/>
      <c r="H586" s="64"/>
      <c r="I586" s="2"/>
      <c r="J586" s="2"/>
      <c r="K586" s="2"/>
      <c r="L586" s="2"/>
      <c r="M586" s="2"/>
      <c r="N586" s="2"/>
      <c r="O586" s="2"/>
      <c r="P586" s="66"/>
      <c r="Q586" s="66"/>
      <c r="R586" s="2"/>
      <c r="S586" s="2"/>
      <c r="T586" s="2"/>
    </row>
    <row r="587" spans="1:20">
      <c r="A587" s="3"/>
      <c r="B587" s="3"/>
      <c r="C587" s="2"/>
      <c r="D587" s="2"/>
      <c r="E587" s="64"/>
      <c r="F587" s="64"/>
      <c r="G587" s="64"/>
      <c r="H587" s="64"/>
      <c r="I587" s="2"/>
      <c r="J587" s="2"/>
      <c r="K587" s="2"/>
      <c r="L587" s="2"/>
      <c r="M587" s="2"/>
      <c r="N587" s="2"/>
      <c r="O587" s="2"/>
      <c r="P587" s="66"/>
      <c r="Q587" s="66"/>
      <c r="R587" s="2"/>
      <c r="S587" s="2"/>
      <c r="T587" s="2"/>
    </row>
    <row r="588" spans="1:20">
      <c r="A588" s="3"/>
      <c r="B588" s="3"/>
      <c r="C588" s="2"/>
      <c r="D588" s="2"/>
      <c r="E588" s="64"/>
      <c r="F588" s="64"/>
      <c r="G588" s="64"/>
      <c r="H588" s="64"/>
      <c r="I588" s="2"/>
      <c r="J588" s="2"/>
      <c r="K588" s="2"/>
      <c r="L588" s="2"/>
      <c r="M588" s="2"/>
      <c r="N588" s="2"/>
      <c r="O588" s="2"/>
      <c r="P588" s="66"/>
      <c r="Q588" s="66"/>
      <c r="R588" s="2"/>
      <c r="S588" s="2"/>
      <c r="T588" s="2"/>
    </row>
    <row r="589" spans="1:20">
      <c r="A589" s="3"/>
      <c r="B589" s="3"/>
      <c r="C589" s="2"/>
      <c r="D589" s="2"/>
      <c r="E589" s="64"/>
      <c r="F589" s="64"/>
      <c r="G589" s="64"/>
      <c r="H589" s="64"/>
      <c r="I589" s="2"/>
      <c r="J589" s="2"/>
      <c r="K589" s="2"/>
      <c r="L589" s="2"/>
      <c r="M589" s="2"/>
      <c r="N589" s="2"/>
      <c r="O589" s="2"/>
      <c r="P589" s="66"/>
      <c r="Q589" s="66"/>
      <c r="R589" s="2"/>
      <c r="S589" s="2"/>
      <c r="T589" s="2"/>
    </row>
    <row r="590" spans="1:20">
      <c r="A590" s="3"/>
      <c r="B590" s="3"/>
      <c r="C590" s="2"/>
      <c r="D590" s="2"/>
      <c r="E590" s="64"/>
      <c r="F590" s="64"/>
      <c r="G590" s="64"/>
      <c r="H590" s="64"/>
      <c r="I590" s="2"/>
      <c r="J590" s="2"/>
      <c r="K590" s="2"/>
      <c r="L590" s="2"/>
      <c r="M590" s="2"/>
      <c r="N590" s="2"/>
      <c r="O590" s="2"/>
      <c r="P590" s="66"/>
      <c r="Q590" s="66"/>
      <c r="R590" s="2"/>
      <c r="S590" s="2"/>
      <c r="T590" s="2"/>
    </row>
    <row r="591" spans="1:20">
      <c r="A591" s="3"/>
      <c r="B591" s="3"/>
      <c r="C591" s="2"/>
      <c r="D591" s="2"/>
      <c r="E591" s="64"/>
      <c r="F591" s="64"/>
      <c r="G591" s="64"/>
      <c r="H591" s="64"/>
      <c r="I591" s="2"/>
      <c r="J591" s="2"/>
      <c r="K591" s="2"/>
      <c r="L591" s="2"/>
      <c r="M591" s="2"/>
      <c r="N591" s="2"/>
      <c r="O591" s="2"/>
      <c r="P591" s="66"/>
      <c r="Q591" s="66"/>
      <c r="R591" s="2"/>
      <c r="S591" s="2"/>
      <c r="T591" s="2"/>
    </row>
    <row r="592" spans="1:20">
      <c r="A592" s="3"/>
      <c r="B592" s="3"/>
      <c r="C592" s="2"/>
      <c r="D592" s="2"/>
      <c r="E592" s="64"/>
      <c r="F592" s="64"/>
      <c r="G592" s="64"/>
      <c r="H592" s="64"/>
      <c r="I592" s="2"/>
      <c r="J592" s="2"/>
      <c r="K592" s="2"/>
      <c r="L592" s="2"/>
      <c r="M592" s="2"/>
      <c r="N592" s="2"/>
      <c r="O592" s="2"/>
      <c r="P592" s="66"/>
      <c r="Q592" s="66"/>
      <c r="R592" s="2"/>
      <c r="S592" s="2"/>
      <c r="T592" s="2"/>
    </row>
    <row r="593" spans="1:20">
      <c r="A593" s="3"/>
      <c r="B593" s="3"/>
      <c r="C593" s="2"/>
      <c r="D593" s="2"/>
      <c r="E593" s="64"/>
      <c r="F593" s="64"/>
      <c r="G593" s="64"/>
      <c r="H593" s="64"/>
      <c r="I593" s="2"/>
      <c r="J593" s="2"/>
      <c r="K593" s="2"/>
      <c r="L593" s="2"/>
      <c r="M593" s="2"/>
      <c r="N593" s="2"/>
      <c r="O593" s="2"/>
      <c r="P593" s="66"/>
      <c r="Q593" s="66"/>
      <c r="R593" s="2"/>
      <c r="S593" s="2"/>
      <c r="T593" s="2"/>
    </row>
    <row r="594" spans="1:20">
      <c r="A594" s="3"/>
      <c r="B594" s="3"/>
      <c r="C594" s="2"/>
      <c r="D594" s="2"/>
      <c r="E594" s="64"/>
      <c r="F594" s="64"/>
      <c r="G594" s="64"/>
      <c r="H594" s="64"/>
      <c r="I594" s="2"/>
      <c r="J594" s="2"/>
      <c r="K594" s="2"/>
      <c r="L594" s="2"/>
      <c r="M594" s="2"/>
      <c r="N594" s="2"/>
      <c r="O594" s="2"/>
      <c r="P594" s="66"/>
      <c r="Q594" s="66"/>
      <c r="R594" s="2"/>
      <c r="S594" s="2"/>
      <c r="T594" s="2"/>
    </row>
    <row r="595" spans="1:20">
      <c r="A595" s="3"/>
      <c r="B595" s="3"/>
      <c r="C595" s="2"/>
      <c r="D595" s="2"/>
      <c r="E595" s="64"/>
      <c r="F595" s="64"/>
      <c r="G595" s="64"/>
      <c r="H595" s="64"/>
      <c r="I595" s="2"/>
      <c r="J595" s="2"/>
      <c r="K595" s="2"/>
      <c r="L595" s="2"/>
      <c r="M595" s="2"/>
      <c r="N595" s="2"/>
      <c r="O595" s="2"/>
      <c r="P595" s="66"/>
      <c r="Q595" s="66"/>
      <c r="R595" s="2"/>
      <c r="S595" s="2"/>
      <c r="T595" s="2"/>
    </row>
    <row r="596" spans="1:20">
      <c r="A596" s="3"/>
      <c r="B596" s="3"/>
      <c r="C596" s="2"/>
      <c r="D596" s="2"/>
      <c r="E596" s="64"/>
      <c r="F596" s="64"/>
      <c r="G596" s="64"/>
      <c r="H596" s="64"/>
      <c r="I596" s="2"/>
      <c r="J596" s="2"/>
      <c r="K596" s="2"/>
      <c r="L596" s="2"/>
      <c r="M596" s="2"/>
      <c r="N596" s="2"/>
      <c r="O596" s="2"/>
      <c r="P596" s="66"/>
      <c r="Q596" s="66"/>
      <c r="R596" s="2"/>
      <c r="S596" s="2"/>
      <c r="T596" s="2"/>
    </row>
    <row r="597" spans="1:20">
      <c r="A597" s="3"/>
      <c r="B597" s="3"/>
      <c r="C597" s="2"/>
      <c r="D597" s="2"/>
      <c r="E597" s="64"/>
      <c r="F597" s="64"/>
      <c r="G597" s="64"/>
      <c r="H597" s="64"/>
      <c r="I597" s="2"/>
      <c r="J597" s="2"/>
      <c r="K597" s="2"/>
      <c r="L597" s="2"/>
      <c r="M597" s="2"/>
      <c r="N597" s="2"/>
      <c r="O597" s="2"/>
      <c r="P597" s="66"/>
      <c r="Q597" s="66"/>
      <c r="R597" s="2"/>
      <c r="S597" s="2"/>
      <c r="T597" s="2"/>
    </row>
    <row r="598" spans="1:20">
      <c r="A598" s="3"/>
      <c r="B598" s="3"/>
      <c r="C598" s="2"/>
      <c r="D598" s="2"/>
      <c r="E598" s="64"/>
      <c r="F598" s="64"/>
      <c r="G598" s="64"/>
      <c r="H598" s="64"/>
      <c r="I598" s="2"/>
      <c r="J598" s="2"/>
      <c r="K598" s="2"/>
      <c r="L598" s="2"/>
      <c r="M598" s="2"/>
      <c r="N598" s="2"/>
      <c r="O598" s="2"/>
      <c r="P598" s="66"/>
      <c r="Q598" s="66"/>
      <c r="R598" s="2"/>
      <c r="S598" s="2"/>
      <c r="T598" s="2"/>
    </row>
    <row r="599" spans="1:20">
      <c r="A599" s="3"/>
      <c r="B599" s="3"/>
      <c r="C599" s="2"/>
      <c r="D599" s="2"/>
      <c r="E599" s="64"/>
      <c r="F599" s="64"/>
      <c r="G599" s="64"/>
      <c r="H599" s="64"/>
      <c r="I599" s="2"/>
      <c r="J599" s="2"/>
      <c r="K599" s="2"/>
      <c r="L599" s="2"/>
      <c r="M599" s="2"/>
      <c r="N599" s="2"/>
      <c r="O599" s="2"/>
      <c r="P599" s="66"/>
      <c r="Q599" s="66"/>
      <c r="R599" s="2"/>
      <c r="S599" s="2"/>
      <c r="T599" s="2"/>
    </row>
    <row r="600" spans="1:20">
      <c r="A600" s="3"/>
      <c r="B600" s="3"/>
      <c r="C600" s="2"/>
      <c r="D600" s="2"/>
      <c r="E600" s="64"/>
      <c r="F600" s="64"/>
      <c r="G600" s="64"/>
      <c r="H600" s="64"/>
      <c r="I600" s="2"/>
      <c r="J600" s="2"/>
      <c r="K600" s="2"/>
      <c r="L600" s="2"/>
      <c r="M600" s="2"/>
      <c r="N600" s="2"/>
      <c r="O600" s="2"/>
      <c r="P600" s="66"/>
      <c r="Q600" s="66"/>
      <c r="R600" s="2"/>
      <c r="S600" s="2"/>
      <c r="T600" s="2"/>
    </row>
    <row r="601" spans="1:20">
      <c r="A601" s="3"/>
      <c r="B601" s="3"/>
      <c r="C601" s="2"/>
      <c r="D601" s="2"/>
      <c r="E601" s="64"/>
      <c r="F601" s="64"/>
      <c r="G601" s="64"/>
      <c r="H601" s="64"/>
      <c r="I601" s="2"/>
      <c r="J601" s="2"/>
      <c r="K601" s="2"/>
      <c r="L601" s="2"/>
      <c r="M601" s="2"/>
      <c r="N601" s="2"/>
      <c r="O601" s="2"/>
      <c r="P601" s="66"/>
      <c r="Q601" s="66"/>
      <c r="R601" s="2"/>
      <c r="S601" s="2"/>
      <c r="T601" s="2"/>
    </row>
    <row r="602" spans="1:20">
      <c r="A602" s="3"/>
      <c r="B602" s="3"/>
      <c r="C602" s="2"/>
      <c r="D602" s="2"/>
      <c r="E602" s="64"/>
      <c r="F602" s="64"/>
      <c r="G602" s="64"/>
      <c r="H602" s="64"/>
      <c r="I602" s="2"/>
      <c r="J602" s="2"/>
      <c r="K602" s="2"/>
      <c r="L602" s="2"/>
      <c r="M602" s="2"/>
      <c r="N602" s="2"/>
      <c r="O602" s="2"/>
      <c r="P602" s="66"/>
      <c r="Q602" s="66"/>
      <c r="R602" s="2"/>
      <c r="S602" s="2"/>
      <c r="T602" s="2"/>
    </row>
    <row r="603" spans="1:20">
      <c r="A603" s="3"/>
      <c r="B603" s="3"/>
      <c r="C603" s="2"/>
      <c r="D603" s="2"/>
      <c r="E603" s="64"/>
      <c r="F603" s="64"/>
      <c r="G603" s="64"/>
      <c r="H603" s="64"/>
      <c r="I603" s="2"/>
      <c r="J603" s="2"/>
      <c r="K603" s="2"/>
      <c r="L603" s="2"/>
      <c r="M603" s="2"/>
      <c r="N603" s="2"/>
      <c r="O603" s="2"/>
      <c r="P603" s="66"/>
      <c r="Q603" s="66"/>
      <c r="R603" s="2"/>
      <c r="S603" s="2"/>
      <c r="T603" s="2"/>
    </row>
    <row r="604" spans="1:20">
      <c r="A604" s="3"/>
      <c r="B604" s="3"/>
      <c r="C604" s="2"/>
      <c r="D604" s="2"/>
      <c r="E604" s="64"/>
      <c r="F604" s="64"/>
      <c r="G604" s="64"/>
      <c r="H604" s="64"/>
      <c r="I604" s="2"/>
      <c r="J604" s="2"/>
      <c r="K604" s="2"/>
      <c r="L604" s="2"/>
      <c r="M604" s="2"/>
      <c r="N604" s="2"/>
      <c r="O604" s="2"/>
      <c r="P604" s="66"/>
      <c r="Q604" s="66"/>
      <c r="R604" s="2"/>
      <c r="S604" s="2"/>
      <c r="T604" s="2"/>
    </row>
    <row r="605" spans="1:20">
      <c r="A605" s="3"/>
      <c r="B605" s="3"/>
      <c r="C605" s="2"/>
      <c r="D605" s="2"/>
      <c r="E605" s="64"/>
      <c r="F605" s="64"/>
      <c r="G605" s="64"/>
      <c r="H605" s="64"/>
      <c r="I605" s="2"/>
      <c r="J605" s="2"/>
      <c r="K605" s="2"/>
      <c r="L605" s="2"/>
      <c r="M605" s="2"/>
      <c r="N605" s="2"/>
      <c r="O605" s="2"/>
      <c r="P605" s="66"/>
      <c r="Q605" s="66"/>
      <c r="R605" s="2"/>
      <c r="S605" s="2"/>
      <c r="T605" s="2"/>
    </row>
    <row r="606" spans="1:20">
      <c r="A606" s="3"/>
      <c r="B606" s="3"/>
      <c r="C606" s="2"/>
      <c r="D606" s="2"/>
      <c r="E606" s="64"/>
      <c r="F606" s="64"/>
      <c r="G606" s="64"/>
      <c r="H606" s="64"/>
      <c r="I606" s="2"/>
      <c r="J606" s="2"/>
      <c r="K606" s="2"/>
      <c r="L606" s="2"/>
      <c r="M606" s="2"/>
      <c r="N606" s="2"/>
      <c r="O606" s="2"/>
      <c r="P606" s="66"/>
      <c r="Q606" s="66"/>
      <c r="R606" s="2"/>
      <c r="S606" s="2"/>
      <c r="T606" s="2"/>
    </row>
    <row r="607" spans="1:20">
      <c r="A607" s="3"/>
      <c r="B607" s="3"/>
      <c r="C607" s="2"/>
      <c r="D607" s="2"/>
      <c r="E607" s="64"/>
      <c r="F607" s="64"/>
      <c r="G607" s="64"/>
      <c r="H607" s="64"/>
      <c r="I607" s="2"/>
      <c r="J607" s="2"/>
      <c r="K607" s="2"/>
      <c r="L607" s="2"/>
      <c r="M607" s="2"/>
      <c r="N607" s="2"/>
      <c r="O607" s="2"/>
      <c r="P607" s="66"/>
      <c r="Q607" s="66"/>
      <c r="R607" s="2"/>
      <c r="S607" s="2"/>
      <c r="T607" s="2"/>
    </row>
    <row r="608" spans="1:20">
      <c r="A608" s="3"/>
      <c r="B608" s="3"/>
      <c r="C608" s="2"/>
      <c r="D608" s="2"/>
      <c r="E608" s="64"/>
      <c r="F608" s="64"/>
      <c r="G608" s="64"/>
      <c r="H608" s="64"/>
      <c r="I608" s="2"/>
      <c r="J608" s="2"/>
      <c r="K608" s="2"/>
      <c r="L608" s="2"/>
      <c r="M608" s="2"/>
      <c r="N608" s="2"/>
      <c r="O608" s="2"/>
      <c r="P608" s="66"/>
      <c r="Q608" s="66"/>
      <c r="R608" s="2"/>
      <c r="S608" s="2"/>
      <c r="T608" s="2"/>
    </row>
    <row r="609" spans="1:20">
      <c r="A609" s="3"/>
      <c r="B609" s="3"/>
      <c r="C609" s="2"/>
      <c r="D609" s="2"/>
      <c r="E609" s="64"/>
      <c r="F609" s="64"/>
      <c r="G609" s="64"/>
      <c r="H609" s="64"/>
      <c r="I609" s="2"/>
      <c r="J609" s="2"/>
      <c r="K609" s="2"/>
      <c r="L609" s="2"/>
      <c r="M609" s="2"/>
      <c r="N609" s="2"/>
      <c r="O609" s="2"/>
      <c r="P609" s="66"/>
      <c r="Q609" s="66"/>
      <c r="R609" s="2"/>
      <c r="S609" s="2"/>
      <c r="T609" s="2"/>
    </row>
    <row r="610" spans="1:20">
      <c r="A610" s="3"/>
      <c r="B610" s="3"/>
      <c r="C610" s="2"/>
      <c r="D610" s="2"/>
      <c r="E610" s="64"/>
      <c r="F610" s="64"/>
      <c r="G610" s="64"/>
      <c r="H610" s="64"/>
      <c r="I610" s="2"/>
      <c r="J610" s="2"/>
      <c r="K610" s="2"/>
      <c r="L610" s="2"/>
      <c r="M610" s="2"/>
      <c r="N610" s="2"/>
      <c r="O610" s="2"/>
      <c r="P610" s="66"/>
      <c r="Q610" s="66"/>
      <c r="R610" s="2"/>
      <c r="S610" s="2"/>
      <c r="T610" s="2"/>
    </row>
    <row r="611" spans="1:20">
      <c r="A611" s="3"/>
      <c r="B611" s="3"/>
      <c r="C611" s="2"/>
      <c r="D611" s="2"/>
      <c r="E611" s="64"/>
      <c r="F611" s="64"/>
      <c r="G611" s="64"/>
      <c r="H611" s="64"/>
      <c r="I611" s="2"/>
      <c r="J611" s="2"/>
      <c r="K611" s="2"/>
      <c r="L611" s="2"/>
      <c r="M611" s="2"/>
      <c r="N611" s="2"/>
      <c r="O611" s="2"/>
      <c r="P611" s="66"/>
      <c r="Q611" s="66"/>
      <c r="R611" s="2"/>
      <c r="S611" s="2"/>
      <c r="T611" s="2"/>
    </row>
    <row r="612" spans="1:20">
      <c r="A612" s="3"/>
      <c r="B612" s="3"/>
      <c r="C612" s="2"/>
      <c r="D612" s="2"/>
      <c r="E612" s="64"/>
      <c r="F612" s="64"/>
      <c r="G612" s="64"/>
      <c r="H612" s="64"/>
      <c r="I612" s="2"/>
      <c r="J612" s="2"/>
      <c r="K612" s="2"/>
      <c r="L612" s="2"/>
      <c r="M612" s="2"/>
      <c r="N612" s="2"/>
      <c r="O612" s="2"/>
      <c r="P612" s="66"/>
      <c r="Q612" s="66"/>
      <c r="R612" s="2"/>
      <c r="S612" s="2"/>
      <c r="T612" s="2"/>
    </row>
    <row r="613" spans="1:20">
      <c r="A613" s="3"/>
      <c r="B613" s="3"/>
      <c r="C613" s="2"/>
      <c r="D613" s="2"/>
      <c r="E613" s="64"/>
      <c r="F613" s="64"/>
      <c r="G613" s="64"/>
      <c r="H613" s="64"/>
      <c r="I613" s="2"/>
      <c r="J613" s="2"/>
      <c r="K613" s="2"/>
      <c r="L613" s="2"/>
      <c r="M613" s="2"/>
      <c r="N613" s="2"/>
      <c r="O613" s="2"/>
      <c r="P613" s="66"/>
      <c r="Q613" s="66"/>
      <c r="R613" s="2"/>
      <c r="S613" s="2"/>
      <c r="T613" s="2"/>
    </row>
    <row r="614" spans="1:20">
      <c r="A614" s="3"/>
      <c r="B614" s="3"/>
      <c r="C614" s="2"/>
      <c r="D614" s="2"/>
      <c r="E614" s="64"/>
      <c r="F614" s="64"/>
      <c r="G614" s="64"/>
      <c r="H614" s="64"/>
      <c r="I614" s="2"/>
      <c r="J614" s="2"/>
      <c r="K614" s="2"/>
      <c r="L614" s="2"/>
      <c r="M614" s="2"/>
      <c r="N614" s="2"/>
      <c r="O614" s="2"/>
      <c r="P614" s="66"/>
      <c r="Q614" s="66"/>
      <c r="R614" s="2"/>
      <c r="S614" s="2"/>
      <c r="T614" s="2"/>
    </row>
    <row r="615" spans="1:20">
      <c r="A615" s="3"/>
      <c r="B615" s="3"/>
      <c r="C615" s="2"/>
      <c r="D615" s="2"/>
      <c r="E615" s="64"/>
      <c r="F615" s="64"/>
      <c r="G615" s="64"/>
      <c r="H615" s="64"/>
      <c r="I615" s="2"/>
      <c r="J615" s="2"/>
      <c r="K615" s="2"/>
      <c r="L615" s="2"/>
      <c r="M615" s="2"/>
      <c r="N615" s="2"/>
      <c r="O615" s="2"/>
      <c r="P615" s="66"/>
      <c r="Q615" s="66"/>
      <c r="R615" s="2"/>
      <c r="S615" s="2"/>
      <c r="T615" s="2"/>
    </row>
    <row r="616" spans="1:20">
      <c r="A616" s="3"/>
      <c r="B616" s="3"/>
      <c r="C616" s="2"/>
      <c r="D616" s="2"/>
      <c r="E616" s="64"/>
      <c r="F616" s="64"/>
      <c r="G616" s="64"/>
      <c r="H616" s="64"/>
      <c r="I616" s="2"/>
      <c r="J616" s="2"/>
      <c r="K616" s="2"/>
      <c r="L616" s="2"/>
      <c r="M616" s="2"/>
      <c r="N616" s="2"/>
      <c r="O616" s="2"/>
      <c r="P616" s="66"/>
      <c r="Q616" s="66"/>
      <c r="R616" s="2"/>
      <c r="S616" s="2"/>
      <c r="T616" s="2"/>
    </row>
    <row r="617" spans="1:20">
      <c r="A617" s="3"/>
      <c r="B617" s="3"/>
      <c r="C617" s="2"/>
      <c r="D617" s="2"/>
      <c r="E617" s="64"/>
      <c r="F617" s="64"/>
      <c r="G617" s="64"/>
      <c r="H617" s="64"/>
      <c r="I617" s="2"/>
      <c r="J617" s="2"/>
      <c r="K617" s="2"/>
      <c r="L617" s="2"/>
      <c r="M617" s="2"/>
      <c r="N617" s="2"/>
      <c r="O617" s="2"/>
      <c r="P617" s="66"/>
      <c r="Q617" s="66"/>
      <c r="R617" s="2"/>
      <c r="S617" s="2"/>
      <c r="T617" s="2"/>
    </row>
    <row r="618" spans="1:20">
      <c r="A618" s="3"/>
      <c r="B618" s="3"/>
      <c r="C618" s="2"/>
      <c r="D618" s="2"/>
      <c r="E618" s="64"/>
      <c r="F618" s="64"/>
      <c r="G618" s="64"/>
      <c r="H618" s="64"/>
      <c r="I618" s="2"/>
      <c r="J618" s="2"/>
      <c r="K618" s="2"/>
      <c r="L618" s="2"/>
      <c r="M618" s="2"/>
      <c r="N618" s="2"/>
      <c r="O618" s="2"/>
      <c r="P618" s="66"/>
      <c r="Q618" s="66"/>
      <c r="R618" s="2"/>
      <c r="S618" s="2"/>
      <c r="T618" s="2"/>
    </row>
    <row r="619" spans="1:20">
      <c r="A619" s="3"/>
      <c r="B619" s="3"/>
      <c r="C619" s="2"/>
      <c r="D619" s="2"/>
      <c r="E619" s="64"/>
      <c r="F619" s="64"/>
      <c r="G619" s="64"/>
      <c r="H619" s="64"/>
      <c r="I619" s="2"/>
      <c r="J619" s="2"/>
      <c r="K619" s="2"/>
      <c r="L619" s="2"/>
      <c r="M619" s="2"/>
      <c r="N619" s="2"/>
      <c r="O619" s="2"/>
      <c r="P619" s="66"/>
      <c r="Q619" s="66"/>
      <c r="R619" s="2"/>
      <c r="S619" s="2"/>
      <c r="T619" s="2"/>
    </row>
    <row r="620" spans="1:20">
      <c r="A620" s="3"/>
      <c r="B620" s="3"/>
      <c r="C620" s="2"/>
      <c r="D620" s="2"/>
      <c r="E620" s="64"/>
      <c r="F620" s="64"/>
      <c r="G620" s="64"/>
      <c r="H620" s="64"/>
      <c r="I620" s="2"/>
      <c r="J620" s="2"/>
      <c r="K620" s="2"/>
      <c r="L620" s="2"/>
      <c r="M620" s="2"/>
      <c r="N620" s="2"/>
      <c r="O620" s="2"/>
      <c r="P620" s="66"/>
      <c r="Q620" s="66"/>
      <c r="R620" s="2"/>
      <c r="S620" s="2"/>
      <c r="T620" s="2"/>
    </row>
    <row r="621" spans="1:20">
      <c r="A621" s="3"/>
      <c r="B621" s="3"/>
      <c r="C621" s="2"/>
      <c r="D621" s="2"/>
      <c r="E621" s="64"/>
      <c r="F621" s="64"/>
      <c r="G621" s="64"/>
      <c r="H621" s="64"/>
      <c r="I621" s="2"/>
      <c r="J621" s="2"/>
      <c r="K621" s="2"/>
      <c r="L621" s="2"/>
      <c r="M621" s="2"/>
      <c r="N621" s="2"/>
      <c r="O621" s="2"/>
      <c r="P621" s="66"/>
      <c r="Q621" s="66"/>
      <c r="R621" s="2"/>
      <c r="S621" s="2"/>
      <c r="T621" s="2"/>
    </row>
    <row r="622" spans="1:20">
      <c r="A622" s="3"/>
      <c r="B622" s="3"/>
      <c r="C622" s="2"/>
      <c r="D622" s="2"/>
      <c r="E622" s="64"/>
      <c r="F622" s="64"/>
      <c r="G622" s="64"/>
      <c r="H622" s="64"/>
      <c r="I622" s="2"/>
      <c r="J622" s="2"/>
      <c r="K622" s="2"/>
      <c r="L622" s="2"/>
      <c r="M622" s="2"/>
      <c r="N622" s="2"/>
      <c r="O622" s="2"/>
      <c r="P622" s="66"/>
      <c r="Q622" s="66"/>
      <c r="R622" s="2"/>
      <c r="S622" s="2"/>
      <c r="T622" s="2"/>
    </row>
    <row r="623" spans="1:20">
      <c r="A623" s="3"/>
      <c r="B623" s="3"/>
      <c r="C623" s="2"/>
      <c r="D623" s="2"/>
      <c r="E623" s="64"/>
      <c r="F623" s="64"/>
      <c r="G623" s="64"/>
      <c r="H623" s="64"/>
      <c r="I623" s="2"/>
      <c r="J623" s="2"/>
      <c r="K623" s="2"/>
      <c r="L623" s="2"/>
      <c r="M623" s="2"/>
      <c r="N623" s="2"/>
      <c r="O623" s="2"/>
      <c r="P623" s="66"/>
      <c r="Q623" s="66"/>
      <c r="R623" s="2"/>
      <c r="S623" s="2"/>
      <c r="T623" s="2"/>
    </row>
    <row r="624" spans="1:20">
      <c r="A624" s="3"/>
      <c r="B624" s="3"/>
      <c r="C624" s="2"/>
      <c r="D624" s="2"/>
      <c r="E624" s="64"/>
      <c r="F624" s="64"/>
      <c r="G624" s="64"/>
      <c r="H624" s="64"/>
      <c r="I624" s="2"/>
      <c r="J624" s="2"/>
      <c r="K624" s="2"/>
      <c r="L624" s="2"/>
      <c r="M624" s="2"/>
      <c r="N624" s="2"/>
      <c r="O624" s="2"/>
      <c r="P624" s="66"/>
      <c r="Q624" s="66"/>
      <c r="R624" s="2"/>
      <c r="S624" s="2"/>
      <c r="T624" s="2"/>
    </row>
    <row r="625" spans="1:20">
      <c r="A625" s="3"/>
      <c r="B625" s="3"/>
      <c r="C625" s="2"/>
      <c r="D625" s="2"/>
      <c r="E625" s="64"/>
      <c r="F625" s="64"/>
      <c r="G625" s="64"/>
      <c r="H625" s="64"/>
      <c r="I625" s="2"/>
      <c r="J625" s="2"/>
      <c r="K625" s="2"/>
      <c r="L625" s="2"/>
      <c r="M625" s="2"/>
      <c r="N625" s="2"/>
      <c r="O625" s="2"/>
      <c r="P625" s="66"/>
      <c r="Q625" s="66"/>
      <c r="R625" s="2"/>
      <c r="S625" s="2"/>
      <c r="T625" s="2"/>
    </row>
    <row r="626" spans="1:20">
      <c r="A626" s="3"/>
      <c r="B626" s="3"/>
      <c r="C626" s="2"/>
      <c r="D626" s="2"/>
      <c r="E626" s="64"/>
      <c r="F626" s="64"/>
      <c r="G626" s="64"/>
      <c r="H626" s="64"/>
      <c r="I626" s="2"/>
      <c r="J626" s="2"/>
      <c r="K626" s="2"/>
      <c r="L626" s="2"/>
      <c r="M626" s="2"/>
      <c r="N626" s="2"/>
      <c r="O626" s="2"/>
      <c r="P626" s="66"/>
      <c r="Q626" s="66"/>
      <c r="R626" s="2"/>
      <c r="S626" s="2"/>
      <c r="T626" s="2"/>
    </row>
    <row r="627" spans="1:20">
      <c r="A627" s="3"/>
      <c r="B627" s="3"/>
      <c r="C627" s="2"/>
      <c r="D627" s="2"/>
      <c r="E627" s="64"/>
      <c r="F627" s="64"/>
      <c r="G627" s="64"/>
      <c r="H627" s="64"/>
      <c r="I627" s="2"/>
      <c r="J627" s="2"/>
      <c r="K627" s="2"/>
      <c r="L627" s="2"/>
      <c r="M627" s="2"/>
      <c r="N627" s="2"/>
      <c r="O627" s="2"/>
      <c r="P627" s="66"/>
      <c r="Q627" s="66"/>
      <c r="R627" s="2"/>
      <c r="S627" s="2"/>
      <c r="T627" s="2"/>
    </row>
    <row r="628" spans="1:20">
      <c r="A628" s="3"/>
      <c r="B628" s="3"/>
      <c r="C628" s="2"/>
      <c r="D628" s="2"/>
      <c r="E628" s="64"/>
      <c r="F628" s="64"/>
      <c r="G628" s="64"/>
      <c r="H628" s="64"/>
      <c r="I628" s="2"/>
      <c r="J628" s="2"/>
      <c r="K628" s="2"/>
      <c r="L628" s="2"/>
      <c r="M628" s="2"/>
      <c r="N628" s="2"/>
      <c r="O628" s="2"/>
      <c r="P628" s="66"/>
      <c r="Q628" s="66"/>
      <c r="R628" s="2"/>
      <c r="S628" s="2"/>
      <c r="T628" s="2"/>
    </row>
    <row r="629" spans="1:20">
      <c r="A629" s="3"/>
      <c r="B629" s="3"/>
      <c r="C629" s="2"/>
      <c r="D629" s="2"/>
      <c r="E629" s="64"/>
      <c r="F629" s="64"/>
      <c r="G629" s="64"/>
      <c r="H629" s="64"/>
      <c r="I629" s="2"/>
      <c r="J629" s="2"/>
      <c r="K629" s="2"/>
      <c r="L629" s="2"/>
      <c r="M629" s="2"/>
      <c r="N629" s="2"/>
      <c r="O629" s="2"/>
      <c r="P629" s="66"/>
      <c r="Q629" s="66"/>
      <c r="R629" s="2"/>
      <c r="S629" s="2"/>
      <c r="T629" s="2"/>
    </row>
    <row r="630" spans="1:20">
      <c r="A630" s="3"/>
      <c r="B630" s="3"/>
      <c r="C630" s="2"/>
      <c r="D630" s="2"/>
      <c r="E630" s="64"/>
      <c r="F630" s="64"/>
      <c r="G630" s="64"/>
      <c r="H630" s="64"/>
      <c r="I630" s="2"/>
      <c r="J630" s="2"/>
      <c r="K630" s="2"/>
      <c r="L630" s="2"/>
      <c r="M630" s="2"/>
      <c r="N630" s="2"/>
      <c r="O630" s="2"/>
      <c r="P630" s="66"/>
      <c r="Q630" s="66"/>
      <c r="R630" s="2"/>
      <c r="S630" s="2"/>
      <c r="T630" s="2"/>
    </row>
    <row r="631" spans="1:20">
      <c r="A631" s="3"/>
      <c r="B631" s="3"/>
      <c r="C631" s="2"/>
      <c r="D631" s="2"/>
      <c r="E631" s="64"/>
      <c r="F631" s="64"/>
      <c r="G631" s="64"/>
      <c r="H631" s="64"/>
      <c r="I631" s="2"/>
      <c r="J631" s="2"/>
      <c r="K631" s="2"/>
      <c r="L631" s="2"/>
      <c r="M631" s="2"/>
      <c r="N631" s="2"/>
      <c r="O631" s="2"/>
      <c r="P631" s="66"/>
      <c r="Q631" s="66"/>
      <c r="R631" s="2"/>
      <c r="S631" s="2"/>
      <c r="T631" s="2"/>
    </row>
    <row r="632" spans="1:20">
      <c r="A632" s="3"/>
      <c r="B632" s="3"/>
      <c r="C632" s="2"/>
      <c r="D632" s="2"/>
      <c r="E632" s="64"/>
      <c r="F632" s="64"/>
      <c r="G632" s="64"/>
      <c r="H632" s="64"/>
      <c r="I632" s="2"/>
      <c r="J632" s="2"/>
      <c r="K632" s="2"/>
      <c r="L632" s="2"/>
      <c r="M632" s="2"/>
      <c r="N632" s="2"/>
      <c r="O632" s="2"/>
      <c r="P632" s="66"/>
      <c r="Q632" s="66"/>
      <c r="R632" s="2"/>
      <c r="S632" s="2"/>
      <c r="T632" s="2"/>
    </row>
    <row r="633" spans="1:20">
      <c r="A633" s="3"/>
      <c r="B633" s="3"/>
      <c r="C633" s="2"/>
      <c r="D633" s="2"/>
      <c r="E633" s="64"/>
      <c r="F633" s="64"/>
      <c r="G633" s="64"/>
      <c r="H633" s="64"/>
      <c r="I633" s="2"/>
      <c r="J633" s="2"/>
      <c r="K633" s="2"/>
      <c r="L633" s="2"/>
      <c r="M633" s="2"/>
      <c r="N633" s="2"/>
      <c r="O633" s="2"/>
      <c r="P633" s="66"/>
      <c r="Q633" s="66"/>
      <c r="R633" s="2"/>
      <c r="S633" s="2"/>
      <c r="T633" s="2"/>
    </row>
    <row r="634" spans="1:20">
      <c r="A634" s="3"/>
      <c r="B634" s="3"/>
      <c r="C634" s="2"/>
      <c r="D634" s="2"/>
      <c r="E634" s="64"/>
      <c r="F634" s="64"/>
      <c r="G634" s="64"/>
      <c r="H634" s="64"/>
      <c r="I634" s="2"/>
      <c r="J634" s="2"/>
      <c r="K634" s="2"/>
      <c r="L634" s="2"/>
      <c r="M634" s="2"/>
      <c r="N634" s="2"/>
      <c r="O634" s="2"/>
      <c r="P634" s="66"/>
      <c r="Q634" s="66"/>
      <c r="R634" s="2"/>
      <c r="S634" s="2"/>
      <c r="T634" s="2"/>
    </row>
    <row r="635" spans="1:20">
      <c r="A635" s="3"/>
      <c r="B635" s="3"/>
      <c r="C635" s="2"/>
      <c r="D635" s="2"/>
      <c r="E635" s="64"/>
      <c r="F635" s="64"/>
      <c r="G635" s="64"/>
      <c r="H635" s="64"/>
      <c r="I635" s="2"/>
      <c r="J635" s="2"/>
      <c r="K635" s="2"/>
      <c r="L635" s="2"/>
      <c r="M635" s="2"/>
      <c r="N635" s="2"/>
      <c r="O635" s="2"/>
      <c r="P635" s="66"/>
      <c r="Q635" s="66"/>
      <c r="R635" s="2"/>
      <c r="S635" s="2"/>
      <c r="T635" s="2"/>
    </row>
    <row r="636" spans="1:20">
      <c r="A636" s="3"/>
      <c r="B636" s="3"/>
      <c r="C636" s="2"/>
      <c r="D636" s="2"/>
      <c r="E636" s="64"/>
      <c r="F636" s="64"/>
      <c r="G636" s="64"/>
      <c r="H636" s="64"/>
      <c r="I636" s="2"/>
      <c r="J636" s="2"/>
      <c r="K636" s="2"/>
      <c r="L636" s="2"/>
      <c r="M636" s="2"/>
      <c r="N636" s="2"/>
      <c r="O636" s="2"/>
      <c r="P636" s="66"/>
      <c r="Q636" s="66"/>
      <c r="R636" s="2"/>
      <c r="S636" s="2"/>
      <c r="T636" s="2"/>
    </row>
    <row r="637" spans="1:20">
      <c r="A637" s="3"/>
      <c r="B637" s="3"/>
      <c r="C637" s="2"/>
      <c r="D637" s="2"/>
      <c r="E637" s="64"/>
      <c r="F637" s="64"/>
      <c r="G637" s="64"/>
      <c r="H637" s="64"/>
      <c r="I637" s="2"/>
      <c r="J637" s="2"/>
      <c r="K637" s="2"/>
      <c r="L637" s="2"/>
      <c r="M637" s="2"/>
      <c r="N637" s="2"/>
      <c r="O637" s="2"/>
      <c r="P637" s="66"/>
      <c r="Q637" s="66"/>
      <c r="R637" s="2"/>
      <c r="S637" s="2"/>
      <c r="T637" s="2"/>
    </row>
    <row r="638" spans="1:20">
      <c r="A638" s="3"/>
      <c r="B638" s="3"/>
      <c r="C638" s="2"/>
      <c r="D638" s="2"/>
      <c r="E638" s="64"/>
      <c r="F638" s="64"/>
      <c r="G638" s="64"/>
      <c r="H638" s="64"/>
      <c r="I638" s="2"/>
      <c r="J638" s="2"/>
      <c r="K638" s="2"/>
      <c r="L638" s="2"/>
      <c r="M638" s="2"/>
      <c r="N638" s="2"/>
      <c r="O638" s="2"/>
      <c r="P638" s="66"/>
      <c r="Q638" s="66"/>
      <c r="R638" s="2"/>
      <c r="S638" s="2"/>
      <c r="T638" s="2"/>
    </row>
    <row r="639" spans="1:20">
      <c r="A639" s="3"/>
      <c r="B639" s="3"/>
      <c r="C639" s="2"/>
      <c r="D639" s="2"/>
      <c r="E639" s="64"/>
      <c r="F639" s="64"/>
      <c r="G639" s="64"/>
      <c r="H639" s="64"/>
      <c r="I639" s="2"/>
      <c r="J639" s="2"/>
      <c r="K639" s="2"/>
      <c r="L639" s="2"/>
      <c r="M639" s="2"/>
      <c r="N639" s="2"/>
      <c r="O639" s="2"/>
      <c r="P639" s="66"/>
      <c r="Q639" s="66"/>
      <c r="R639" s="2"/>
      <c r="S639" s="2"/>
      <c r="T639" s="2"/>
    </row>
    <row r="640" spans="1:20">
      <c r="A640" s="3"/>
      <c r="B640" s="3"/>
      <c r="C640" s="2"/>
      <c r="D640" s="2"/>
      <c r="E640" s="64"/>
      <c r="F640" s="64"/>
      <c r="G640" s="64"/>
      <c r="H640" s="64"/>
      <c r="I640" s="2"/>
      <c r="J640" s="2"/>
      <c r="K640" s="2"/>
      <c r="L640" s="2"/>
      <c r="M640" s="2"/>
      <c r="N640" s="2"/>
      <c r="O640" s="2"/>
      <c r="P640" s="66"/>
      <c r="Q640" s="66"/>
      <c r="R640" s="2"/>
      <c r="S640" s="2"/>
      <c r="T640" s="2"/>
    </row>
    <row r="641" spans="1:20">
      <c r="A641" s="3"/>
      <c r="B641" s="3"/>
      <c r="C641" s="2"/>
      <c r="D641" s="2"/>
      <c r="E641" s="64"/>
      <c r="F641" s="64"/>
      <c r="G641" s="64"/>
      <c r="H641" s="64"/>
      <c r="I641" s="2"/>
      <c r="J641" s="2"/>
      <c r="K641" s="2"/>
      <c r="L641" s="2"/>
      <c r="M641" s="2"/>
      <c r="N641" s="2"/>
      <c r="O641" s="2"/>
      <c r="P641" s="66"/>
      <c r="Q641" s="66"/>
      <c r="R641" s="2"/>
      <c r="S641" s="2"/>
      <c r="T641" s="2"/>
    </row>
    <row r="642" spans="1:20">
      <c r="A642" s="3"/>
      <c r="B642" s="3"/>
      <c r="C642" s="2"/>
      <c r="D642" s="2"/>
      <c r="E642" s="64"/>
      <c r="F642" s="64"/>
      <c r="G642" s="64"/>
      <c r="H642" s="64"/>
      <c r="I642" s="2"/>
      <c r="J642" s="2"/>
      <c r="K642" s="2"/>
      <c r="L642" s="2"/>
      <c r="M642" s="2"/>
      <c r="N642" s="2"/>
      <c r="O642" s="2"/>
      <c r="P642" s="66"/>
      <c r="Q642" s="66"/>
      <c r="R642" s="2"/>
      <c r="S642" s="2"/>
      <c r="T642" s="2"/>
    </row>
    <row r="643" spans="1:20">
      <c r="A643" s="3"/>
      <c r="B643" s="3"/>
      <c r="C643" s="2"/>
      <c r="D643" s="2"/>
      <c r="E643" s="64"/>
      <c r="F643" s="64"/>
      <c r="G643" s="64"/>
      <c r="H643" s="64"/>
      <c r="I643" s="2"/>
      <c r="J643" s="2"/>
      <c r="K643" s="2"/>
      <c r="L643" s="2"/>
      <c r="M643" s="2"/>
      <c r="N643" s="2"/>
      <c r="O643" s="2"/>
      <c r="P643" s="66"/>
      <c r="Q643" s="66"/>
      <c r="R643" s="2"/>
      <c r="S643" s="2"/>
      <c r="T643" s="2"/>
    </row>
    <row r="644" spans="1:20">
      <c r="A644" s="3"/>
      <c r="B644" s="3"/>
      <c r="C644" s="2"/>
      <c r="D644" s="2"/>
      <c r="E644" s="64"/>
      <c r="F644" s="64"/>
      <c r="G644" s="64"/>
      <c r="H644" s="64"/>
      <c r="I644" s="2"/>
      <c r="J644" s="2"/>
      <c r="K644" s="2"/>
      <c r="L644" s="2"/>
      <c r="M644" s="2"/>
      <c r="N644" s="2"/>
      <c r="O644" s="2"/>
      <c r="P644" s="66"/>
      <c r="Q644" s="66"/>
      <c r="R644" s="2"/>
      <c r="S644" s="2"/>
      <c r="T644" s="2"/>
    </row>
    <row r="645" spans="1:20">
      <c r="A645" s="3"/>
      <c r="B645" s="3"/>
      <c r="C645" s="2"/>
      <c r="D645" s="2"/>
      <c r="E645" s="64"/>
      <c r="F645" s="64"/>
      <c r="G645" s="64"/>
      <c r="H645" s="64"/>
      <c r="I645" s="2"/>
      <c r="J645" s="2"/>
      <c r="K645" s="2"/>
      <c r="L645" s="2"/>
      <c r="M645" s="2"/>
      <c r="N645" s="2"/>
      <c r="O645" s="2"/>
      <c r="P645" s="66"/>
      <c r="Q645" s="66"/>
      <c r="R645" s="2"/>
      <c r="S645" s="2"/>
      <c r="T645" s="2"/>
    </row>
    <row r="646" spans="1:20">
      <c r="A646" s="3"/>
      <c r="B646" s="3"/>
      <c r="C646" s="2"/>
      <c r="D646" s="2"/>
      <c r="E646" s="64"/>
      <c r="F646" s="64"/>
      <c r="G646" s="64"/>
      <c r="H646" s="64"/>
      <c r="I646" s="2"/>
      <c r="J646" s="2"/>
      <c r="K646" s="2"/>
      <c r="L646" s="2"/>
      <c r="M646" s="2"/>
      <c r="N646" s="2"/>
      <c r="O646" s="2"/>
      <c r="P646" s="66"/>
      <c r="Q646" s="66"/>
      <c r="R646" s="2"/>
      <c r="S646" s="2"/>
      <c r="T646" s="2"/>
    </row>
    <row r="647" spans="1:20">
      <c r="A647" s="3"/>
      <c r="B647" s="3"/>
      <c r="C647" s="2"/>
      <c r="D647" s="2"/>
      <c r="E647" s="64"/>
      <c r="F647" s="64"/>
      <c r="G647" s="64"/>
      <c r="H647" s="64"/>
      <c r="I647" s="2"/>
      <c r="J647" s="2"/>
      <c r="K647" s="2"/>
      <c r="L647" s="2"/>
      <c r="M647" s="2"/>
      <c r="N647" s="2"/>
      <c r="O647" s="2"/>
      <c r="P647" s="66"/>
      <c r="Q647" s="66"/>
      <c r="R647" s="2"/>
      <c r="S647" s="2"/>
      <c r="T647" s="2"/>
    </row>
    <row r="648" spans="1:20">
      <c r="A648" s="3"/>
      <c r="B648" s="3"/>
      <c r="C648" s="2"/>
      <c r="D648" s="2"/>
      <c r="E648" s="64"/>
      <c r="F648" s="64"/>
      <c r="G648" s="64"/>
      <c r="H648" s="64"/>
      <c r="I648" s="2"/>
      <c r="J648" s="2"/>
      <c r="K648" s="2"/>
      <c r="L648" s="2"/>
      <c r="M648" s="2"/>
      <c r="N648" s="2"/>
      <c r="O648" s="2"/>
      <c r="P648" s="66"/>
      <c r="Q648" s="66"/>
      <c r="R648" s="2"/>
      <c r="S648" s="2"/>
      <c r="T648" s="2"/>
    </row>
    <row r="649" spans="1:20">
      <c r="A649" s="3"/>
      <c r="B649" s="3"/>
      <c r="C649" s="2"/>
      <c r="D649" s="2"/>
      <c r="E649" s="64"/>
      <c r="F649" s="64"/>
      <c r="G649" s="64"/>
      <c r="H649" s="64"/>
      <c r="I649" s="2"/>
      <c r="J649" s="2"/>
      <c r="K649" s="2"/>
      <c r="L649" s="2"/>
      <c r="M649" s="2"/>
      <c r="N649" s="2"/>
      <c r="O649" s="2"/>
      <c r="P649" s="66"/>
      <c r="Q649" s="66"/>
      <c r="R649" s="2"/>
      <c r="S649" s="2"/>
      <c r="T649" s="2"/>
    </row>
    <row r="650" spans="1:20">
      <c r="A650" s="3"/>
      <c r="B650" s="3"/>
      <c r="C650" s="2"/>
      <c r="D650" s="2"/>
      <c r="E650" s="64"/>
      <c r="F650" s="64"/>
      <c r="G650" s="64"/>
      <c r="H650" s="64"/>
      <c r="I650" s="2"/>
      <c r="J650" s="2"/>
      <c r="K650" s="2"/>
      <c r="L650" s="2"/>
      <c r="M650" s="2"/>
      <c r="N650" s="2"/>
      <c r="O650" s="2"/>
      <c r="P650" s="66"/>
      <c r="Q650" s="66"/>
      <c r="R650" s="2"/>
      <c r="S650" s="2"/>
      <c r="T650" s="2"/>
    </row>
    <row r="651" spans="1:20">
      <c r="A651" s="3"/>
      <c r="B651" s="3"/>
      <c r="C651" s="2"/>
      <c r="D651" s="2"/>
      <c r="E651" s="64"/>
      <c r="F651" s="64"/>
      <c r="G651" s="64"/>
      <c r="H651" s="64"/>
      <c r="I651" s="2"/>
      <c r="J651" s="2"/>
      <c r="K651" s="2"/>
      <c r="L651" s="2"/>
      <c r="M651" s="2"/>
      <c r="N651" s="2"/>
      <c r="O651" s="2"/>
      <c r="P651" s="66"/>
      <c r="Q651" s="66"/>
      <c r="R651" s="2"/>
      <c r="S651" s="2"/>
      <c r="T651" s="2"/>
    </row>
    <row r="652" spans="1:20">
      <c r="A652" s="3"/>
      <c r="B652" s="3"/>
      <c r="C652" s="2"/>
      <c r="D652" s="2"/>
      <c r="E652" s="64"/>
      <c r="F652" s="64"/>
      <c r="G652" s="64"/>
      <c r="H652" s="64"/>
      <c r="I652" s="2"/>
      <c r="J652" s="2"/>
      <c r="K652" s="2"/>
      <c r="L652" s="2"/>
      <c r="M652" s="2"/>
      <c r="N652" s="2"/>
      <c r="O652" s="2"/>
      <c r="P652" s="66"/>
      <c r="Q652" s="66"/>
      <c r="R652" s="2"/>
      <c r="S652" s="2"/>
      <c r="T652" s="2"/>
    </row>
    <row r="653" spans="1:20">
      <c r="A653" s="3"/>
      <c r="B653" s="3"/>
      <c r="C653" s="2"/>
      <c r="D653" s="2"/>
      <c r="E653" s="64"/>
      <c r="F653" s="64"/>
      <c r="G653" s="64"/>
      <c r="H653" s="64"/>
      <c r="I653" s="2"/>
      <c r="J653" s="2"/>
      <c r="K653" s="2"/>
      <c r="L653" s="2"/>
      <c r="M653" s="2"/>
      <c r="N653" s="2"/>
      <c r="O653" s="2"/>
      <c r="P653" s="66"/>
      <c r="Q653" s="66"/>
      <c r="R653" s="2"/>
      <c r="S653" s="2"/>
      <c r="T653" s="2"/>
    </row>
    <row r="654" spans="1:20">
      <c r="A654" s="3"/>
      <c r="B654" s="3"/>
      <c r="C654" s="2"/>
      <c r="D654" s="2"/>
      <c r="E654" s="64"/>
      <c r="F654" s="64"/>
      <c r="G654" s="64"/>
      <c r="H654" s="64"/>
      <c r="I654" s="2"/>
      <c r="J654" s="2"/>
      <c r="K654" s="2"/>
      <c r="L654" s="2"/>
      <c r="M654" s="2"/>
      <c r="N654" s="2"/>
      <c r="O654" s="2"/>
      <c r="P654" s="66"/>
      <c r="Q654" s="66"/>
      <c r="R654" s="2"/>
      <c r="S654" s="2"/>
      <c r="T654" s="2"/>
    </row>
    <row r="655" spans="1:20">
      <c r="A655" s="3"/>
      <c r="B655" s="3"/>
      <c r="C655" s="2"/>
      <c r="D655" s="2"/>
      <c r="E655" s="64"/>
      <c r="F655" s="64"/>
      <c r="G655" s="64"/>
      <c r="H655" s="64"/>
      <c r="I655" s="2"/>
      <c r="J655" s="2"/>
      <c r="K655" s="2"/>
      <c r="L655" s="2"/>
      <c r="M655" s="2"/>
      <c r="N655" s="2"/>
      <c r="O655" s="2"/>
      <c r="P655" s="66"/>
      <c r="Q655" s="66"/>
      <c r="R655" s="2"/>
      <c r="S655" s="2"/>
      <c r="T655" s="2"/>
    </row>
    <row r="656" spans="1:20">
      <c r="A656" s="3"/>
      <c r="B656" s="3"/>
      <c r="C656" s="2"/>
      <c r="D656" s="2"/>
      <c r="E656" s="64"/>
      <c r="F656" s="64"/>
      <c r="G656" s="64"/>
      <c r="H656" s="64"/>
      <c r="I656" s="2"/>
      <c r="J656" s="2"/>
      <c r="K656" s="2"/>
      <c r="L656" s="2"/>
      <c r="M656" s="2"/>
      <c r="N656" s="2"/>
      <c r="O656" s="2"/>
      <c r="P656" s="66"/>
      <c r="Q656" s="66"/>
      <c r="R656" s="2"/>
      <c r="S656" s="2"/>
      <c r="T656" s="2"/>
    </row>
    <row r="657" spans="1:20">
      <c r="A657" s="3"/>
      <c r="B657" s="3"/>
      <c r="C657" s="2"/>
      <c r="D657" s="2"/>
      <c r="E657" s="64"/>
      <c r="F657" s="64"/>
      <c r="G657" s="64"/>
      <c r="H657" s="64"/>
      <c r="I657" s="2"/>
      <c r="J657" s="2"/>
      <c r="K657" s="2"/>
      <c r="L657" s="2"/>
      <c r="M657" s="2"/>
      <c r="N657" s="2"/>
      <c r="O657" s="2"/>
      <c r="P657" s="66"/>
      <c r="Q657" s="66"/>
      <c r="R657" s="2"/>
      <c r="S657" s="2"/>
      <c r="T657" s="2"/>
    </row>
    <row r="658" spans="1:20">
      <c r="A658" s="3"/>
      <c r="B658" s="3"/>
      <c r="C658" s="2"/>
      <c r="D658" s="2"/>
      <c r="E658" s="64"/>
      <c r="F658" s="64"/>
      <c r="G658" s="64"/>
      <c r="H658" s="64"/>
      <c r="I658" s="2"/>
      <c r="J658" s="2"/>
      <c r="K658" s="2"/>
      <c r="L658" s="2"/>
      <c r="M658" s="2"/>
      <c r="N658" s="2"/>
      <c r="O658" s="2"/>
      <c r="P658" s="66"/>
      <c r="Q658" s="66"/>
      <c r="R658" s="2"/>
      <c r="S658" s="2"/>
      <c r="T658" s="2"/>
    </row>
    <row r="659" spans="1:20">
      <c r="A659" s="3"/>
      <c r="B659" s="3"/>
      <c r="C659" s="2"/>
      <c r="D659" s="2"/>
      <c r="E659" s="64"/>
      <c r="F659" s="64"/>
      <c r="G659" s="64"/>
      <c r="H659" s="64"/>
      <c r="I659" s="2"/>
      <c r="J659" s="2"/>
      <c r="K659" s="2"/>
      <c r="L659" s="2"/>
      <c r="M659" s="2"/>
      <c r="N659" s="2"/>
      <c r="O659" s="2"/>
      <c r="P659" s="66"/>
      <c r="Q659" s="66"/>
      <c r="R659" s="2"/>
      <c r="S659" s="2"/>
      <c r="T659" s="2"/>
    </row>
    <row r="660" spans="1:20">
      <c r="A660" s="3"/>
      <c r="B660" s="3"/>
      <c r="C660" s="2"/>
      <c r="D660" s="2"/>
      <c r="E660" s="64"/>
      <c r="F660" s="64"/>
      <c r="G660" s="64"/>
      <c r="H660" s="64"/>
      <c r="I660" s="2"/>
      <c r="J660" s="2"/>
      <c r="K660" s="2"/>
      <c r="L660" s="2"/>
      <c r="M660" s="2"/>
      <c r="N660" s="2"/>
      <c r="O660" s="2"/>
      <c r="P660" s="66"/>
      <c r="Q660" s="66"/>
      <c r="R660" s="2"/>
      <c r="S660" s="2"/>
      <c r="T660" s="2"/>
    </row>
    <row r="661" spans="1:20">
      <c r="A661" s="3"/>
      <c r="B661" s="3"/>
      <c r="C661" s="2"/>
      <c r="D661" s="2"/>
      <c r="E661" s="64"/>
      <c r="F661" s="64"/>
      <c r="G661" s="64"/>
      <c r="H661" s="64"/>
      <c r="I661" s="2"/>
      <c r="J661" s="2"/>
      <c r="K661" s="2"/>
      <c r="L661" s="2"/>
      <c r="M661" s="2"/>
      <c r="N661" s="2"/>
      <c r="O661" s="2"/>
      <c r="P661" s="66"/>
      <c r="Q661" s="66"/>
      <c r="R661" s="2"/>
      <c r="S661" s="2"/>
      <c r="T661" s="2"/>
    </row>
    <row r="662" spans="1:20">
      <c r="A662" s="3"/>
      <c r="B662" s="3"/>
      <c r="C662" s="2"/>
      <c r="D662" s="2"/>
      <c r="E662" s="64"/>
      <c r="F662" s="64"/>
      <c r="G662" s="64"/>
      <c r="H662" s="64"/>
      <c r="I662" s="2"/>
      <c r="J662" s="2"/>
      <c r="K662" s="2"/>
      <c r="L662" s="2"/>
      <c r="M662" s="2"/>
      <c r="N662" s="2"/>
      <c r="O662" s="2"/>
      <c r="P662" s="66"/>
      <c r="Q662" s="66"/>
      <c r="R662" s="2"/>
      <c r="S662" s="2"/>
      <c r="T662" s="2"/>
    </row>
    <row r="663" spans="1:20">
      <c r="A663" s="3"/>
      <c r="B663" s="3"/>
      <c r="C663" s="2"/>
      <c r="D663" s="2"/>
      <c r="E663" s="64"/>
      <c r="F663" s="64"/>
      <c r="G663" s="64"/>
      <c r="H663" s="64"/>
      <c r="I663" s="2"/>
      <c r="J663" s="2"/>
      <c r="K663" s="2"/>
      <c r="L663" s="2"/>
      <c r="M663" s="2"/>
      <c r="N663" s="2"/>
      <c r="O663" s="2"/>
      <c r="P663" s="66"/>
      <c r="Q663" s="66"/>
      <c r="R663" s="2"/>
      <c r="S663" s="2"/>
      <c r="T663" s="2"/>
    </row>
    <row r="664" spans="1:20">
      <c r="A664" s="3"/>
      <c r="B664" s="3"/>
      <c r="C664" s="2"/>
      <c r="D664" s="2"/>
      <c r="E664" s="64"/>
      <c r="F664" s="64"/>
      <c r="G664" s="64"/>
      <c r="H664" s="64"/>
      <c r="I664" s="2"/>
      <c r="J664" s="2"/>
      <c r="K664" s="2"/>
      <c r="L664" s="2"/>
      <c r="M664" s="2"/>
      <c r="N664" s="2"/>
      <c r="O664" s="2"/>
      <c r="P664" s="66"/>
      <c r="Q664" s="66"/>
      <c r="R664" s="2"/>
      <c r="S664" s="2"/>
      <c r="T664" s="2"/>
    </row>
    <row r="665" spans="1:20">
      <c r="A665" s="3"/>
      <c r="B665" s="3"/>
      <c r="C665" s="2"/>
      <c r="D665" s="2"/>
      <c r="E665" s="64"/>
      <c r="F665" s="64"/>
      <c r="G665" s="64"/>
      <c r="H665" s="64"/>
      <c r="I665" s="2"/>
      <c r="J665" s="2"/>
      <c r="K665" s="2"/>
      <c r="L665" s="2"/>
      <c r="M665" s="2"/>
      <c r="N665" s="2"/>
      <c r="O665" s="2"/>
      <c r="P665" s="66"/>
      <c r="Q665" s="66"/>
      <c r="R665" s="2"/>
      <c r="S665" s="2"/>
      <c r="T665" s="2"/>
    </row>
    <row r="666" spans="1:20">
      <c r="A666" s="3"/>
      <c r="B666" s="3"/>
      <c r="C666" s="2"/>
      <c r="D666" s="2"/>
      <c r="E666" s="64"/>
      <c r="F666" s="64"/>
      <c r="G666" s="64"/>
      <c r="H666" s="64"/>
      <c r="I666" s="2"/>
      <c r="J666" s="2"/>
      <c r="K666" s="2"/>
      <c r="L666" s="2"/>
      <c r="M666" s="2"/>
      <c r="N666" s="2"/>
      <c r="O666" s="2"/>
      <c r="P666" s="66"/>
      <c r="Q666" s="66"/>
      <c r="R666" s="2"/>
      <c r="S666" s="2"/>
      <c r="T666" s="2"/>
    </row>
    <row r="667" spans="1:20">
      <c r="A667" s="3"/>
      <c r="B667" s="3"/>
      <c r="C667" s="2"/>
      <c r="D667" s="2"/>
      <c r="E667" s="64"/>
      <c r="F667" s="64"/>
      <c r="G667" s="64"/>
      <c r="H667" s="64"/>
      <c r="I667" s="2"/>
      <c r="J667" s="2"/>
      <c r="K667" s="2"/>
      <c r="L667" s="2"/>
      <c r="M667" s="2"/>
      <c r="N667" s="2"/>
      <c r="O667" s="2"/>
      <c r="P667" s="66"/>
      <c r="Q667" s="66"/>
      <c r="R667" s="2"/>
      <c r="S667" s="2"/>
      <c r="T667" s="2"/>
    </row>
    <row r="668" spans="1:20">
      <c r="A668" s="3"/>
      <c r="B668" s="3"/>
      <c r="C668" s="2"/>
      <c r="D668" s="2"/>
      <c r="E668" s="64"/>
      <c r="F668" s="64"/>
      <c r="G668" s="64"/>
      <c r="H668" s="64"/>
      <c r="I668" s="2"/>
      <c r="J668" s="2"/>
      <c r="K668" s="2"/>
      <c r="L668" s="2"/>
      <c r="M668" s="2"/>
      <c r="N668" s="2"/>
      <c r="O668" s="2"/>
      <c r="P668" s="66"/>
      <c r="Q668" s="66"/>
      <c r="R668" s="2"/>
      <c r="S668" s="2"/>
      <c r="T668" s="2"/>
    </row>
    <row r="669" spans="1:20">
      <c r="A669" s="3"/>
      <c r="B669" s="3"/>
      <c r="C669" s="2"/>
      <c r="D669" s="2"/>
      <c r="E669" s="64"/>
      <c r="F669" s="64"/>
      <c r="G669" s="64"/>
      <c r="H669" s="64"/>
      <c r="I669" s="2"/>
      <c r="J669" s="2"/>
      <c r="K669" s="2"/>
      <c r="L669" s="2"/>
      <c r="M669" s="2"/>
      <c r="N669" s="2"/>
      <c r="O669" s="2"/>
      <c r="P669" s="66"/>
      <c r="Q669" s="66"/>
      <c r="R669" s="2"/>
      <c r="S669" s="2"/>
      <c r="T669" s="2"/>
    </row>
    <row r="670" spans="1:20">
      <c r="A670" s="3"/>
      <c r="B670" s="3"/>
      <c r="C670" s="2"/>
      <c r="D670" s="2"/>
      <c r="E670" s="64"/>
      <c r="F670" s="64"/>
      <c r="G670" s="64"/>
      <c r="H670" s="64"/>
      <c r="I670" s="2"/>
      <c r="J670" s="2"/>
      <c r="K670" s="2"/>
      <c r="L670" s="2"/>
      <c r="M670" s="2"/>
      <c r="N670" s="2"/>
      <c r="O670" s="2"/>
      <c r="P670" s="66"/>
      <c r="Q670" s="66"/>
      <c r="R670" s="2"/>
      <c r="S670" s="2"/>
      <c r="T670" s="2"/>
    </row>
    <row r="671" spans="1:20">
      <c r="A671" s="3"/>
      <c r="B671" s="3"/>
      <c r="C671" s="2"/>
      <c r="D671" s="2"/>
      <c r="E671" s="64"/>
      <c r="F671" s="64"/>
      <c r="G671" s="64"/>
      <c r="H671" s="64"/>
      <c r="I671" s="2"/>
      <c r="J671" s="2"/>
      <c r="K671" s="2"/>
      <c r="L671" s="2"/>
      <c r="M671" s="2"/>
      <c r="N671" s="2"/>
      <c r="O671" s="2"/>
      <c r="P671" s="66"/>
      <c r="Q671" s="66"/>
      <c r="R671" s="2"/>
      <c r="S671" s="2"/>
      <c r="T671" s="2"/>
    </row>
    <row r="672" spans="1:20">
      <c r="A672" s="3"/>
      <c r="B672" s="3"/>
      <c r="C672" s="2"/>
      <c r="D672" s="2"/>
      <c r="E672" s="64"/>
      <c r="F672" s="64"/>
      <c r="G672" s="64"/>
      <c r="H672" s="64"/>
      <c r="I672" s="2"/>
      <c r="J672" s="2"/>
      <c r="K672" s="2"/>
      <c r="L672" s="2"/>
      <c r="M672" s="2"/>
      <c r="N672" s="2"/>
      <c r="O672" s="2"/>
      <c r="P672" s="66"/>
      <c r="Q672" s="66"/>
      <c r="R672" s="2"/>
      <c r="S672" s="2"/>
      <c r="T672" s="2"/>
    </row>
    <row r="673" spans="1:20">
      <c r="A673" s="3"/>
      <c r="B673" s="3"/>
      <c r="C673" s="2"/>
      <c r="D673" s="2"/>
      <c r="E673" s="64"/>
      <c r="F673" s="64"/>
      <c r="G673" s="64"/>
      <c r="H673" s="64"/>
      <c r="I673" s="2"/>
      <c r="J673" s="2"/>
      <c r="K673" s="2"/>
      <c r="L673" s="2"/>
      <c r="M673" s="2"/>
      <c r="N673" s="2"/>
      <c r="O673" s="2"/>
      <c r="P673" s="66"/>
      <c r="Q673" s="66"/>
      <c r="R673" s="2"/>
      <c r="S673" s="2"/>
      <c r="T673" s="2"/>
    </row>
    <row r="674" spans="1:20">
      <c r="A674" s="3"/>
      <c r="B674" s="3"/>
      <c r="C674" s="2"/>
      <c r="D674" s="2"/>
      <c r="E674" s="64"/>
      <c r="F674" s="64"/>
      <c r="G674" s="64"/>
      <c r="H674" s="64"/>
      <c r="I674" s="2"/>
      <c r="J674" s="2"/>
      <c r="K674" s="2"/>
      <c r="L674" s="2"/>
      <c r="M674" s="2"/>
      <c r="N674" s="2"/>
      <c r="O674" s="2"/>
      <c r="P674" s="66"/>
      <c r="Q674" s="66"/>
      <c r="R674" s="2"/>
      <c r="S674" s="2"/>
      <c r="T674" s="2"/>
    </row>
    <row r="675" spans="1:20">
      <c r="A675" s="3"/>
      <c r="B675" s="3"/>
      <c r="C675" s="2"/>
      <c r="D675" s="2"/>
      <c r="E675" s="64"/>
      <c r="F675" s="64"/>
      <c r="G675" s="64"/>
      <c r="H675" s="64"/>
      <c r="I675" s="2"/>
      <c r="J675" s="2"/>
      <c r="K675" s="2"/>
      <c r="L675" s="2"/>
      <c r="M675" s="2"/>
      <c r="N675" s="2"/>
      <c r="O675" s="2"/>
      <c r="P675" s="66"/>
      <c r="Q675" s="66"/>
      <c r="R675" s="2"/>
      <c r="S675" s="2"/>
      <c r="T675" s="2"/>
    </row>
    <row r="676" spans="1:20">
      <c r="A676" s="3"/>
      <c r="B676" s="3"/>
      <c r="C676" s="2"/>
      <c r="D676" s="2"/>
      <c r="E676" s="64"/>
      <c r="F676" s="64"/>
      <c r="G676" s="64"/>
      <c r="H676" s="64"/>
      <c r="I676" s="2"/>
      <c r="J676" s="2"/>
      <c r="K676" s="2"/>
      <c r="L676" s="2"/>
      <c r="M676" s="2"/>
      <c r="N676" s="2"/>
      <c r="O676" s="2"/>
      <c r="P676" s="66"/>
      <c r="Q676" s="66"/>
      <c r="R676" s="2"/>
      <c r="S676" s="2"/>
      <c r="T676" s="2"/>
    </row>
    <row r="677" spans="1:20">
      <c r="A677" s="3"/>
      <c r="B677" s="3"/>
      <c r="C677" s="2"/>
      <c r="D677" s="2"/>
      <c r="E677" s="64"/>
      <c r="F677" s="64"/>
      <c r="G677" s="64"/>
      <c r="H677" s="64"/>
      <c r="I677" s="2"/>
      <c r="J677" s="2"/>
      <c r="K677" s="2"/>
      <c r="L677" s="2"/>
      <c r="M677" s="2"/>
      <c r="N677" s="2"/>
      <c r="O677" s="2"/>
      <c r="P677" s="66"/>
      <c r="Q677" s="66"/>
      <c r="R677" s="2"/>
      <c r="S677" s="2"/>
      <c r="T677" s="2"/>
    </row>
    <row r="678" spans="1:20">
      <c r="A678" s="3"/>
      <c r="B678" s="3"/>
      <c r="C678" s="2"/>
      <c r="D678" s="2"/>
      <c r="E678" s="64"/>
      <c r="F678" s="64"/>
      <c r="G678" s="64"/>
      <c r="H678" s="64"/>
      <c r="I678" s="2"/>
      <c r="J678" s="2"/>
      <c r="K678" s="2"/>
      <c r="L678" s="2"/>
      <c r="M678" s="2"/>
      <c r="N678" s="2"/>
      <c r="O678" s="2"/>
      <c r="P678" s="66"/>
      <c r="Q678" s="66"/>
      <c r="R678" s="2"/>
      <c r="S678" s="2"/>
      <c r="T678" s="2"/>
    </row>
    <row r="679" spans="1:20">
      <c r="A679" s="3"/>
      <c r="B679" s="3"/>
      <c r="C679" s="2"/>
      <c r="D679" s="2"/>
      <c r="E679" s="64"/>
      <c r="F679" s="64"/>
      <c r="G679" s="64"/>
      <c r="H679" s="64"/>
      <c r="I679" s="2"/>
      <c r="J679" s="2"/>
      <c r="K679" s="2"/>
      <c r="L679" s="2"/>
      <c r="M679" s="2"/>
      <c r="N679" s="2"/>
      <c r="O679" s="2"/>
      <c r="P679" s="66"/>
      <c r="Q679" s="66"/>
      <c r="R679" s="2"/>
      <c r="S679" s="2"/>
      <c r="T679" s="2"/>
    </row>
    <row r="680" spans="1:20">
      <c r="A680" s="3"/>
      <c r="B680" s="3"/>
      <c r="C680" s="2"/>
      <c r="D680" s="2"/>
      <c r="E680" s="64"/>
      <c r="F680" s="64"/>
      <c r="G680" s="64"/>
      <c r="H680" s="64"/>
      <c r="I680" s="2"/>
      <c r="J680" s="2"/>
      <c r="K680" s="2"/>
      <c r="L680" s="2"/>
      <c r="M680" s="2"/>
      <c r="N680" s="2"/>
      <c r="O680" s="2"/>
      <c r="P680" s="66"/>
      <c r="Q680" s="66"/>
      <c r="R680" s="2"/>
      <c r="S680" s="2"/>
      <c r="T680" s="2"/>
    </row>
    <row r="681" spans="1:20">
      <c r="A681" s="3"/>
      <c r="B681" s="3"/>
      <c r="C681" s="2"/>
      <c r="D681" s="2"/>
      <c r="E681" s="64"/>
      <c r="F681" s="64"/>
      <c r="G681" s="64"/>
      <c r="H681" s="64"/>
      <c r="I681" s="2"/>
      <c r="J681" s="2"/>
      <c r="K681" s="2"/>
      <c r="L681" s="2"/>
      <c r="M681" s="2"/>
      <c r="N681" s="2"/>
      <c r="O681" s="2"/>
      <c r="P681" s="66"/>
      <c r="Q681" s="66"/>
      <c r="R681" s="2"/>
      <c r="S681" s="2"/>
      <c r="T681" s="2"/>
    </row>
    <row r="682" spans="1:20">
      <c r="A682" s="3"/>
      <c r="B682" s="3"/>
      <c r="C682" s="2"/>
      <c r="D682" s="2"/>
      <c r="E682" s="64"/>
      <c r="F682" s="64"/>
      <c r="G682" s="64"/>
      <c r="H682" s="64"/>
      <c r="I682" s="2"/>
      <c r="J682" s="2"/>
      <c r="K682" s="2"/>
      <c r="L682" s="2"/>
      <c r="M682" s="2"/>
      <c r="N682" s="2"/>
      <c r="O682" s="2"/>
      <c r="P682" s="66"/>
      <c r="Q682" s="66"/>
      <c r="R682" s="2"/>
      <c r="S682" s="2"/>
      <c r="T682" s="2"/>
    </row>
    <row r="683" spans="1:20">
      <c r="A683" s="3"/>
      <c r="B683" s="3"/>
      <c r="C683" s="2"/>
      <c r="D683" s="2"/>
      <c r="E683" s="64"/>
      <c r="F683" s="64"/>
      <c r="G683" s="64"/>
      <c r="H683" s="64"/>
      <c r="I683" s="2"/>
      <c r="J683" s="2"/>
      <c r="K683" s="2"/>
      <c r="L683" s="2"/>
      <c r="M683" s="2"/>
      <c r="N683" s="2"/>
      <c r="O683" s="2"/>
      <c r="P683" s="66"/>
      <c r="Q683" s="66"/>
      <c r="R683" s="2"/>
      <c r="S683" s="2"/>
      <c r="T683" s="2"/>
    </row>
    <row r="684" spans="1:20">
      <c r="A684" s="3"/>
      <c r="B684" s="3"/>
      <c r="C684" s="2"/>
      <c r="D684" s="2"/>
      <c r="E684" s="64"/>
      <c r="F684" s="64"/>
      <c r="G684" s="64"/>
      <c r="H684" s="64"/>
      <c r="I684" s="2"/>
      <c r="J684" s="2"/>
      <c r="K684" s="2"/>
      <c r="L684" s="2"/>
      <c r="M684" s="2"/>
      <c r="N684" s="2"/>
      <c r="O684" s="2"/>
      <c r="P684" s="66"/>
      <c r="Q684" s="66"/>
      <c r="R684" s="2"/>
      <c r="S684" s="2"/>
      <c r="T684" s="2"/>
    </row>
    <row r="685" spans="1:20">
      <c r="A685" s="3"/>
      <c r="B685" s="3"/>
      <c r="C685" s="2"/>
      <c r="D685" s="2"/>
      <c r="E685" s="64"/>
      <c r="F685" s="64"/>
      <c r="G685" s="64"/>
      <c r="H685" s="64"/>
      <c r="I685" s="2"/>
      <c r="J685" s="2"/>
      <c r="K685" s="2"/>
      <c r="L685" s="2"/>
      <c r="M685" s="2"/>
      <c r="N685" s="2"/>
      <c r="O685" s="2"/>
      <c r="P685" s="66"/>
      <c r="Q685" s="66"/>
      <c r="R685" s="2"/>
      <c r="S685" s="2"/>
      <c r="T685" s="2"/>
    </row>
    <row r="686" spans="1:20">
      <c r="A686" s="3"/>
      <c r="B686" s="3"/>
      <c r="C686" s="2"/>
      <c r="D686" s="2"/>
      <c r="E686" s="64"/>
      <c r="F686" s="64"/>
      <c r="G686" s="64"/>
      <c r="H686" s="64"/>
      <c r="I686" s="2"/>
      <c r="J686" s="2"/>
      <c r="K686" s="2"/>
      <c r="L686" s="2"/>
      <c r="M686" s="2"/>
      <c r="N686" s="2"/>
      <c r="O686" s="2"/>
      <c r="P686" s="66"/>
      <c r="Q686" s="66"/>
      <c r="R686" s="2"/>
      <c r="S686" s="2"/>
      <c r="T686" s="2"/>
    </row>
    <row r="687" spans="1:20">
      <c r="A687" s="3"/>
      <c r="B687" s="3"/>
      <c r="C687" s="2"/>
      <c r="D687" s="2"/>
      <c r="E687" s="64"/>
      <c r="F687" s="64"/>
      <c r="G687" s="64"/>
      <c r="H687" s="64"/>
      <c r="I687" s="2"/>
      <c r="J687" s="2"/>
      <c r="K687" s="2"/>
      <c r="L687" s="2"/>
      <c r="M687" s="2"/>
      <c r="N687" s="2"/>
      <c r="O687" s="2"/>
      <c r="P687" s="66"/>
      <c r="Q687" s="66"/>
      <c r="R687" s="2"/>
      <c r="S687" s="2"/>
      <c r="T687" s="2"/>
    </row>
    <row r="688" spans="1:20">
      <c r="A688" s="3"/>
      <c r="B688" s="3"/>
      <c r="C688" s="2"/>
      <c r="D688" s="2"/>
      <c r="E688" s="64"/>
      <c r="F688" s="64"/>
      <c r="G688" s="64"/>
      <c r="H688" s="64"/>
      <c r="I688" s="2"/>
      <c r="J688" s="2"/>
      <c r="K688" s="2"/>
      <c r="L688" s="2"/>
      <c r="M688" s="2"/>
      <c r="N688" s="2"/>
      <c r="O688" s="2"/>
      <c r="P688" s="66"/>
      <c r="Q688" s="66"/>
      <c r="R688" s="2"/>
      <c r="S688" s="2"/>
      <c r="T688" s="2"/>
    </row>
    <row r="689" spans="1:20">
      <c r="A689" s="3"/>
      <c r="B689" s="3"/>
      <c r="C689" s="2"/>
      <c r="D689" s="2"/>
      <c r="E689" s="64"/>
      <c r="F689" s="64"/>
      <c r="G689" s="64"/>
      <c r="H689" s="64"/>
      <c r="I689" s="2"/>
      <c r="J689" s="2"/>
      <c r="K689" s="2"/>
      <c r="L689" s="2"/>
      <c r="M689" s="2"/>
      <c r="N689" s="2"/>
      <c r="O689" s="2"/>
      <c r="P689" s="66"/>
      <c r="Q689" s="66"/>
      <c r="R689" s="2"/>
      <c r="S689" s="2"/>
      <c r="T689" s="2"/>
    </row>
    <row r="690" spans="1:20">
      <c r="A690" s="3"/>
      <c r="B690" s="3"/>
      <c r="C690" s="2"/>
      <c r="D690" s="2"/>
      <c r="E690" s="64"/>
      <c r="F690" s="64"/>
      <c r="G690" s="64"/>
      <c r="H690" s="64"/>
      <c r="I690" s="2"/>
      <c r="J690" s="2"/>
      <c r="K690" s="2"/>
      <c r="L690" s="2"/>
      <c r="M690" s="2"/>
      <c r="N690" s="2"/>
      <c r="O690" s="2"/>
      <c r="P690" s="66"/>
      <c r="Q690" s="66"/>
      <c r="R690" s="2"/>
      <c r="S690" s="2"/>
      <c r="T690" s="2"/>
    </row>
    <row r="691" spans="1:20">
      <c r="A691" s="3"/>
      <c r="B691" s="3"/>
      <c r="C691" s="2"/>
      <c r="D691" s="2"/>
      <c r="E691" s="64"/>
      <c r="F691" s="64"/>
      <c r="G691" s="64"/>
      <c r="H691" s="64"/>
      <c r="I691" s="2"/>
      <c r="J691" s="2"/>
      <c r="K691" s="2"/>
      <c r="L691" s="2"/>
      <c r="M691" s="2"/>
      <c r="N691" s="2"/>
      <c r="O691" s="2"/>
      <c r="P691" s="66"/>
      <c r="Q691" s="66"/>
      <c r="R691" s="2"/>
      <c r="S691" s="2"/>
      <c r="T691" s="2"/>
    </row>
    <row r="692" spans="1:20">
      <c r="A692" s="3"/>
      <c r="B692" s="3"/>
      <c r="C692" s="2"/>
      <c r="D692" s="2"/>
      <c r="E692" s="64"/>
      <c r="F692" s="64"/>
      <c r="G692" s="64"/>
      <c r="H692" s="64"/>
      <c r="I692" s="2"/>
      <c r="J692" s="2"/>
      <c r="K692" s="2"/>
      <c r="L692" s="2"/>
      <c r="M692" s="2"/>
      <c r="N692" s="2"/>
      <c r="O692" s="2"/>
      <c r="P692" s="66"/>
      <c r="Q692" s="66"/>
      <c r="R692" s="2"/>
      <c r="S692" s="2"/>
      <c r="T692" s="2"/>
    </row>
    <row r="693" spans="1:20">
      <c r="A693" s="3"/>
      <c r="B693" s="3"/>
      <c r="C693" s="2"/>
      <c r="D693" s="2"/>
      <c r="E693" s="64"/>
      <c r="F693" s="64"/>
      <c r="G693" s="64"/>
      <c r="H693" s="64"/>
      <c r="I693" s="2"/>
      <c r="J693" s="2"/>
      <c r="K693" s="2"/>
      <c r="L693" s="2"/>
      <c r="M693" s="2"/>
      <c r="N693" s="2"/>
      <c r="O693" s="2"/>
      <c r="P693" s="66"/>
      <c r="Q693" s="66"/>
      <c r="R693" s="2"/>
      <c r="S693" s="2"/>
      <c r="T693" s="2"/>
    </row>
    <row r="694" spans="1:20">
      <c r="A694" s="3"/>
      <c r="B694" s="3"/>
      <c r="C694" s="2"/>
      <c r="D694" s="2"/>
      <c r="E694" s="64"/>
      <c r="F694" s="64"/>
      <c r="G694" s="64"/>
      <c r="H694" s="64"/>
      <c r="I694" s="2"/>
      <c r="J694" s="2"/>
      <c r="K694" s="2"/>
      <c r="L694" s="2"/>
      <c r="M694" s="2"/>
      <c r="N694" s="2"/>
      <c r="O694" s="2"/>
      <c r="P694" s="66"/>
      <c r="Q694" s="66"/>
      <c r="R694" s="2"/>
      <c r="S694" s="2"/>
      <c r="T694" s="2"/>
    </row>
    <row r="695" spans="1:20">
      <c r="A695" s="3"/>
      <c r="B695" s="3"/>
      <c r="C695" s="2"/>
      <c r="D695" s="2"/>
      <c r="E695" s="64"/>
      <c r="F695" s="64"/>
      <c r="G695" s="64"/>
      <c r="H695" s="64"/>
      <c r="I695" s="2"/>
      <c r="J695" s="2"/>
      <c r="K695" s="2"/>
      <c r="L695" s="2"/>
      <c r="M695" s="2"/>
      <c r="N695" s="2"/>
      <c r="O695" s="2"/>
      <c r="P695" s="66"/>
      <c r="Q695" s="66"/>
      <c r="R695" s="2"/>
      <c r="S695" s="2"/>
      <c r="T695" s="2"/>
    </row>
    <row r="696" spans="1:20">
      <c r="A696" s="3"/>
      <c r="B696" s="3"/>
      <c r="C696" s="2"/>
      <c r="D696" s="2"/>
      <c r="E696" s="64"/>
      <c r="F696" s="64"/>
      <c r="G696" s="64"/>
      <c r="H696" s="64"/>
      <c r="I696" s="2"/>
      <c r="J696" s="2"/>
      <c r="K696" s="2"/>
      <c r="L696" s="2"/>
      <c r="M696" s="2"/>
      <c r="N696" s="2"/>
      <c r="O696" s="2"/>
      <c r="P696" s="66"/>
      <c r="Q696" s="66"/>
      <c r="R696" s="2"/>
      <c r="S696" s="2"/>
      <c r="T696" s="2"/>
    </row>
    <row r="697" spans="1:20">
      <c r="A697" s="3"/>
      <c r="B697" s="3"/>
      <c r="C697" s="2"/>
      <c r="D697" s="2"/>
      <c r="E697" s="64"/>
      <c r="F697" s="64"/>
      <c r="G697" s="64"/>
      <c r="H697" s="64"/>
      <c r="I697" s="2"/>
      <c r="J697" s="2"/>
      <c r="K697" s="2"/>
      <c r="L697" s="2"/>
      <c r="M697" s="2"/>
      <c r="N697" s="2"/>
      <c r="O697" s="2"/>
      <c r="P697" s="66"/>
      <c r="Q697" s="66"/>
      <c r="R697" s="2"/>
      <c r="S697" s="2"/>
      <c r="T697" s="2"/>
    </row>
    <row r="698" spans="1:20">
      <c r="A698" s="3"/>
      <c r="B698" s="3"/>
      <c r="C698" s="2"/>
      <c r="D698" s="2"/>
      <c r="E698" s="64"/>
      <c r="F698" s="64"/>
      <c r="G698" s="64"/>
      <c r="H698" s="64"/>
      <c r="I698" s="2"/>
      <c r="J698" s="2"/>
      <c r="K698" s="2"/>
      <c r="L698" s="2"/>
      <c r="M698" s="2"/>
      <c r="N698" s="2"/>
      <c r="O698" s="2"/>
      <c r="P698" s="66"/>
      <c r="Q698" s="66"/>
      <c r="R698" s="2"/>
      <c r="S698" s="2"/>
      <c r="T698" s="2"/>
    </row>
    <row r="699" spans="1:20">
      <c r="A699" s="3"/>
      <c r="B699" s="3"/>
      <c r="C699" s="2"/>
      <c r="D699" s="2"/>
      <c r="E699" s="64"/>
      <c r="F699" s="64"/>
      <c r="G699" s="64"/>
      <c r="H699" s="64"/>
      <c r="I699" s="2"/>
      <c r="J699" s="2"/>
      <c r="K699" s="2"/>
      <c r="L699" s="2"/>
      <c r="M699" s="2"/>
      <c r="N699" s="2"/>
      <c r="O699" s="2"/>
      <c r="P699" s="66"/>
      <c r="Q699" s="66"/>
      <c r="R699" s="2"/>
      <c r="S699" s="2"/>
      <c r="T699" s="2"/>
    </row>
    <row r="700" spans="1:20">
      <c r="A700" s="3"/>
      <c r="B700" s="3"/>
      <c r="C700" s="2"/>
      <c r="D700" s="2"/>
      <c r="E700" s="64"/>
      <c r="F700" s="64"/>
      <c r="G700" s="64"/>
      <c r="H700" s="64"/>
      <c r="I700" s="2"/>
      <c r="J700" s="2"/>
      <c r="K700" s="2"/>
      <c r="L700" s="2"/>
      <c r="M700" s="2"/>
      <c r="N700" s="2"/>
      <c r="O700" s="2"/>
      <c r="P700" s="66"/>
      <c r="Q700" s="66"/>
      <c r="R700" s="2"/>
      <c r="S700" s="2"/>
      <c r="T700" s="2"/>
    </row>
    <row r="701" spans="1:20">
      <c r="A701" s="3"/>
      <c r="B701" s="3"/>
      <c r="C701" s="2"/>
      <c r="D701" s="2"/>
      <c r="E701" s="64"/>
      <c r="F701" s="64"/>
      <c r="G701" s="64"/>
      <c r="H701" s="64"/>
      <c r="I701" s="2"/>
      <c r="J701" s="2"/>
      <c r="K701" s="2"/>
      <c r="L701" s="2"/>
      <c r="M701" s="2"/>
      <c r="N701" s="2"/>
      <c r="O701" s="2"/>
      <c r="P701" s="66"/>
      <c r="Q701" s="66"/>
      <c r="R701" s="2"/>
      <c r="S701" s="2"/>
      <c r="T701" s="2"/>
    </row>
    <row r="702" spans="1:20">
      <c r="A702" s="3"/>
      <c r="B702" s="3"/>
      <c r="C702" s="2"/>
      <c r="D702" s="2"/>
      <c r="E702" s="64"/>
      <c r="F702" s="64"/>
      <c r="G702" s="64"/>
      <c r="H702" s="64"/>
      <c r="I702" s="2"/>
      <c r="J702" s="2"/>
      <c r="K702" s="2"/>
      <c r="L702" s="2"/>
      <c r="M702" s="2"/>
      <c r="N702" s="2"/>
      <c r="O702" s="2"/>
      <c r="P702" s="66"/>
      <c r="Q702" s="66"/>
      <c r="R702" s="2"/>
      <c r="S702" s="2"/>
      <c r="T702" s="2"/>
    </row>
    <row r="703" spans="1:20">
      <c r="A703" s="3"/>
      <c r="B703" s="3"/>
      <c r="C703" s="2"/>
      <c r="D703" s="2"/>
      <c r="E703" s="64"/>
      <c r="F703" s="64"/>
      <c r="G703" s="64"/>
      <c r="H703" s="64"/>
      <c r="I703" s="2"/>
      <c r="J703" s="2"/>
      <c r="K703" s="2"/>
      <c r="L703" s="2"/>
      <c r="M703" s="2"/>
      <c r="N703" s="2"/>
      <c r="O703" s="2"/>
      <c r="P703" s="66"/>
      <c r="Q703" s="66"/>
      <c r="R703" s="2"/>
      <c r="S703" s="2"/>
      <c r="T703" s="2"/>
    </row>
    <row r="704" spans="1:20">
      <c r="A704" s="3"/>
      <c r="B704" s="3"/>
      <c r="C704" s="2"/>
      <c r="D704" s="2"/>
      <c r="E704" s="64"/>
      <c r="F704" s="64"/>
      <c r="G704" s="64"/>
      <c r="H704" s="64"/>
      <c r="I704" s="2"/>
      <c r="J704" s="2"/>
      <c r="K704" s="2"/>
      <c r="L704" s="2"/>
      <c r="M704" s="2"/>
      <c r="N704" s="2"/>
      <c r="O704" s="2"/>
      <c r="P704" s="66"/>
      <c r="Q704" s="66"/>
      <c r="R704" s="2"/>
      <c r="S704" s="2"/>
      <c r="T704" s="2"/>
    </row>
    <row r="705" spans="1:20">
      <c r="A705" s="3"/>
      <c r="B705" s="3"/>
      <c r="C705" s="2"/>
      <c r="D705" s="2"/>
      <c r="E705" s="64"/>
      <c r="F705" s="64"/>
      <c r="G705" s="64"/>
      <c r="H705" s="64"/>
      <c r="I705" s="2"/>
      <c r="J705" s="2"/>
      <c r="K705" s="2"/>
      <c r="L705" s="2"/>
      <c r="M705" s="2"/>
      <c r="N705" s="2"/>
      <c r="O705" s="2"/>
      <c r="P705" s="66"/>
      <c r="Q705" s="66"/>
      <c r="R705" s="2"/>
      <c r="S705" s="2"/>
      <c r="T705" s="2"/>
    </row>
    <row r="706" spans="1:20">
      <c r="A706" s="3"/>
      <c r="B706" s="3"/>
      <c r="C706" s="2"/>
      <c r="D706" s="2"/>
      <c r="E706" s="64"/>
      <c r="F706" s="64"/>
      <c r="G706" s="64"/>
      <c r="H706" s="64"/>
      <c r="I706" s="2"/>
      <c r="J706" s="2"/>
      <c r="K706" s="2"/>
      <c r="L706" s="2"/>
      <c r="M706" s="2"/>
      <c r="N706" s="2"/>
      <c r="O706" s="2"/>
      <c r="P706" s="66"/>
      <c r="Q706" s="66"/>
      <c r="R706" s="2"/>
      <c r="S706" s="2"/>
      <c r="T706" s="2"/>
    </row>
    <row r="707" spans="1:20">
      <c r="A707" s="3"/>
      <c r="B707" s="3"/>
      <c r="C707" s="2"/>
      <c r="D707" s="2"/>
      <c r="E707" s="64"/>
      <c r="F707" s="64"/>
      <c r="G707" s="64"/>
      <c r="H707" s="64"/>
      <c r="I707" s="2"/>
      <c r="J707" s="2"/>
      <c r="K707" s="2"/>
      <c r="L707" s="2"/>
      <c r="M707" s="2"/>
      <c r="N707" s="2"/>
      <c r="O707" s="2"/>
      <c r="P707" s="66"/>
      <c r="Q707" s="66"/>
      <c r="R707" s="2"/>
      <c r="S707" s="2"/>
      <c r="T707" s="2"/>
    </row>
    <row r="708" spans="1:20">
      <c r="A708" s="3"/>
      <c r="B708" s="3"/>
      <c r="C708" s="2"/>
      <c r="D708" s="2"/>
      <c r="E708" s="64"/>
      <c r="F708" s="64"/>
      <c r="G708" s="64"/>
      <c r="H708" s="64"/>
      <c r="I708" s="2"/>
      <c r="J708" s="2"/>
      <c r="K708" s="2"/>
      <c r="L708" s="2"/>
      <c r="M708" s="2"/>
      <c r="N708" s="2"/>
      <c r="O708" s="2"/>
      <c r="P708" s="66"/>
      <c r="Q708" s="66"/>
      <c r="R708" s="2"/>
      <c r="S708" s="2"/>
      <c r="T708" s="2"/>
    </row>
    <row r="709" spans="1:20">
      <c r="A709" s="3"/>
      <c r="B709" s="3"/>
      <c r="C709" s="2"/>
      <c r="D709" s="2"/>
      <c r="E709" s="64"/>
      <c r="F709" s="64"/>
      <c r="G709" s="64"/>
      <c r="H709" s="64"/>
      <c r="I709" s="2"/>
      <c r="J709" s="2"/>
      <c r="K709" s="2"/>
      <c r="L709" s="2"/>
      <c r="M709" s="2"/>
      <c r="N709" s="2"/>
      <c r="O709" s="2"/>
      <c r="P709" s="66"/>
      <c r="Q709" s="66"/>
      <c r="R709" s="2"/>
      <c r="S709" s="2"/>
      <c r="T709" s="2"/>
    </row>
    <row r="710" spans="1:20">
      <c r="A710" s="3"/>
      <c r="B710" s="3"/>
      <c r="C710" s="2"/>
      <c r="D710" s="2"/>
      <c r="E710" s="64"/>
      <c r="F710" s="64"/>
      <c r="G710" s="64"/>
      <c r="H710" s="64"/>
      <c r="I710" s="2"/>
      <c r="J710" s="2"/>
      <c r="K710" s="2"/>
      <c r="L710" s="2"/>
      <c r="M710" s="2"/>
      <c r="N710" s="2"/>
      <c r="O710" s="2"/>
      <c r="P710" s="66"/>
      <c r="Q710" s="66"/>
      <c r="R710" s="2"/>
      <c r="S710" s="2"/>
      <c r="T710" s="2"/>
    </row>
    <row r="711" spans="1:20">
      <c r="A711" s="3"/>
      <c r="B711" s="3"/>
      <c r="C711" s="2"/>
      <c r="D711" s="2"/>
      <c r="E711" s="64"/>
      <c r="F711" s="64"/>
      <c r="G711" s="64"/>
      <c r="H711" s="64"/>
      <c r="I711" s="2"/>
      <c r="J711" s="2"/>
      <c r="K711" s="2"/>
      <c r="L711" s="2"/>
      <c r="M711" s="2"/>
      <c r="N711" s="2"/>
      <c r="O711" s="2"/>
      <c r="P711" s="66"/>
      <c r="Q711" s="66"/>
      <c r="R711" s="2"/>
      <c r="S711" s="2"/>
      <c r="T711" s="2"/>
    </row>
    <row r="712" spans="1:20">
      <c r="A712" s="3"/>
      <c r="B712" s="3"/>
      <c r="C712" s="2"/>
      <c r="D712" s="2"/>
      <c r="E712" s="64"/>
      <c r="F712" s="64"/>
      <c r="G712" s="64"/>
      <c r="H712" s="64"/>
      <c r="I712" s="2"/>
      <c r="J712" s="2"/>
      <c r="K712" s="2"/>
      <c r="L712" s="2"/>
      <c r="M712" s="2"/>
      <c r="N712" s="2"/>
      <c r="O712" s="2"/>
      <c r="P712" s="66"/>
      <c r="Q712" s="66"/>
      <c r="R712" s="2"/>
      <c r="S712" s="2"/>
      <c r="T712" s="2"/>
    </row>
    <row r="713" spans="1:20">
      <c r="A713" s="3"/>
      <c r="B713" s="3"/>
      <c r="C713" s="2"/>
      <c r="D713" s="2"/>
      <c r="E713" s="64"/>
      <c r="F713" s="64"/>
      <c r="G713" s="64"/>
      <c r="H713" s="64"/>
      <c r="I713" s="2"/>
      <c r="J713" s="2"/>
      <c r="K713" s="2"/>
      <c r="L713" s="2"/>
      <c r="M713" s="2"/>
      <c r="N713" s="2"/>
      <c r="O713" s="2"/>
      <c r="P713" s="66"/>
      <c r="Q713" s="66"/>
      <c r="R713" s="2"/>
      <c r="S713" s="2"/>
      <c r="T713" s="2"/>
    </row>
    <row r="714" spans="1:20">
      <c r="A714" s="3"/>
      <c r="B714" s="3"/>
      <c r="C714" s="2"/>
      <c r="D714" s="2"/>
      <c r="E714" s="64"/>
      <c r="F714" s="64"/>
      <c r="G714" s="64"/>
      <c r="H714" s="64"/>
      <c r="I714" s="2"/>
      <c r="J714" s="2"/>
      <c r="K714" s="2"/>
      <c r="L714" s="2"/>
      <c r="M714" s="2"/>
      <c r="N714" s="2"/>
      <c r="O714" s="2"/>
      <c r="P714" s="66"/>
      <c r="Q714" s="66"/>
      <c r="R714" s="2"/>
      <c r="S714" s="2"/>
      <c r="T714" s="2"/>
    </row>
    <row r="715" spans="1:20">
      <c r="A715" s="3"/>
      <c r="B715" s="3"/>
      <c r="C715" s="2"/>
      <c r="D715" s="2"/>
      <c r="E715" s="64"/>
      <c r="F715" s="64"/>
      <c r="G715" s="64"/>
      <c r="H715" s="64"/>
      <c r="I715" s="2"/>
      <c r="J715" s="2"/>
      <c r="K715" s="2"/>
      <c r="L715" s="2"/>
      <c r="M715" s="2"/>
      <c r="N715" s="2"/>
      <c r="O715" s="2"/>
      <c r="P715" s="66"/>
      <c r="Q715" s="66"/>
      <c r="R715" s="2"/>
      <c r="S715" s="2"/>
      <c r="T715" s="2"/>
    </row>
    <row r="716" spans="1:20">
      <c r="A716" s="3"/>
      <c r="B716" s="3"/>
      <c r="C716" s="2"/>
      <c r="D716" s="2"/>
      <c r="E716" s="64"/>
      <c r="F716" s="64"/>
      <c r="G716" s="64"/>
      <c r="H716" s="64"/>
      <c r="I716" s="2"/>
      <c r="J716" s="2"/>
      <c r="K716" s="2"/>
      <c r="L716" s="2"/>
      <c r="M716" s="2"/>
      <c r="N716" s="2"/>
      <c r="O716" s="2"/>
      <c r="P716" s="66"/>
      <c r="Q716" s="66"/>
      <c r="R716" s="2"/>
      <c r="S716" s="2"/>
      <c r="T716" s="2"/>
    </row>
    <row r="717" spans="1:20">
      <c r="A717" s="3"/>
      <c r="B717" s="3"/>
      <c r="C717" s="2"/>
      <c r="D717" s="2"/>
      <c r="E717" s="64"/>
      <c r="F717" s="64"/>
      <c r="G717" s="64"/>
      <c r="H717" s="64"/>
      <c r="I717" s="2"/>
      <c r="J717" s="2"/>
      <c r="K717" s="2"/>
      <c r="L717" s="2"/>
      <c r="M717" s="2"/>
      <c r="N717" s="2"/>
      <c r="O717" s="2"/>
      <c r="P717" s="66"/>
      <c r="Q717" s="66"/>
      <c r="R717" s="2"/>
      <c r="S717" s="2"/>
      <c r="T717" s="2"/>
    </row>
    <row r="718" spans="1:20">
      <c r="A718" s="3"/>
      <c r="B718" s="3"/>
      <c r="C718" s="2"/>
      <c r="D718" s="2"/>
      <c r="E718" s="64"/>
      <c r="F718" s="64"/>
      <c r="G718" s="64"/>
      <c r="H718" s="64"/>
      <c r="I718" s="2"/>
      <c r="J718" s="2"/>
      <c r="K718" s="2"/>
      <c r="L718" s="2"/>
      <c r="M718" s="2"/>
      <c r="N718" s="2"/>
      <c r="O718" s="2"/>
      <c r="P718" s="66"/>
      <c r="Q718" s="66"/>
      <c r="R718" s="2"/>
      <c r="S718" s="2"/>
      <c r="T718" s="2"/>
    </row>
    <row r="719" spans="1:20">
      <c r="A719" s="3"/>
      <c r="B719" s="3"/>
      <c r="C719" s="2"/>
      <c r="D719" s="2"/>
      <c r="E719" s="64"/>
      <c r="F719" s="64"/>
      <c r="G719" s="64"/>
      <c r="H719" s="64"/>
      <c r="I719" s="2"/>
      <c r="J719" s="2"/>
      <c r="K719" s="2"/>
      <c r="L719" s="2"/>
      <c r="M719" s="2"/>
      <c r="N719" s="2"/>
      <c r="O719" s="2"/>
      <c r="P719" s="66"/>
      <c r="Q719" s="66"/>
      <c r="R719" s="2"/>
      <c r="S719" s="2"/>
      <c r="T719" s="2"/>
    </row>
    <row r="720" spans="1:20">
      <c r="A720" s="3"/>
      <c r="B720" s="3"/>
      <c r="C720" s="2"/>
      <c r="D720" s="2"/>
      <c r="E720" s="64"/>
      <c r="F720" s="64"/>
      <c r="G720" s="64"/>
      <c r="H720" s="64"/>
      <c r="I720" s="2"/>
      <c r="J720" s="2"/>
      <c r="K720" s="2"/>
      <c r="L720" s="2"/>
      <c r="M720" s="2"/>
      <c r="N720" s="2"/>
      <c r="O720" s="2"/>
      <c r="P720" s="66"/>
      <c r="Q720" s="66"/>
      <c r="R720" s="2"/>
      <c r="S720" s="2"/>
      <c r="T720" s="2"/>
    </row>
    <row r="721" spans="1:20">
      <c r="A721" s="3"/>
      <c r="B721" s="3"/>
      <c r="C721" s="2"/>
      <c r="D721" s="2"/>
      <c r="E721" s="64"/>
      <c r="F721" s="64"/>
      <c r="G721" s="64"/>
      <c r="H721" s="64"/>
      <c r="I721" s="2"/>
      <c r="J721" s="2"/>
      <c r="K721" s="2"/>
      <c r="L721" s="2"/>
      <c r="M721" s="2"/>
      <c r="N721" s="2"/>
      <c r="O721" s="2"/>
      <c r="P721" s="66"/>
      <c r="Q721" s="66"/>
      <c r="R721" s="2"/>
      <c r="S721" s="2"/>
      <c r="T721" s="2"/>
    </row>
    <row r="722" spans="1:20">
      <c r="A722" s="3"/>
      <c r="B722" s="3"/>
      <c r="C722" s="2"/>
      <c r="D722" s="2"/>
      <c r="E722" s="64"/>
      <c r="F722" s="64"/>
      <c r="G722" s="64"/>
      <c r="H722" s="64"/>
      <c r="I722" s="2"/>
      <c r="J722" s="2"/>
      <c r="K722" s="2"/>
      <c r="L722" s="2"/>
      <c r="M722" s="2"/>
      <c r="N722" s="2"/>
      <c r="O722" s="2"/>
      <c r="P722" s="66"/>
      <c r="Q722" s="66"/>
      <c r="R722" s="2"/>
      <c r="S722" s="2"/>
      <c r="T722" s="2"/>
    </row>
    <row r="723" spans="1:20">
      <c r="A723" s="3"/>
      <c r="B723" s="3"/>
      <c r="C723" s="2"/>
      <c r="D723" s="2"/>
      <c r="E723" s="64"/>
      <c r="F723" s="64"/>
      <c r="G723" s="64"/>
      <c r="H723" s="64"/>
      <c r="I723" s="2"/>
      <c r="J723" s="2"/>
      <c r="K723" s="2"/>
      <c r="L723" s="2"/>
      <c r="M723" s="2"/>
      <c r="N723" s="2"/>
      <c r="O723" s="2"/>
      <c r="P723" s="66"/>
      <c r="Q723" s="66"/>
      <c r="R723" s="2"/>
      <c r="S723" s="2"/>
      <c r="T723" s="2"/>
    </row>
    <row r="724" spans="1:20">
      <c r="A724" s="3"/>
      <c r="B724" s="3"/>
      <c r="C724" s="2"/>
      <c r="D724" s="2"/>
      <c r="E724" s="64"/>
      <c r="F724" s="64"/>
      <c r="G724" s="64"/>
      <c r="H724" s="64"/>
      <c r="I724" s="2"/>
      <c r="J724" s="2"/>
      <c r="K724" s="2"/>
      <c r="L724" s="2"/>
      <c r="M724" s="2"/>
      <c r="N724" s="2"/>
      <c r="O724" s="2"/>
      <c r="P724" s="66"/>
      <c r="Q724" s="66"/>
      <c r="R724" s="2"/>
      <c r="S724" s="2"/>
      <c r="T724" s="2"/>
    </row>
    <row r="725" spans="1:20">
      <c r="A725" s="3"/>
      <c r="B725" s="3"/>
      <c r="C725" s="2"/>
      <c r="D725" s="2"/>
      <c r="E725" s="64"/>
      <c r="F725" s="64"/>
      <c r="G725" s="64"/>
      <c r="H725" s="64"/>
      <c r="I725" s="2"/>
      <c r="J725" s="2"/>
      <c r="K725" s="2"/>
      <c r="L725" s="2"/>
      <c r="M725" s="2"/>
      <c r="N725" s="2"/>
      <c r="O725" s="2"/>
      <c r="P725" s="66"/>
      <c r="Q725" s="66"/>
      <c r="R725" s="2"/>
      <c r="S725" s="2"/>
      <c r="T725" s="2"/>
    </row>
    <row r="726" spans="1:20">
      <c r="A726" s="3"/>
      <c r="B726" s="3"/>
      <c r="C726" s="2"/>
      <c r="D726" s="2"/>
      <c r="E726" s="64"/>
      <c r="F726" s="64"/>
      <c r="G726" s="64"/>
      <c r="H726" s="64"/>
      <c r="I726" s="2"/>
      <c r="J726" s="2"/>
      <c r="K726" s="2"/>
      <c r="L726" s="2"/>
      <c r="M726" s="2"/>
      <c r="N726" s="2"/>
      <c r="O726" s="2"/>
      <c r="P726" s="66"/>
      <c r="Q726" s="66"/>
      <c r="R726" s="2"/>
      <c r="S726" s="2"/>
      <c r="T726" s="2"/>
    </row>
    <row r="727" spans="1:20">
      <c r="A727" s="3"/>
      <c r="B727" s="3"/>
      <c r="C727" s="2"/>
      <c r="D727" s="2"/>
      <c r="E727" s="64"/>
      <c r="F727" s="64"/>
      <c r="G727" s="64"/>
      <c r="H727" s="64"/>
      <c r="I727" s="2"/>
      <c r="J727" s="2"/>
      <c r="K727" s="2"/>
      <c r="L727" s="2"/>
      <c r="M727" s="2"/>
      <c r="N727" s="2"/>
      <c r="O727" s="2"/>
      <c r="P727" s="66"/>
      <c r="Q727" s="66"/>
      <c r="R727" s="2"/>
      <c r="S727" s="2"/>
      <c r="T727" s="2"/>
    </row>
    <row r="728" spans="1:20">
      <c r="A728" s="3"/>
      <c r="B728" s="3"/>
      <c r="C728" s="2"/>
      <c r="D728" s="2"/>
      <c r="E728" s="64"/>
      <c r="F728" s="64"/>
      <c r="G728" s="64"/>
      <c r="H728" s="64"/>
      <c r="I728" s="2"/>
      <c r="J728" s="2"/>
      <c r="K728" s="2"/>
      <c r="L728" s="2"/>
      <c r="M728" s="2"/>
      <c r="N728" s="2"/>
      <c r="O728" s="2"/>
      <c r="P728" s="66"/>
      <c r="Q728" s="66"/>
      <c r="R728" s="2"/>
      <c r="S728" s="2"/>
      <c r="T728" s="2"/>
    </row>
    <row r="729" spans="1:20">
      <c r="A729" s="3"/>
      <c r="B729" s="3"/>
      <c r="C729" s="2"/>
      <c r="D729" s="2"/>
      <c r="E729" s="64"/>
      <c r="F729" s="64"/>
      <c r="G729" s="64"/>
      <c r="H729" s="64"/>
      <c r="I729" s="2"/>
      <c r="J729" s="2"/>
      <c r="K729" s="2"/>
      <c r="L729" s="2"/>
      <c r="M729" s="2"/>
      <c r="N729" s="2"/>
      <c r="O729" s="2"/>
      <c r="P729" s="66"/>
      <c r="Q729" s="66"/>
      <c r="R729" s="2"/>
      <c r="S729" s="2"/>
      <c r="T729" s="2"/>
    </row>
    <row r="730" spans="1:20">
      <c r="A730" s="3"/>
      <c r="B730" s="3"/>
      <c r="C730" s="2"/>
      <c r="D730" s="2"/>
      <c r="E730" s="64"/>
      <c r="F730" s="64"/>
      <c r="G730" s="64"/>
      <c r="H730" s="64"/>
      <c r="I730" s="2"/>
      <c r="J730" s="2"/>
      <c r="K730" s="2"/>
      <c r="L730" s="2"/>
      <c r="M730" s="2"/>
      <c r="N730" s="2"/>
      <c r="O730" s="2"/>
      <c r="P730" s="66"/>
      <c r="Q730" s="66"/>
      <c r="R730" s="2"/>
      <c r="S730" s="2"/>
      <c r="T730" s="2"/>
    </row>
    <row r="731" spans="1:20">
      <c r="A731" s="3"/>
      <c r="B731" s="3"/>
      <c r="C731" s="2"/>
      <c r="D731" s="2"/>
      <c r="E731" s="64"/>
      <c r="F731" s="64"/>
      <c r="G731" s="64"/>
      <c r="H731" s="64"/>
      <c r="I731" s="2"/>
      <c r="J731" s="2"/>
      <c r="K731" s="2"/>
      <c r="L731" s="2"/>
      <c r="M731" s="2"/>
      <c r="N731" s="2"/>
      <c r="O731" s="2"/>
      <c r="P731" s="66"/>
      <c r="Q731" s="66"/>
      <c r="R731" s="2"/>
      <c r="S731" s="2"/>
      <c r="T731" s="2"/>
    </row>
    <row r="732" spans="1:20">
      <c r="A732" s="3"/>
      <c r="B732" s="3"/>
      <c r="C732" s="2"/>
      <c r="D732" s="2"/>
      <c r="E732" s="64"/>
      <c r="F732" s="64"/>
      <c r="G732" s="64"/>
      <c r="H732" s="64"/>
      <c r="I732" s="2"/>
      <c r="J732" s="2"/>
      <c r="K732" s="2"/>
      <c r="L732" s="2"/>
      <c r="M732" s="2"/>
      <c r="N732" s="2"/>
      <c r="O732" s="2"/>
      <c r="P732" s="66"/>
      <c r="Q732" s="66"/>
      <c r="R732" s="2"/>
      <c r="S732" s="2"/>
      <c r="T732" s="2"/>
    </row>
    <row r="733" spans="1:20">
      <c r="A733" s="3"/>
      <c r="B733" s="3"/>
      <c r="C733" s="2"/>
      <c r="D733" s="2"/>
      <c r="E733" s="64"/>
      <c r="F733" s="64"/>
      <c r="G733" s="64"/>
      <c r="H733" s="64"/>
      <c r="I733" s="2"/>
      <c r="J733" s="2"/>
      <c r="K733" s="2"/>
      <c r="L733" s="2"/>
      <c r="M733" s="2"/>
      <c r="N733" s="2"/>
      <c r="O733" s="2"/>
      <c r="P733" s="66"/>
      <c r="Q733" s="66"/>
      <c r="R733" s="2"/>
      <c r="S733" s="2"/>
      <c r="T733" s="2"/>
    </row>
    <row r="734" spans="1:20">
      <c r="A734" s="3"/>
      <c r="B734" s="3"/>
      <c r="C734" s="2"/>
      <c r="D734" s="2"/>
      <c r="E734" s="64"/>
      <c r="F734" s="64"/>
      <c r="G734" s="64"/>
      <c r="H734" s="64"/>
      <c r="I734" s="2"/>
      <c r="J734" s="2"/>
      <c r="K734" s="2"/>
      <c r="L734" s="2"/>
      <c r="M734" s="2"/>
      <c r="N734" s="2"/>
      <c r="O734" s="2"/>
      <c r="P734" s="66"/>
      <c r="Q734" s="66"/>
      <c r="R734" s="2"/>
      <c r="S734" s="2"/>
      <c r="T734" s="2"/>
    </row>
    <row r="735" spans="1:20">
      <c r="A735" s="3"/>
      <c r="B735" s="3"/>
      <c r="C735" s="2"/>
      <c r="D735" s="2"/>
      <c r="E735" s="64"/>
      <c r="F735" s="64"/>
      <c r="G735" s="64"/>
      <c r="H735" s="64"/>
      <c r="I735" s="2"/>
      <c r="J735" s="2"/>
      <c r="K735" s="2"/>
      <c r="L735" s="2"/>
      <c r="M735" s="2"/>
      <c r="N735" s="2"/>
      <c r="O735" s="2"/>
      <c r="P735" s="66"/>
      <c r="Q735" s="66"/>
      <c r="R735" s="2"/>
      <c r="S735" s="2"/>
      <c r="T735" s="2"/>
    </row>
    <row r="736" spans="1:20">
      <c r="A736" s="3"/>
      <c r="B736" s="3"/>
      <c r="C736" s="2"/>
      <c r="D736" s="2"/>
      <c r="E736" s="64"/>
      <c r="F736" s="64"/>
      <c r="G736" s="64"/>
      <c r="H736" s="64"/>
      <c r="I736" s="2"/>
      <c r="J736" s="2"/>
      <c r="K736" s="2"/>
      <c r="L736" s="2"/>
      <c r="M736" s="2"/>
      <c r="N736" s="2"/>
      <c r="O736" s="2"/>
      <c r="P736" s="66"/>
      <c r="Q736" s="66"/>
      <c r="R736" s="2"/>
      <c r="S736" s="2"/>
      <c r="T736" s="2"/>
    </row>
    <row r="737" spans="1:20">
      <c r="A737" s="3"/>
      <c r="B737" s="3"/>
      <c r="C737" s="2"/>
      <c r="D737" s="2"/>
      <c r="E737" s="64"/>
      <c r="F737" s="64"/>
      <c r="G737" s="64"/>
      <c r="H737" s="64"/>
      <c r="I737" s="2"/>
      <c r="J737" s="2"/>
      <c r="K737" s="2"/>
      <c r="L737" s="2"/>
      <c r="M737" s="2"/>
      <c r="N737" s="2"/>
      <c r="O737" s="2"/>
      <c r="P737" s="66"/>
      <c r="Q737" s="66"/>
      <c r="R737" s="2"/>
      <c r="S737" s="2"/>
      <c r="T737" s="2"/>
    </row>
    <row r="738" spans="1:20">
      <c r="A738" s="3"/>
      <c r="B738" s="3"/>
      <c r="C738" s="2"/>
      <c r="D738" s="2"/>
      <c r="E738" s="64"/>
      <c r="F738" s="64"/>
      <c r="G738" s="64"/>
      <c r="H738" s="64"/>
      <c r="I738" s="2"/>
      <c r="J738" s="2"/>
      <c r="K738" s="2"/>
      <c r="L738" s="2"/>
      <c r="M738" s="2"/>
      <c r="N738" s="2"/>
      <c r="O738" s="2"/>
      <c r="P738" s="66"/>
      <c r="Q738" s="66"/>
      <c r="R738" s="2"/>
      <c r="S738" s="2"/>
      <c r="T738" s="2"/>
    </row>
    <row r="739" spans="1:20">
      <c r="A739" s="3"/>
      <c r="B739" s="3"/>
      <c r="C739" s="2"/>
      <c r="D739" s="2"/>
      <c r="E739" s="64"/>
      <c r="F739" s="64"/>
      <c r="G739" s="64"/>
      <c r="H739" s="64"/>
      <c r="I739" s="2"/>
      <c r="J739" s="2"/>
      <c r="K739" s="2"/>
      <c r="L739" s="2"/>
      <c r="M739" s="2"/>
      <c r="N739" s="2"/>
      <c r="O739" s="2"/>
      <c r="P739" s="66"/>
      <c r="Q739" s="66"/>
      <c r="R739" s="2"/>
      <c r="S739" s="2"/>
      <c r="T739" s="2"/>
    </row>
    <row r="740" spans="1:20">
      <c r="A740" s="3"/>
      <c r="B740" s="3"/>
      <c r="C740" s="2"/>
      <c r="D740" s="2"/>
      <c r="E740" s="64"/>
      <c r="F740" s="64"/>
      <c r="G740" s="64"/>
      <c r="H740" s="64"/>
      <c r="I740" s="2"/>
      <c r="J740" s="2"/>
      <c r="K740" s="2"/>
      <c r="L740" s="2"/>
      <c r="M740" s="2"/>
      <c r="N740" s="2"/>
      <c r="O740" s="2"/>
      <c r="P740" s="66"/>
      <c r="Q740" s="66"/>
      <c r="R740" s="2"/>
      <c r="S740" s="2"/>
      <c r="T740" s="2"/>
    </row>
    <row r="741" spans="1:20">
      <c r="A741" s="3"/>
      <c r="B741" s="3"/>
      <c r="C741" s="2"/>
      <c r="D741" s="2"/>
      <c r="E741" s="64"/>
      <c r="F741" s="64"/>
      <c r="G741" s="64"/>
      <c r="H741" s="64"/>
      <c r="I741" s="2"/>
      <c r="J741" s="2"/>
      <c r="K741" s="2"/>
      <c r="L741" s="2"/>
      <c r="M741" s="2"/>
      <c r="N741" s="2"/>
      <c r="O741" s="2"/>
      <c r="P741" s="66"/>
      <c r="Q741" s="66"/>
      <c r="R741" s="2"/>
      <c r="S741" s="2"/>
      <c r="T741" s="2"/>
    </row>
    <row r="742" spans="1:20">
      <c r="A742" s="3"/>
      <c r="B742" s="3"/>
      <c r="C742" s="2"/>
      <c r="D742" s="2"/>
      <c r="E742" s="64"/>
      <c r="F742" s="64"/>
      <c r="G742" s="64"/>
      <c r="H742" s="64"/>
      <c r="I742" s="2"/>
      <c r="J742" s="2"/>
      <c r="K742" s="2"/>
      <c r="L742" s="2"/>
      <c r="M742" s="2"/>
      <c r="N742" s="2"/>
      <c r="O742" s="2"/>
      <c r="P742" s="66"/>
      <c r="Q742" s="66"/>
      <c r="R742" s="2"/>
      <c r="S742" s="2"/>
      <c r="T742" s="2"/>
    </row>
    <row r="743" spans="1:20">
      <c r="A743" s="3"/>
      <c r="B743" s="3"/>
      <c r="C743" s="2"/>
      <c r="D743" s="2"/>
      <c r="E743" s="64"/>
      <c r="F743" s="64"/>
      <c r="G743" s="64"/>
      <c r="H743" s="64"/>
      <c r="I743" s="2"/>
      <c r="J743" s="2"/>
      <c r="K743" s="2"/>
      <c r="L743" s="2"/>
      <c r="M743" s="2"/>
      <c r="N743" s="2"/>
      <c r="O743" s="2"/>
      <c r="P743" s="66"/>
      <c r="Q743" s="66"/>
      <c r="R743" s="2"/>
      <c r="S743" s="2"/>
      <c r="T743" s="2"/>
    </row>
    <row r="744" spans="1:20">
      <c r="A744" s="3"/>
      <c r="B744" s="3"/>
      <c r="C744" s="2"/>
      <c r="D744" s="2"/>
      <c r="E744" s="64"/>
      <c r="F744" s="64"/>
      <c r="G744" s="64"/>
      <c r="H744" s="64"/>
      <c r="I744" s="2"/>
      <c r="J744" s="2"/>
      <c r="K744" s="2"/>
      <c r="L744" s="2"/>
      <c r="M744" s="2"/>
      <c r="N744" s="2"/>
      <c r="O744" s="2"/>
      <c r="P744" s="66"/>
      <c r="Q744" s="66"/>
      <c r="R744" s="2"/>
      <c r="S744" s="2"/>
      <c r="T744" s="2"/>
    </row>
    <row r="745" spans="1:20">
      <c r="A745" s="3"/>
      <c r="B745" s="3"/>
      <c r="C745" s="2"/>
      <c r="D745" s="2"/>
      <c r="E745" s="64"/>
      <c r="F745" s="64"/>
      <c r="G745" s="64"/>
      <c r="H745" s="64"/>
      <c r="I745" s="2"/>
      <c r="J745" s="2"/>
      <c r="K745" s="2"/>
      <c r="L745" s="2"/>
      <c r="M745" s="2"/>
      <c r="N745" s="2"/>
      <c r="O745" s="2"/>
      <c r="P745" s="66"/>
      <c r="Q745" s="66"/>
      <c r="R745" s="2"/>
      <c r="S745" s="2"/>
      <c r="T745" s="2"/>
    </row>
    <row r="746" spans="1:20">
      <c r="A746" s="3"/>
      <c r="B746" s="3"/>
      <c r="C746" s="2"/>
      <c r="D746" s="2"/>
      <c r="E746" s="64"/>
      <c r="F746" s="64"/>
      <c r="G746" s="64"/>
      <c r="H746" s="64"/>
      <c r="I746" s="2"/>
      <c r="J746" s="2"/>
      <c r="K746" s="2"/>
      <c r="L746" s="2"/>
      <c r="M746" s="2"/>
      <c r="N746" s="2"/>
      <c r="O746" s="2"/>
      <c r="P746" s="66"/>
      <c r="Q746" s="66"/>
      <c r="R746" s="2"/>
      <c r="S746" s="2"/>
      <c r="T746" s="2"/>
    </row>
    <row r="747" spans="1:20">
      <c r="A747" s="3"/>
      <c r="B747" s="3"/>
      <c r="C747" s="2"/>
      <c r="D747" s="2"/>
      <c r="E747" s="64"/>
      <c r="F747" s="64"/>
      <c r="G747" s="64"/>
      <c r="H747" s="64"/>
      <c r="I747" s="2"/>
      <c r="J747" s="2"/>
      <c r="K747" s="2"/>
      <c r="L747" s="2"/>
      <c r="M747" s="2"/>
      <c r="N747" s="2"/>
      <c r="O747" s="2"/>
      <c r="P747" s="66"/>
      <c r="Q747" s="66"/>
      <c r="R747" s="2"/>
      <c r="S747" s="2"/>
      <c r="T747" s="2"/>
    </row>
    <row r="748" spans="1:20">
      <c r="A748" s="3"/>
      <c r="B748" s="3"/>
      <c r="C748" s="2"/>
      <c r="D748" s="2"/>
      <c r="E748" s="64"/>
      <c r="F748" s="64"/>
      <c r="G748" s="64"/>
      <c r="H748" s="64"/>
      <c r="I748" s="2"/>
      <c r="J748" s="2"/>
      <c r="K748" s="2"/>
      <c r="L748" s="2"/>
      <c r="M748" s="2"/>
      <c r="N748" s="2"/>
      <c r="O748" s="2"/>
      <c r="P748" s="66"/>
      <c r="Q748" s="66"/>
      <c r="R748" s="2"/>
      <c r="S748" s="2"/>
      <c r="T748" s="2"/>
    </row>
    <row r="749" spans="1:20">
      <c r="A749" s="3"/>
      <c r="B749" s="3"/>
      <c r="C749" s="2"/>
      <c r="D749" s="2"/>
      <c r="E749" s="64"/>
      <c r="F749" s="64"/>
      <c r="G749" s="64"/>
      <c r="H749" s="64"/>
      <c r="I749" s="2"/>
      <c r="J749" s="2"/>
      <c r="K749" s="2"/>
      <c r="L749" s="2"/>
      <c r="M749" s="2"/>
      <c r="N749" s="2"/>
      <c r="O749" s="2"/>
      <c r="P749" s="66"/>
      <c r="Q749" s="66"/>
      <c r="R749" s="2"/>
      <c r="S749" s="2"/>
      <c r="T749" s="2"/>
    </row>
    <row r="750" spans="1:20">
      <c r="A750" s="3"/>
      <c r="B750" s="3"/>
      <c r="C750" s="2"/>
      <c r="D750" s="2"/>
      <c r="E750" s="64"/>
      <c r="F750" s="64"/>
      <c r="G750" s="64"/>
      <c r="H750" s="64"/>
      <c r="I750" s="2"/>
      <c r="J750" s="2"/>
      <c r="K750" s="2"/>
      <c r="L750" s="2"/>
      <c r="M750" s="2"/>
      <c r="N750" s="2"/>
      <c r="O750" s="2"/>
      <c r="P750" s="66"/>
      <c r="Q750" s="66"/>
      <c r="R750" s="2"/>
      <c r="S750" s="2"/>
      <c r="T750" s="2"/>
    </row>
    <row r="751" spans="1:20">
      <c r="A751" s="3"/>
      <c r="B751" s="3"/>
      <c r="C751" s="2"/>
      <c r="D751" s="2"/>
      <c r="E751" s="64"/>
      <c r="F751" s="64"/>
      <c r="G751" s="64"/>
      <c r="H751" s="64"/>
      <c r="I751" s="2"/>
      <c r="J751" s="2"/>
      <c r="K751" s="2"/>
      <c r="L751" s="2"/>
      <c r="M751" s="2"/>
      <c r="N751" s="2"/>
      <c r="O751" s="2"/>
      <c r="P751" s="66"/>
      <c r="Q751" s="66"/>
      <c r="R751" s="2"/>
      <c r="S751" s="2"/>
      <c r="T751" s="2"/>
    </row>
    <row r="752" spans="1:20">
      <c r="A752" s="3"/>
      <c r="B752" s="3"/>
      <c r="C752" s="2"/>
      <c r="D752" s="2"/>
      <c r="E752" s="64"/>
      <c r="F752" s="64"/>
      <c r="G752" s="64"/>
      <c r="H752" s="64"/>
      <c r="I752" s="2"/>
      <c r="J752" s="2"/>
      <c r="K752" s="2"/>
      <c r="L752" s="2"/>
      <c r="M752" s="2"/>
      <c r="N752" s="2"/>
      <c r="O752" s="2"/>
      <c r="P752" s="66"/>
      <c r="Q752" s="66"/>
      <c r="R752" s="2"/>
      <c r="S752" s="2"/>
      <c r="T752" s="2"/>
    </row>
    <row r="753" spans="1:20">
      <c r="A753" s="3"/>
      <c r="B753" s="3"/>
      <c r="C753" s="2"/>
      <c r="D753" s="2"/>
      <c r="E753" s="64"/>
      <c r="F753" s="64"/>
      <c r="G753" s="64"/>
      <c r="H753" s="64"/>
      <c r="I753" s="2"/>
      <c r="J753" s="2"/>
      <c r="K753" s="2"/>
      <c r="L753" s="2"/>
      <c r="M753" s="2"/>
      <c r="N753" s="2"/>
      <c r="O753" s="2"/>
      <c r="P753" s="66"/>
      <c r="Q753" s="66"/>
      <c r="R753" s="2"/>
      <c r="S753" s="2"/>
      <c r="T753" s="2"/>
    </row>
    <row r="754" spans="1:20">
      <c r="A754" s="3"/>
      <c r="B754" s="3"/>
      <c r="C754" s="2"/>
      <c r="D754" s="2"/>
      <c r="E754" s="64"/>
      <c r="F754" s="64"/>
      <c r="G754" s="64"/>
      <c r="H754" s="64"/>
      <c r="I754" s="2"/>
      <c r="J754" s="2"/>
      <c r="K754" s="2"/>
      <c r="L754" s="2"/>
      <c r="M754" s="2"/>
      <c r="N754" s="2"/>
      <c r="O754" s="2"/>
      <c r="P754" s="66"/>
      <c r="Q754" s="66"/>
      <c r="R754" s="2"/>
      <c r="S754" s="2"/>
      <c r="T754" s="2"/>
    </row>
    <row r="755" spans="1:20">
      <c r="A755" s="3"/>
      <c r="B755" s="3"/>
      <c r="C755" s="2"/>
      <c r="D755" s="2"/>
      <c r="E755" s="64"/>
      <c r="F755" s="64"/>
      <c r="G755" s="64"/>
      <c r="H755" s="64"/>
      <c r="I755" s="2"/>
      <c r="J755" s="2"/>
      <c r="K755" s="2"/>
      <c r="L755" s="2"/>
      <c r="M755" s="2"/>
      <c r="N755" s="2"/>
      <c r="O755" s="2"/>
      <c r="P755" s="66"/>
      <c r="Q755" s="66"/>
      <c r="R755" s="2"/>
      <c r="S755" s="2"/>
      <c r="T755" s="2"/>
    </row>
    <row r="756" spans="1:20">
      <c r="A756" s="3"/>
      <c r="B756" s="3"/>
      <c r="C756" s="2"/>
      <c r="D756" s="2"/>
      <c r="E756" s="64"/>
      <c r="F756" s="64"/>
      <c r="G756" s="64"/>
      <c r="H756" s="64"/>
      <c r="I756" s="2"/>
      <c r="J756" s="2"/>
      <c r="K756" s="2"/>
      <c r="L756" s="2"/>
      <c r="M756" s="2"/>
      <c r="N756" s="2"/>
      <c r="O756" s="2"/>
      <c r="P756" s="66"/>
      <c r="Q756" s="66"/>
      <c r="R756" s="2"/>
      <c r="S756" s="2"/>
      <c r="T756" s="2"/>
    </row>
    <row r="757" spans="1:20">
      <c r="A757" s="3"/>
      <c r="B757" s="3"/>
      <c r="C757" s="2"/>
      <c r="D757" s="2"/>
      <c r="E757" s="64"/>
      <c r="F757" s="64"/>
      <c r="G757" s="64"/>
      <c r="H757" s="64"/>
      <c r="I757" s="2"/>
      <c r="J757" s="2"/>
      <c r="K757" s="2"/>
      <c r="L757" s="2"/>
      <c r="M757" s="2"/>
      <c r="N757" s="2"/>
      <c r="O757" s="2"/>
      <c r="P757" s="66"/>
      <c r="Q757" s="66"/>
      <c r="R757" s="2"/>
      <c r="S757" s="2"/>
      <c r="T757" s="2"/>
    </row>
    <row r="758" spans="1:20">
      <c r="A758" s="3"/>
      <c r="B758" s="3"/>
      <c r="C758" s="2"/>
      <c r="D758" s="2"/>
      <c r="E758" s="64"/>
      <c r="F758" s="64"/>
      <c r="G758" s="64"/>
      <c r="H758" s="64"/>
      <c r="I758" s="2"/>
      <c r="J758" s="2"/>
      <c r="K758" s="2"/>
      <c r="L758" s="2"/>
      <c r="M758" s="2"/>
      <c r="N758" s="2"/>
      <c r="O758" s="2"/>
      <c r="P758" s="66"/>
      <c r="Q758" s="66"/>
      <c r="R758" s="2"/>
      <c r="S758" s="2"/>
      <c r="T758" s="2"/>
    </row>
    <row r="759" spans="1:20">
      <c r="A759" s="3"/>
      <c r="B759" s="3"/>
      <c r="C759" s="2"/>
      <c r="D759" s="2"/>
      <c r="E759" s="64"/>
      <c r="F759" s="64"/>
      <c r="G759" s="64"/>
      <c r="H759" s="64"/>
      <c r="I759" s="2"/>
      <c r="J759" s="2"/>
      <c r="K759" s="2"/>
      <c r="L759" s="2"/>
      <c r="M759" s="2"/>
      <c r="N759" s="2"/>
      <c r="O759" s="2"/>
      <c r="P759" s="66"/>
      <c r="Q759" s="66"/>
      <c r="R759" s="2"/>
      <c r="S759" s="2"/>
      <c r="T759" s="2"/>
    </row>
    <row r="760" spans="1:20">
      <c r="A760" s="3"/>
      <c r="B760" s="3"/>
      <c r="C760" s="2"/>
      <c r="D760" s="2"/>
      <c r="E760" s="64"/>
      <c r="F760" s="64"/>
      <c r="G760" s="64"/>
      <c r="H760" s="64"/>
      <c r="I760" s="2"/>
      <c r="J760" s="2"/>
      <c r="K760" s="2"/>
      <c r="L760" s="2"/>
      <c r="M760" s="2"/>
      <c r="N760" s="2"/>
      <c r="O760" s="2"/>
      <c r="P760" s="66"/>
      <c r="Q760" s="66"/>
      <c r="R760" s="2"/>
      <c r="S760" s="2"/>
      <c r="T760" s="2"/>
    </row>
    <row r="761" spans="1:20">
      <c r="A761" s="3"/>
      <c r="B761" s="3"/>
      <c r="C761" s="2"/>
      <c r="D761" s="2"/>
      <c r="E761" s="64"/>
      <c r="F761" s="64"/>
      <c r="G761" s="64"/>
      <c r="H761" s="64"/>
      <c r="I761" s="2"/>
      <c r="J761" s="2"/>
      <c r="K761" s="2"/>
      <c r="L761" s="2"/>
      <c r="M761" s="2"/>
      <c r="N761" s="2"/>
      <c r="O761" s="2"/>
      <c r="P761" s="66"/>
      <c r="Q761" s="66"/>
      <c r="R761" s="2"/>
      <c r="S761" s="2"/>
      <c r="T761" s="2"/>
    </row>
    <row r="762" spans="1:20">
      <c r="A762" s="3"/>
      <c r="B762" s="3"/>
      <c r="C762" s="2"/>
      <c r="D762" s="2"/>
      <c r="E762" s="64"/>
      <c r="F762" s="64"/>
      <c r="G762" s="64"/>
      <c r="H762" s="64"/>
      <c r="I762" s="2"/>
      <c r="J762" s="2"/>
      <c r="K762" s="2"/>
      <c r="L762" s="2"/>
      <c r="M762" s="2"/>
      <c r="N762" s="2"/>
      <c r="O762" s="2"/>
      <c r="P762" s="66"/>
      <c r="Q762" s="66"/>
      <c r="R762" s="2"/>
      <c r="S762" s="2"/>
      <c r="T762" s="2"/>
    </row>
    <row r="763" spans="1:20">
      <c r="A763" s="3"/>
      <c r="B763" s="3"/>
      <c r="C763" s="2"/>
      <c r="D763" s="2"/>
      <c r="E763" s="64"/>
      <c r="F763" s="64"/>
      <c r="G763" s="64"/>
      <c r="H763" s="64"/>
      <c r="I763" s="2"/>
      <c r="J763" s="2"/>
      <c r="K763" s="2"/>
      <c r="L763" s="2"/>
      <c r="M763" s="2"/>
      <c r="N763" s="2"/>
      <c r="O763" s="2"/>
      <c r="P763" s="66"/>
      <c r="Q763" s="66"/>
      <c r="R763" s="2"/>
      <c r="S763" s="2"/>
      <c r="T763" s="2"/>
    </row>
    <row r="764" spans="1:20">
      <c r="A764" s="3"/>
      <c r="B764" s="3"/>
      <c r="C764" s="2"/>
      <c r="D764" s="2"/>
      <c r="E764" s="64"/>
      <c r="F764" s="64"/>
      <c r="G764" s="64"/>
      <c r="H764" s="64"/>
      <c r="I764" s="2"/>
      <c r="J764" s="2"/>
      <c r="K764" s="2"/>
      <c r="L764" s="2"/>
      <c r="M764" s="2"/>
      <c r="N764" s="2"/>
      <c r="O764" s="2"/>
      <c r="P764" s="66"/>
      <c r="Q764" s="66"/>
      <c r="R764" s="2"/>
      <c r="S764" s="2"/>
      <c r="T764" s="2"/>
    </row>
    <row r="765" spans="1:20">
      <c r="A765" s="3"/>
      <c r="B765" s="3"/>
      <c r="C765" s="2"/>
      <c r="D765" s="2"/>
      <c r="E765" s="64"/>
      <c r="F765" s="64"/>
      <c r="G765" s="64"/>
      <c r="H765" s="64"/>
      <c r="I765" s="2"/>
      <c r="J765" s="2"/>
      <c r="K765" s="2"/>
      <c r="L765" s="2"/>
      <c r="M765" s="2"/>
      <c r="N765" s="2"/>
      <c r="O765" s="2"/>
      <c r="P765" s="66"/>
      <c r="Q765" s="66"/>
      <c r="R765" s="2"/>
      <c r="S765" s="2"/>
      <c r="T765" s="2"/>
    </row>
    <row r="766" spans="1:20">
      <c r="A766" s="3"/>
      <c r="B766" s="3"/>
      <c r="C766" s="2"/>
      <c r="D766" s="2"/>
      <c r="E766" s="64"/>
      <c r="F766" s="64"/>
      <c r="G766" s="64"/>
      <c r="H766" s="64"/>
      <c r="I766" s="2"/>
      <c r="J766" s="2"/>
      <c r="K766" s="2"/>
      <c r="L766" s="2"/>
      <c r="M766" s="2"/>
      <c r="N766" s="2"/>
      <c r="O766" s="2"/>
      <c r="P766" s="66"/>
      <c r="Q766" s="66"/>
      <c r="R766" s="2"/>
      <c r="S766" s="2"/>
      <c r="T766" s="2"/>
    </row>
    <row r="767" spans="1:20">
      <c r="A767" s="3"/>
      <c r="B767" s="3"/>
      <c r="C767" s="2"/>
      <c r="D767" s="2"/>
      <c r="E767" s="64"/>
      <c r="F767" s="64"/>
      <c r="G767" s="64"/>
      <c r="H767" s="64"/>
      <c r="I767" s="2"/>
      <c r="J767" s="2"/>
      <c r="K767" s="2"/>
      <c r="L767" s="2"/>
      <c r="M767" s="2"/>
      <c r="N767" s="2"/>
      <c r="O767" s="2"/>
      <c r="P767" s="66"/>
      <c r="Q767" s="66"/>
      <c r="R767" s="2"/>
      <c r="S767" s="2"/>
      <c r="T767" s="2"/>
    </row>
    <row r="768" spans="1:20">
      <c r="A768" s="3"/>
      <c r="B768" s="3"/>
      <c r="C768" s="2"/>
      <c r="D768" s="2"/>
      <c r="E768" s="64"/>
      <c r="F768" s="64"/>
      <c r="G768" s="64"/>
      <c r="H768" s="64"/>
      <c r="I768" s="2"/>
      <c r="J768" s="2"/>
      <c r="K768" s="2"/>
      <c r="L768" s="2"/>
      <c r="M768" s="2"/>
      <c r="N768" s="2"/>
      <c r="O768" s="2"/>
      <c r="P768" s="66"/>
      <c r="Q768" s="66"/>
      <c r="R768" s="2"/>
      <c r="S768" s="2"/>
      <c r="T768" s="2"/>
    </row>
    <row r="769" spans="1:20">
      <c r="A769" s="3"/>
      <c r="B769" s="3"/>
      <c r="C769" s="2"/>
      <c r="D769" s="2"/>
      <c r="E769" s="64"/>
      <c r="F769" s="64"/>
      <c r="G769" s="64"/>
      <c r="H769" s="64"/>
      <c r="I769" s="2"/>
      <c r="J769" s="2"/>
      <c r="K769" s="2"/>
      <c r="L769" s="2"/>
      <c r="M769" s="2"/>
      <c r="N769" s="2"/>
      <c r="O769" s="2"/>
      <c r="P769" s="66"/>
      <c r="Q769" s="66"/>
      <c r="R769" s="2"/>
      <c r="S769" s="2"/>
      <c r="T769" s="2"/>
    </row>
    <row r="770" spans="1:20">
      <c r="A770" s="3"/>
      <c r="B770" s="3"/>
      <c r="C770" s="2"/>
      <c r="D770" s="2"/>
      <c r="E770" s="64"/>
      <c r="F770" s="64"/>
      <c r="G770" s="64"/>
      <c r="H770" s="64"/>
      <c r="I770" s="2"/>
      <c r="J770" s="2"/>
      <c r="K770" s="2"/>
      <c r="L770" s="2"/>
      <c r="M770" s="2"/>
      <c r="N770" s="2"/>
      <c r="O770" s="2"/>
      <c r="P770" s="66"/>
      <c r="Q770" s="66"/>
      <c r="R770" s="2"/>
      <c r="S770" s="2"/>
      <c r="T770" s="2"/>
    </row>
    <row r="771" spans="1:20">
      <c r="A771" s="3"/>
      <c r="B771" s="3"/>
      <c r="C771" s="2"/>
      <c r="D771" s="2"/>
      <c r="E771" s="64"/>
      <c r="F771" s="64"/>
      <c r="G771" s="64"/>
      <c r="H771" s="64"/>
      <c r="I771" s="2"/>
      <c r="J771" s="2"/>
      <c r="K771" s="2"/>
      <c r="L771" s="2"/>
      <c r="M771" s="2"/>
      <c r="N771" s="2"/>
      <c r="O771" s="2"/>
      <c r="P771" s="66"/>
      <c r="Q771" s="66"/>
      <c r="R771" s="2"/>
      <c r="S771" s="2"/>
      <c r="T771" s="2"/>
    </row>
    <row r="772" spans="1:20">
      <c r="A772" s="3"/>
      <c r="B772" s="3"/>
      <c r="C772" s="2"/>
      <c r="D772" s="2"/>
      <c r="E772" s="64"/>
      <c r="F772" s="64"/>
      <c r="G772" s="64"/>
      <c r="H772" s="64"/>
      <c r="I772" s="2"/>
      <c r="J772" s="2"/>
      <c r="K772" s="2"/>
      <c r="L772" s="2"/>
      <c r="M772" s="2"/>
      <c r="N772" s="2"/>
      <c r="O772" s="2"/>
      <c r="P772" s="66"/>
      <c r="Q772" s="66"/>
      <c r="R772" s="2"/>
      <c r="S772" s="2"/>
      <c r="T772" s="2"/>
    </row>
    <row r="773" spans="1:20">
      <c r="A773" s="3"/>
      <c r="B773" s="3"/>
      <c r="C773" s="2"/>
      <c r="D773" s="2"/>
      <c r="E773" s="64"/>
      <c r="F773" s="64"/>
      <c r="G773" s="64"/>
      <c r="H773" s="64"/>
      <c r="I773" s="2"/>
      <c r="J773" s="2"/>
      <c r="K773" s="2"/>
      <c r="L773" s="2"/>
      <c r="M773" s="2"/>
      <c r="N773" s="2"/>
      <c r="O773" s="2"/>
      <c r="P773" s="66"/>
      <c r="Q773" s="66"/>
      <c r="R773" s="2"/>
      <c r="S773" s="2"/>
      <c r="T773" s="2"/>
    </row>
    <row r="774" spans="1:20">
      <c r="A774" s="3"/>
      <c r="B774" s="3"/>
      <c r="C774" s="2"/>
      <c r="D774" s="2"/>
      <c r="E774" s="64"/>
      <c r="F774" s="64"/>
      <c r="G774" s="64"/>
      <c r="H774" s="64"/>
      <c r="I774" s="2"/>
      <c r="J774" s="2"/>
      <c r="K774" s="2"/>
      <c r="L774" s="2"/>
      <c r="M774" s="2"/>
      <c r="N774" s="2"/>
      <c r="O774" s="2"/>
      <c r="P774" s="66"/>
      <c r="Q774" s="66"/>
      <c r="R774" s="2"/>
      <c r="S774" s="2"/>
      <c r="T774" s="2"/>
    </row>
    <row r="775" spans="1:20">
      <c r="A775" s="3"/>
      <c r="B775" s="3"/>
      <c r="C775" s="2"/>
      <c r="D775" s="2"/>
      <c r="E775" s="64"/>
      <c r="F775" s="64"/>
      <c r="G775" s="64"/>
      <c r="H775" s="64"/>
      <c r="I775" s="2"/>
      <c r="J775" s="2"/>
      <c r="K775" s="2"/>
      <c r="L775" s="2"/>
      <c r="M775" s="2"/>
      <c r="N775" s="2"/>
      <c r="O775" s="2"/>
      <c r="P775" s="66"/>
      <c r="Q775" s="66"/>
      <c r="R775" s="2"/>
      <c r="S775" s="2"/>
      <c r="T775" s="2"/>
    </row>
    <row r="776" spans="1:20">
      <c r="A776" s="3"/>
      <c r="B776" s="3"/>
      <c r="C776" s="2"/>
      <c r="D776" s="2"/>
      <c r="E776" s="64"/>
      <c r="F776" s="64"/>
      <c r="G776" s="64"/>
      <c r="H776" s="64"/>
      <c r="I776" s="2"/>
      <c r="J776" s="2"/>
      <c r="K776" s="2"/>
      <c r="L776" s="2"/>
      <c r="M776" s="2"/>
      <c r="N776" s="2"/>
      <c r="O776" s="2"/>
      <c r="P776" s="66"/>
      <c r="Q776" s="66"/>
      <c r="R776" s="2"/>
      <c r="S776" s="2"/>
      <c r="T776" s="2"/>
    </row>
    <row r="777" spans="1:20">
      <c r="A777" s="3"/>
      <c r="B777" s="3"/>
      <c r="C777" s="2"/>
      <c r="D777" s="2"/>
      <c r="E777" s="64"/>
      <c r="F777" s="64"/>
      <c r="G777" s="64"/>
      <c r="H777" s="64"/>
      <c r="I777" s="2"/>
      <c r="J777" s="2"/>
      <c r="K777" s="2"/>
      <c r="L777" s="2"/>
      <c r="M777" s="2"/>
      <c r="N777" s="2"/>
      <c r="O777" s="2"/>
      <c r="P777" s="66"/>
      <c r="Q777" s="66"/>
      <c r="R777" s="2"/>
      <c r="S777" s="2"/>
      <c r="T777" s="2"/>
    </row>
    <row r="778" spans="1:20">
      <c r="A778" s="3"/>
      <c r="B778" s="3"/>
      <c r="C778" s="2"/>
      <c r="D778" s="2"/>
      <c r="E778" s="64"/>
      <c r="F778" s="64"/>
      <c r="G778" s="64"/>
      <c r="H778" s="64"/>
      <c r="I778" s="2"/>
      <c r="J778" s="2"/>
      <c r="K778" s="2"/>
      <c r="L778" s="2"/>
      <c r="M778" s="2"/>
      <c r="N778" s="2"/>
      <c r="O778" s="2"/>
      <c r="P778" s="66"/>
      <c r="Q778" s="66"/>
      <c r="R778" s="2"/>
      <c r="S778" s="2"/>
      <c r="T778" s="2"/>
    </row>
    <row r="779" spans="1:20">
      <c r="A779" s="3"/>
      <c r="B779" s="3"/>
      <c r="C779" s="2"/>
      <c r="D779" s="2"/>
      <c r="E779" s="64"/>
      <c r="F779" s="64"/>
      <c r="G779" s="64"/>
      <c r="H779" s="64"/>
      <c r="I779" s="2"/>
      <c r="J779" s="2"/>
      <c r="K779" s="2"/>
      <c r="L779" s="2"/>
      <c r="M779" s="2"/>
      <c r="N779" s="2"/>
      <c r="O779" s="2"/>
      <c r="P779" s="66"/>
      <c r="Q779" s="66"/>
      <c r="R779" s="2"/>
      <c r="S779" s="2"/>
      <c r="T779" s="2"/>
    </row>
    <row r="780" spans="1:20">
      <c r="A780" s="3"/>
      <c r="B780" s="3"/>
      <c r="C780" s="2"/>
      <c r="D780" s="2"/>
      <c r="E780" s="64"/>
      <c r="F780" s="64"/>
      <c r="G780" s="64"/>
      <c r="H780" s="64"/>
      <c r="I780" s="2"/>
      <c r="J780" s="2"/>
      <c r="K780" s="2"/>
      <c r="L780" s="2"/>
      <c r="M780" s="2"/>
      <c r="N780" s="2"/>
      <c r="O780" s="2"/>
      <c r="P780" s="66"/>
      <c r="Q780" s="66"/>
      <c r="R780" s="2"/>
      <c r="S780" s="2"/>
      <c r="T780" s="2"/>
    </row>
    <row r="781" spans="1:20">
      <c r="A781" s="3"/>
      <c r="B781" s="3"/>
      <c r="C781" s="2"/>
      <c r="D781" s="2"/>
      <c r="E781" s="64"/>
      <c r="F781" s="64"/>
      <c r="G781" s="64"/>
      <c r="H781" s="64"/>
      <c r="I781" s="2"/>
      <c r="J781" s="2"/>
      <c r="K781" s="2"/>
      <c r="L781" s="2"/>
      <c r="M781" s="2"/>
      <c r="N781" s="2"/>
      <c r="O781" s="2"/>
      <c r="P781" s="66"/>
      <c r="Q781" s="66"/>
      <c r="R781" s="2"/>
      <c r="S781" s="2"/>
      <c r="T781" s="2"/>
    </row>
    <row r="782" spans="1:20">
      <c r="A782" s="3"/>
      <c r="B782" s="3"/>
      <c r="C782" s="2"/>
      <c r="D782" s="2"/>
      <c r="E782" s="64"/>
      <c r="F782" s="64"/>
      <c r="G782" s="64"/>
      <c r="H782" s="64"/>
      <c r="I782" s="2"/>
      <c r="J782" s="2"/>
      <c r="K782" s="2"/>
      <c r="L782" s="2"/>
      <c r="M782" s="2"/>
      <c r="N782" s="2"/>
      <c r="O782" s="2"/>
      <c r="P782" s="66"/>
      <c r="Q782" s="66"/>
      <c r="R782" s="2"/>
      <c r="S782" s="2"/>
      <c r="T782" s="2"/>
    </row>
    <row r="783" spans="1:20">
      <c r="A783" s="3"/>
      <c r="B783" s="3"/>
      <c r="C783" s="2"/>
      <c r="D783" s="2"/>
      <c r="E783" s="64"/>
      <c r="F783" s="64"/>
      <c r="G783" s="64"/>
      <c r="H783" s="64"/>
      <c r="I783" s="2"/>
      <c r="J783" s="2"/>
      <c r="K783" s="2"/>
      <c r="L783" s="2"/>
      <c r="M783" s="2"/>
      <c r="N783" s="2"/>
      <c r="O783" s="2"/>
      <c r="P783" s="66"/>
      <c r="Q783" s="66"/>
      <c r="R783" s="2"/>
      <c r="S783" s="2"/>
      <c r="T783" s="2"/>
    </row>
    <row r="784" spans="1:20">
      <c r="A784" s="3"/>
      <c r="B784" s="3"/>
      <c r="C784" s="2"/>
      <c r="D784" s="2"/>
      <c r="E784" s="64"/>
      <c r="F784" s="64"/>
      <c r="G784" s="64"/>
      <c r="H784" s="64"/>
      <c r="I784" s="2"/>
      <c r="J784" s="2"/>
      <c r="K784" s="2"/>
      <c r="L784" s="2"/>
      <c r="M784" s="2"/>
      <c r="N784" s="2"/>
      <c r="O784" s="2"/>
      <c r="P784" s="66"/>
      <c r="Q784" s="66"/>
      <c r="R784" s="2"/>
      <c r="S784" s="2"/>
      <c r="T784" s="2"/>
    </row>
    <row r="785" spans="1:20">
      <c r="A785" s="3"/>
      <c r="B785" s="3"/>
      <c r="C785" s="2"/>
      <c r="D785" s="2"/>
      <c r="E785" s="64"/>
      <c r="F785" s="64"/>
      <c r="G785" s="64"/>
      <c r="H785" s="64"/>
      <c r="I785" s="2"/>
      <c r="J785" s="2"/>
      <c r="K785" s="2"/>
      <c r="L785" s="2"/>
      <c r="M785" s="2"/>
      <c r="N785" s="2"/>
      <c r="O785" s="2"/>
      <c r="P785" s="66"/>
      <c r="Q785" s="66"/>
      <c r="R785" s="2"/>
      <c r="S785" s="2"/>
      <c r="T785" s="2"/>
    </row>
    <row r="786" spans="1:20">
      <c r="A786" s="3"/>
      <c r="B786" s="3"/>
      <c r="C786" s="2"/>
      <c r="D786" s="2"/>
      <c r="E786" s="64"/>
      <c r="F786" s="64"/>
      <c r="G786" s="64"/>
      <c r="H786" s="64"/>
      <c r="I786" s="2"/>
      <c r="J786" s="2"/>
      <c r="K786" s="2"/>
      <c r="L786" s="2"/>
      <c r="M786" s="2"/>
      <c r="N786" s="2"/>
      <c r="O786" s="2"/>
      <c r="P786" s="66"/>
      <c r="Q786" s="66"/>
      <c r="R786" s="2"/>
      <c r="S786" s="2"/>
      <c r="T786" s="2"/>
    </row>
    <row r="787" spans="1:20">
      <c r="A787" s="3"/>
      <c r="B787" s="3"/>
      <c r="C787" s="2"/>
      <c r="D787" s="2"/>
      <c r="E787" s="64"/>
      <c r="F787" s="64"/>
      <c r="G787" s="64"/>
      <c r="H787" s="64"/>
      <c r="I787" s="2"/>
      <c r="J787" s="2"/>
      <c r="K787" s="2"/>
      <c r="L787" s="2"/>
      <c r="M787" s="2"/>
      <c r="N787" s="2"/>
      <c r="O787" s="2"/>
      <c r="P787" s="66"/>
      <c r="Q787" s="66"/>
      <c r="R787" s="2"/>
      <c r="S787" s="2"/>
      <c r="T787" s="2"/>
    </row>
    <row r="788" spans="1:20">
      <c r="A788" s="3"/>
      <c r="B788" s="3"/>
      <c r="C788" s="2"/>
      <c r="D788" s="2"/>
      <c r="E788" s="64"/>
      <c r="F788" s="64"/>
      <c r="G788" s="64"/>
      <c r="H788" s="64"/>
      <c r="I788" s="2"/>
      <c r="J788" s="2"/>
      <c r="K788" s="2"/>
      <c r="L788" s="2"/>
      <c r="M788" s="2"/>
      <c r="N788" s="2"/>
      <c r="O788" s="2"/>
      <c r="P788" s="66"/>
      <c r="Q788" s="66"/>
      <c r="R788" s="2"/>
      <c r="S788" s="2"/>
      <c r="T788" s="2"/>
    </row>
    <row r="789" spans="1:20">
      <c r="A789" s="3"/>
      <c r="B789" s="3"/>
      <c r="C789" s="2"/>
      <c r="D789" s="2"/>
      <c r="E789" s="64"/>
      <c r="F789" s="64"/>
      <c r="G789" s="64"/>
      <c r="H789" s="64"/>
      <c r="I789" s="2"/>
      <c r="J789" s="2"/>
      <c r="K789" s="2"/>
      <c r="L789" s="2"/>
      <c r="M789" s="2"/>
      <c r="N789" s="2"/>
      <c r="O789" s="2"/>
      <c r="P789" s="66"/>
      <c r="Q789" s="66"/>
      <c r="R789" s="2"/>
      <c r="S789" s="2"/>
      <c r="T789" s="2"/>
    </row>
    <row r="790" spans="1:20">
      <c r="A790" s="3"/>
      <c r="B790" s="3"/>
      <c r="C790" s="2"/>
      <c r="D790" s="2"/>
      <c r="E790" s="64"/>
      <c r="F790" s="64"/>
      <c r="G790" s="64"/>
      <c r="H790" s="64"/>
      <c r="I790" s="2"/>
      <c r="J790" s="2"/>
      <c r="K790" s="2"/>
      <c r="L790" s="2"/>
      <c r="M790" s="2"/>
      <c r="N790" s="2"/>
      <c r="O790" s="2"/>
      <c r="P790" s="66"/>
      <c r="Q790" s="66"/>
      <c r="R790" s="2"/>
      <c r="S790" s="2"/>
      <c r="T790" s="2"/>
    </row>
    <row r="791" spans="1:20">
      <c r="A791" s="3"/>
      <c r="B791" s="3"/>
      <c r="C791" s="2"/>
      <c r="D791" s="2"/>
      <c r="E791" s="64"/>
      <c r="F791" s="64"/>
      <c r="G791" s="64"/>
      <c r="H791" s="64"/>
      <c r="I791" s="2"/>
      <c r="J791" s="2"/>
      <c r="K791" s="2"/>
      <c r="L791" s="2"/>
      <c r="M791" s="2"/>
      <c r="N791" s="2"/>
      <c r="O791" s="2"/>
      <c r="P791" s="66"/>
      <c r="Q791" s="66"/>
      <c r="R791" s="2"/>
      <c r="S791" s="2"/>
      <c r="T791" s="2"/>
    </row>
    <row r="792" spans="1:20">
      <c r="A792" s="3"/>
      <c r="B792" s="3"/>
      <c r="C792" s="2"/>
      <c r="D792" s="2"/>
      <c r="E792" s="64"/>
      <c r="F792" s="64"/>
      <c r="G792" s="64"/>
      <c r="H792" s="64"/>
      <c r="I792" s="2"/>
      <c r="J792" s="2"/>
      <c r="K792" s="2"/>
      <c r="L792" s="2"/>
      <c r="M792" s="2"/>
      <c r="N792" s="2"/>
      <c r="O792" s="2"/>
      <c r="P792" s="66"/>
      <c r="Q792" s="66"/>
      <c r="R792" s="2"/>
      <c r="S792" s="2"/>
      <c r="T792" s="2"/>
    </row>
    <row r="793" spans="1:20">
      <c r="A793" s="3"/>
      <c r="B793" s="3"/>
      <c r="C793" s="2"/>
      <c r="D793" s="2"/>
      <c r="E793" s="64"/>
      <c r="F793" s="64"/>
      <c r="G793" s="64"/>
      <c r="H793" s="64"/>
      <c r="I793" s="2"/>
      <c r="J793" s="2"/>
      <c r="K793" s="2"/>
      <c r="L793" s="2"/>
      <c r="M793" s="2"/>
      <c r="N793" s="2"/>
      <c r="O793" s="2"/>
      <c r="P793" s="66"/>
      <c r="Q793" s="66"/>
      <c r="R793" s="2"/>
      <c r="S793" s="2"/>
      <c r="T793" s="2"/>
    </row>
    <row r="794" spans="1:20">
      <c r="A794" s="3"/>
      <c r="B794" s="3"/>
      <c r="C794" s="2"/>
      <c r="D794" s="2"/>
      <c r="E794" s="64"/>
      <c r="F794" s="64"/>
      <c r="G794" s="64"/>
      <c r="H794" s="64"/>
      <c r="I794" s="2"/>
      <c r="J794" s="2"/>
      <c r="K794" s="2"/>
      <c r="L794" s="2"/>
      <c r="M794" s="2"/>
      <c r="N794" s="2"/>
      <c r="O794" s="2"/>
      <c r="P794" s="66"/>
      <c r="Q794" s="66"/>
      <c r="R794" s="2"/>
      <c r="S794" s="2"/>
      <c r="T794" s="2"/>
    </row>
    <row r="795" spans="1:20">
      <c r="A795" s="3"/>
      <c r="B795" s="3"/>
      <c r="C795" s="2"/>
      <c r="D795" s="2"/>
      <c r="E795" s="64"/>
      <c r="F795" s="64"/>
      <c r="G795" s="64"/>
      <c r="H795" s="64"/>
      <c r="I795" s="2"/>
      <c r="J795" s="2"/>
      <c r="K795" s="2"/>
      <c r="L795" s="2"/>
      <c r="M795" s="2"/>
      <c r="N795" s="2"/>
      <c r="O795" s="2"/>
      <c r="P795" s="66"/>
      <c r="Q795" s="66"/>
      <c r="R795" s="2"/>
      <c r="S795" s="2"/>
      <c r="T795" s="2"/>
    </row>
    <row r="796" spans="1:20">
      <c r="A796" s="3"/>
      <c r="B796" s="3"/>
      <c r="C796" s="2"/>
      <c r="D796" s="2"/>
      <c r="E796" s="64"/>
      <c r="F796" s="64"/>
      <c r="G796" s="64"/>
      <c r="H796" s="64"/>
      <c r="I796" s="2"/>
      <c r="J796" s="2"/>
      <c r="K796" s="2"/>
      <c r="L796" s="2"/>
      <c r="M796" s="2"/>
      <c r="N796" s="2"/>
      <c r="O796" s="2"/>
      <c r="P796" s="66"/>
      <c r="Q796" s="66"/>
      <c r="R796" s="2"/>
      <c r="S796" s="2"/>
      <c r="T796" s="2"/>
    </row>
    <row r="797" spans="1:20">
      <c r="A797" s="3"/>
      <c r="B797" s="3"/>
      <c r="C797" s="2"/>
      <c r="D797" s="2"/>
      <c r="E797" s="64"/>
      <c r="F797" s="64"/>
      <c r="G797" s="64"/>
      <c r="H797" s="64"/>
      <c r="I797" s="2"/>
      <c r="J797" s="2"/>
      <c r="K797" s="2"/>
      <c r="L797" s="2"/>
      <c r="M797" s="2"/>
      <c r="N797" s="2"/>
      <c r="O797" s="2"/>
      <c r="P797" s="66"/>
      <c r="Q797" s="66"/>
      <c r="R797" s="2"/>
      <c r="S797" s="2"/>
      <c r="T797" s="2"/>
    </row>
    <row r="798" spans="1:20">
      <c r="A798" s="3"/>
      <c r="B798" s="3"/>
      <c r="C798" s="2"/>
      <c r="D798" s="2"/>
      <c r="E798" s="64"/>
      <c r="F798" s="64"/>
      <c r="G798" s="64"/>
      <c r="H798" s="64"/>
      <c r="I798" s="2"/>
      <c r="J798" s="2"/>
      <c r="K798" s="2"/>
      <c r="L798" s="2"/>
      <c r="M798" s="2"/>
      <c r="N798" s="2"/>
      <c r="O798" s="2"/>
      <c r="P798" s="66"/>
      <c r="Q798" s="66"/>
      <c r="R798" s="2"/>
      <c r="S798" s="2"/>
      <c r="T798" s="2"/>
    </row>
    <row r="799" spans="1:20">
      <c r="A799" s="3"/>
      <c r="B799" s="3"/>
      <c r="C799" s="2"/>
      <c r="D799" s="2"/>
      <c r="E799" s="64"/>
      <c r="F799" s="64"/>
      <c r="G799" s="64"/>
      <c r="H799" s="64"/>
      <c r="I799" s="2"/>
      <c r="J799" s="2"/>
      <c r="K799" s="2"/>
      <c r="L799" s="2"/>
      <c r="M799" s="2"/>
      <c r="N799" s="2"/>
      <c r="O799" s="2"/>
      <c r="P799" s="66"/>
      <c r="Q799" s="66"/>
      <c r="R799" s="2"/>
      <c r="S799" s="2"/>
      <c r="T799" s="2"/>
    </row>
    <row r="800" spans="1:20">
      <c r="A800" s="3"/>
      <c r="B800" s="3"/>
      <c r="C800" s="2"/>
      <c r="D800" s="2"/>
      <c r="E800" s="64"/>
      <c r="F800" s="64"/>
      <c r="G800" s="64"/>
      <c r="H800" s="64"/>
      <c r="I800" s="2"/>
      <c r="J800" s="2"/>
      <c r="K800" s="2"/>
      <c r="L800" s="2"/>
      <c r="M800" s="2"/>
      <c r="N800" s="2"/>
      <c r="O800" s="2"/>
      <c r="P800" s="66"/>
      <c r="Q800" s="66"/>
      <c r="R800" s="2"/>
      <c r="S800" s="2"/>
      <c r="T800" s="2"/>
    </row>
    <row r="801" spans="1:20">
      <c r="A801" s="3"/>
      <c r="B801" s="3"/>
      <c r="C801" s="2"/>
      <c r="D801" s="2"/>
      <c r="E801" s="64"/>
      <c r="F801" s="64"/>
      <c r="G801" s="64"/>
      <c r="H801" s="64"/>
      <c r="I801" s="2"/>
      <c r="J801" s="2"/>
      <c r="K801" s="2"/>
      <c r="L801" s="2"/>
      <c r="M801" s="2"/>
      <c r="N801" s="2"/>
      <c r="O801" s="2"/>
      <c r="P801" s="66"/>
      <c r="Q801" s="66"/>
      <c r="R801" s="2"/>
      <c r="S801" s="2"/>
      <c r="T801" s="2"/>
    </row>
    <row r="802" spans="1:20">
      <c r="A802" s="3"/>
      <c r="B802" s="3"/>
      <c r="C802" s="2"/>
      <c r="D802" s="2"/>
      <c r="E802" s="64"/>
      <c r="F802" s="64"/>
      <c r="G802" s="64"/>
      <c r="H802" s="64"/>
      <c r="I802" s="2"/>
      <c r="J802" s="2"/>
      <c r="K802" s="2"/>
      <c r="L802" s="2"/>
      <c r="M802" s="2"/>
      <c r="N802" s="2"/>
      <c r="O802" s="2"/>
      <c r="P802" s="66"/>
      <c r="Q802" s="66"/>
      <c r="R802" s="2"/>
      <c r="S802" s="2"/>
      <c r="T802" s="2"/>
    </row>
    <row r="803" spans="1:20">
      <c r="A803" s="3"/>
      <c r="B803" s="3"/>
      <c r="C803" s="2"/>
      <c r="D803" s="2"/>
      <c r="E803" s="64"/>
      <c r="F803" s="64"/>
      <c r="G803" s="64"/>
      <c r="H803" s="64"/>
      <c r="I803" s="2"/>
      <c r="J803" s="2"/>
      <c r="K803" s="2"/>
      <c r="L803" s="2"/>
      <c r="M803" s="2"/>
      <c r="N803" s="2"/>
      <c r="O803" s="2"/>
      <c r="P803" s="66"/>
      <c r="Q803" s="66"/>
      <c r="R803" s="2"/>
      <c r="S803" s="2"/>
      <c r="T803" s="2"/>
    </row>
    <row r="804" spans="1:20">
      <c r="A804" s="3"/>
      <c r="B804" s="3"/>
      <c r="C804" s="2"/>
      <c r="D804" s="2"/>
      <c r="E804" s="64"/>
      <c r="F804" s="64"/>
      <c r="G804" s="64"/>
      <c r="H804" s="64"/>
      <c r="I804" s="2"/>
      <c r="J804" s="2"/>
      <c r="K804" s="2"/>
      <c r="L804" s="2"/>
      <c r="M804" s="2"/>
      <c r="N804" s="2"/>
      <c r="O804" s="2"/>
      <c r="P804" s="66"/>
      <c r="Q804" s="66"/>
      <c r="R804" s="2"/>
      <c r="S804" s="2"/>
      <c r="T804" s="2"/>
    </row>
    <row r="805" spans="1:20">
      <c r="A805" s="3"/>
      <c r="B805" s="3"/>
      <c r="C805" s="2"/>
      <c r="D805" s="2"/>
      <c r="E805" s="64"/>
      <c r="F805" s="64"/>
      <c r="G805" s="64"/>
      <c r="H805" s="64"/>
      <c r="I805" s="2"/>
      <c r="J805" s="2"/>
      <c r="K805" s="2"/>
      <c r="L805" s="2"/>
      <c r="M805" s="2"/>
      <c r="N805" s="2"/>
      <c r="O805" s="2"/>
      <c r="P805" s="66"/>
      <c r="Q805" s="66"/>
      <c r="R805" s="2"/>
      <c r="S805" s="2"/>
      <c r="T805" s="2"/>
    </row>
    <row r="806" spans="1:20">
      <c r="A806" s="3"/>
      <c r="B806" s="3"/>
      <c r="C806" s="2"/>
      <c r="D806" s="2"/>
      <c r="E806" s="64"/>
      <c r="F806" s="64"/>
      <c r="G806" s="64"/>
      <c r="H806" s="64"/>
      <c r="I806" s="2"/>
      <c r="J806" s="2"/>
      <c r="K806" s="2"/>
      <c r="L806" s="2"/>
      <c r="M806" s="2"/>
      <c r="N806" s="2"/>
      <c r="O806" s="2"/>
      <c r="P806" s="66"/>
      <c r="Q806" s="66"/>
      <c r="R806" s="2"/>
      <c r="S806" s="2"/>
      <c r="T806" s="2"/>
    </row>
    <row r="807" spans="1:20">
      <c r="A807" s="3"/>
      <c r="B807" s="3"/>
      <c r="C807" s="2"/>
      <c r="D807" s="2"/>
      <c r="E807" s="64"/>
      <c r="F807" s="64"/>
      <c r="G807" s="64"/>
      <c r="H807" s="64"/>
      <c r="I807" s="2"/>
      <c r="J807" s="2"/>
      <c r="K807" s="2"/>
      <c r="L807" s="2"/>
      <c r="M807" s="2"/>
      <c r="N807" s="2"/>
      <c r="O807" s="2"/>
      <c r="P807" s="66"/>
      <c r="Q807" s="66"/>
      <c r="R807" s="2"/>
      <c r="S807" s="2"/>
      <c r="T807" s="2"/>
    </row>
    <row r="808" spans="1:20">
      <c r="A808" s="3"/>
      <c r="B808" s="3"/>
      <c r="C808" s="2"/>
      <c r="D808" s="2"/>
      <c r="E808" s="64"/>
      <c r="F808" s="64"/>
      <c r="G808" s="64"/>
      <c r="H808" s="64"/>
      <c r="I808" s="2"/>
      <c r="J808" s="2"/>
      <c r="K808" s="2"/>
      <c r="L808" s="2"/>
      <c r="M808" s="2"/>
      <c r="N808" s="2"/>
      <c r="O808" s="2"/>
      <c r="P808" s="66"/>
      <c r="Q808" s="66"/>
      <c r="R808" s="2"/>
      <c r="S808" s="2"/>
      <c r="T808" s="2"/>
    </row>
    <row r="809" spans="1:20">
      <c r="A809" s="3"/>
      <c r="B809" s="3"/>
      <c r="C809" s="2"/>
      <c r="D809" s="2"/>
      <c r="E809" s="64"/>
      <c r="F809" s="64"/>
      <c r="G809" s="64"/>
      <c r="H809" s="64"/>
      <c r="I809" s="2"/>
      <c r="J809" s="2"/>
      <c r="K809" s="2"/>
      <c r="L809" s="2"/>
      <c r="M809" s="2"/>
      <c r="N809" s="2"/>
      <c r="O809" s="2"/>
      <c r="P809" s="66"/>
      <c r="Q809" s="66"/>
      <c r="R809" s="2"/>
      <c r="S809" s="2"/>
      <c r="T809" s="2"/>
    </row>
    <row r="810" spans="1:20">
      <c r="A810" s="3"/>
      <c r="B810" s="3"/>
      <c r="C810" s="2"/>
      <c r="D810" s="2"/>
      <c r="E810" s="64"/>
      <c r="F810" s="64"/>
      <c r="G810" s="64"/>
      <c r="H810" s="64"/>
      <c r="I810" s="2"/>
      <c r="J810" s="2"/>
      <c r="K810" s="2"/>
      <c r="L810" s="2"/>
      <c r="M810" s="2"/>
      <c r="N810" s="2"/>
      <c r="O810" s="2"/>
      <c r="P810" s="66"/>
      <c r="Q810" s="66"/>
      <c r="R810" s="2"/>
      <c r="S810" s="2"/>
      <c r="T810" s="2"/>
    </row>
    <row r="811" spans="1:20">
      <c r="A811" s="3"/>
      <c r="B811" s="3"/>
      <c r="C811" s="2"/>
      <c r="D811" s="2"/>
      <c r="E811" s="64"/>
      <c r="F811" s="64"/>
      <c r="G811" s="64"/>
      <c r="H811" s="64"/>
      <c r="I811" s="2"/>
      <c r="J811" s="2"/>
      <c r="K811" s="2"/>
      <c r="L811" s="2"/>
      <c r="M811" s="2"/>
      <c r="N811" s="2"/>
      <c r="O811" s="2"/>
      <c r="P811" s="66"/>
      <c r="Q811" s="66"/>
      <c r="R811" s="2"/>
      <c r="S811" s="2"/>
      <c r="T811" s="2"/>
    </row>
    <row r="812" spans="1:20">
      <c r="A812" s="3"/>
      <c r="B812" s="3"/>
      <c r="C812" s="2"/>
      <c r="D812" s="2"/>
      <c r="E812" s="64"/>
      <c r="F812" s="64"/>
      <c r="G812" s="64"/>
      <c r="H812" s="64"/>
      <c r="I812" s="2"/>
      <c r="J812" s="2"/>
      <c r="K812" s="2"/>
      <c r="L812" s="2"/>
      <c r="M812" s="2"/>
      <c r="N812" s="2"/>
      <c r="O812" s="2"/>
      <c r="P812" s="66"/>
      <c r="Q812" s="66"/>
      <c r="R812" s="2"/>
      <c r="S812" s="2"/>
      <c r="T812" s="2"/>
    </row>
    <row r="813" spans="1:20">
      <c r="A813" s="3"/>
      <c r="B813" s="3"/>
      <c r="C813" s="2"/>
      <c r="D813" s="2"/>
      <c r="E813" s="64"/>
      <c r="F813" s="64"/>
      <c r="G813" s="64"/>
      <c r="H813" s="64"/>
      <c r="I813" s="2"/>
      <c r="J813" s="2"/>
      <c r="K813" s="2"/>
      <c r="L813" s="2"/>
      <c r="M813" s="2"/>
      <c r="N813" s="2"/>
      <c r="O813" s="2"/>
      <c r="P813" s="66"/>
      <c r="Q813" s="66"/>
      <c r="R813" s="2"/>
      <c r="S813" s="2"/>
      <c r="T813" s="2"/>
    </row>
    <row r="814" spans="1:20">
      <c r="A814" s="3"/>
      <c r="B814" s="3"/>
      <c r="C814" s="2"/>
      <c r="D814" s="2"/>
      <c r="E814" s="64"/>
      <c r="F814" s="64"/>
      <c r="G814" s="64"/>
      <c r="H814" s="64"/>
      <c r="I814" s="2"/>
      <c r="J814" s="2"/>
      <c r="K814" s="2"/>
      <c r="L814" s="2"/>
      <c r="M814" s="2"/>
      <c r="N814" s="2"/>
      <c r="O814" s="2"/>
      <c r="P814" s="66"/>
      <c r="Q814" s="66"/>
      <c r="R814" s="2"/>
      <c r="S814" s="2"/>
      <c r="T814" s="2"/>
    </row>
    <row r="815" spans="1:20">
      <c r="A815" s="3"/>
      <c r="B815" s="3"/>
      <c r="C815" s="2"/>
      <c r="D815" s="2"/>
      <c r="E815" s="64"/>
      <c r="F815" s="64"/>
      <c r="G815" s="64"/>
      <c r="H815" s="64"/>
      <c r="I815" s="2"/>
      <c r="J815" s="2"/>
      <c r="K815" s="2"/>
      <c r="L815" s="2"/>
      <c r="M815" s="2"/>
      <c r="N815" s="2"/>
      <c r="O815" s="2"/>
      <c r="P815" s="66"/>
      <c r="Q815" s="66"/>
      <c r="R815" s="2"/>
      <c r="S815" s="2"/>
      <c r="T815" s="2"/>
    </row>
    <row r="816" spans="1:20">
      <c r="A816" s="3"/>
      <c r="B816" s="3"/>
      <c r="C816" s="2"/>
      <c r="D816" s="2"/>
      <c r="E816" s="64"/>
      <c r="F816" s="64"/>
      <c r="G816" s="64"/>
      <c r="H816" s="64"/>
      <c r="I816" s="2"/>
      <c r="J816" s="2"/>
      <c r="K816" s="2"/>
      <c r="L816" s="2"/>
      <c r="M816" s="2"/>
      <c r="N816" s="2"/>
      <c r="O816" s="2"/>
      <c r="P816" s="66"/>
      <c r="Q816" s="66"/>
      <c r="R816" s="2"/>
      <c r="S816" s="2"/>
      <c r="T816" s="2"/>
    </row>
    <row r="817" spans="1:20">
      <c r="A817" s="3"/>
      <c r="B817" s="3"/>
      <c r="C817" s="2"/>
      <c r="D817" s="2"/>
      <c r="E817" s="64"/>
      <c r="F817" s="64"/>
      <c r="G817" s="64"/>
      <c r="H817" s="64"/>
      <c r="I817" s="2"/>
      <c r="J817" s="2"/>
      <c r="K817" s="2"/>
      <c r="L817" s="2"/>
      <c r="M817" s="2"/>
      <c r="N817" s="2"/>
      <c r="O817" s="2"/>
      <c r="P817" s="66"/>
      <c r="Q817" s="66"/>
      <c r="R817" s="2"/>
      <c r="S817" s="2"/>
      <c r="T817" s="2"/>
    </row>
    <row r="818" spans="1:20">
      <c r="A818" s="3"/>
      <c r="B818" s="3"/>
      <c r="C818" s="2"/>
      <c r="D818" s="2"/>
      <c r="E818" s="64"/>
      <c r="F818" s="64"/>
      <c r="G818" s="64"/>
      <c r="H818" s="64"/>
      <c r="I818" s="2"/>
      <c r="J818" s="2"/>
      <c r="K818" s="2"/>
      <c r="L818" s="2"/>
      <c r="M818" s="2"/>
      <c r="N818" s="2"/>
      <c r="O818" s="2"/>
      <c r="P818" s="66"/>
      <c r="Q818" s="66"/>
      <c r="R818" s="2"/>
      <c r="S818" s="2"/>
      <c r="T818" s="2"/>
    </row>
    <row r="819" spans="1:20">
      <c r="A819" s="3"/>
      <c r="B819" s="3"/>
      <c r="C819" s="2"/>
      <c r="D819" s="2"/>
      <c r="E819" s="64"/>
      <c r="F819" s="64"/>
      <c r="G819" s="64"/>
      <c r="H819" s="64"/>
      <c r="I819" s="2"/>
      <c r="J819" s="2"/>
      <c r="K819" s="2"/>
      <c r="L819" s="2"/>
      <c r="M819" s="2"/>
      <c r="N819" s="2"/>
      <c r="O819" s="2"/>
      <c r="P819" s="66"/>
      <c r="Q819" s="66"/>
      <c r="R819" s="2"/>
      <c r="S819" s="2"/>
      <c r="T819" s="2"/>
    </row>
    <row r="820" spans="1:20">
      <c r="A820" s="3"/>
      <c r="B820" s="3"/>
      <c r="C820" s="2"/>
      <c r="D820" s="2"/>
      <c r="E820" s="64"/>
      <c r="F820" s="64"/>
      <c r="G820" s="64"/>
      <c r="H820" s="64"/>
      <c r="I820" s="2"/>
      <c r="J820" s="2"/>
      <c r="K820" s="2"/>
      <c r="L820" s="2"/>
      <c r="M820" s="2"/>
      <c r="N820" s="2"/>
      <c r="O820" s="2"/>
      <c r="P820" s="66"/>
      <c r="Q820" s="66"/>
      <c r="R820" s="2"/>
      <c r="S820" s="2"/>
      <c r="T820" s="2"/>
    </row>
    <row r="821" spans="1:20">
      <c r="A821" s="3"/>
      <c r="B821" s="3"/>
      <c r="C821" s="2"/>
      <c r="D821" s="2"/>
      <c r="E821" s="64"/>
      <c r="F821" s="64"/>
      <c r="G821" s="64"/>
      <c r="H821" s="64"/>
      <c r="I821" s="2"/>
      <c r="J821" s="2"/>
      <c r="K821" s="2"/>
      <c r="L821" s="2"/>
      <c r="M821" s="2"/>
      <c r="N821" s="2"/>
      <c r="O821" s="2"/>
      <c r="P821" s="66"/>
      <c r="Q821" s="66"/>
      <c r="R821" s="2"/>
      <c r="S821" s="2"/>
      <c r="T821" s="2"/>
    </row>
    <row r="822" spans="1:20">
      <c r="A822" s="3"/>
      <c r="B822" s="3"/>
      <c r="C822" s="2"/>
      <c r="D822" s="2"/>
      <c r="E822" s="64"/>
      <c r="F822" s="64"/>
      <c r="G822" s="64"/>
      <c r="H822" s="64"/>
      <c r="I822" s="2"/>
      <c r="J822" s="2"/>
      <c r="K822" s="2"/>
      <c r="L822" s="2"/>
      <c r="M822" s="2"/>
      <c r="N822" s="2"/>
      <c r="O822" s="2"/>
      <c r="P822" s="66"/>
      <c r="Q822" s="66"/>
      <c r="R822" s="2"/>
      <c r="S822" s="2"/>
      <c r="T822" s="2"/>
    </row>
    <row r="823" spans="1:20">
      <c r="A823" s="3"/>
      <c r="B823" s="3"/>
      <c r="C823" s="2"/>
      <c r="D823" s="2"/>
      <c r="E823" s="64"/>
      <c r="F823" s="64"/>
      <c r="G823" s="64"/>
      <c r="H823" s="64"/>
      <c r="I823" s="2"/>
      <c r="J823" s="2"/>
      <c r="K823" s="2"/>
      <c r="L823" s="2"/>
      <c r="M823" s="2"/>
      <c r="N823" s="2"/>
      <c r="O823" s="2"/>
      <c r="P823" s="66"/>
      <c r="Q823" s="66"/>
      <c r="R823" s="2"/>
      <c r="S823" s="2"/>
      <c r="T823" s="2"/>
    </row>
    <row r="824" spans="1:20">
      <c r="A824" s="3"/>
      <c r="B824" s="3"/>
      <c r="C824" s="2"/>
      <c r="D824" s="2"/>
      <c r="E824" s="64"/>
      <c r="F824" s="64"/>
      <c r="G824" s="64"/>
      <c r="H824" s="64"/>
      <c r="I824" s="2"/>
      <c r="J824" s="2"/>
      <c r="K824" s="2"/>
      <c r="L824" s="2"/>
      <c r="M824" s="2"/>
      <c r="N824" s="2"/>
      <c r="O824" s="2"/>
      <c r="P824" s="66"/>
      <c r="Q824" s="66"/>
      <c r="R824" s="2"/>
      <c r="S824" s="2"/>
      <c r="T824" s="2"/>
    </row>
    <row r="825" spans="1:20">
      <c r="A825" s="3"/>
      <c r="B825" s="3"/>
      <c r="C825" s="2"/>
      <c r="D825" s="2"/>
      <c r="E825" s="64"/>
      <c r="F825" s="64"/>
      <c r="G825" s="64"/>
      <c r="H825" s="64"/>
      <c r="I825" s="2"/>
      <c r="J825" s="2"/>
      <c r="K825" s="2"/>
      <c r="L825" s="2"/>
      <c r="M825" s="2"/>
      <c r="N825" s="2"/>
      <c r="O825" s="2"/>
      <c r="P825" s="66"/>
      <c r="Q825" s="66"/>
      <c r="R825" s="2"/>
      <c r="S825" s="2"/>
      <c r="T825" s="2"/>
    </row>
    <row r="826" spans="1:20">
      <c r="A826" s="3"/>
      <c r="B826" s="3"/>
      <c r="C826" s="2"/>
      <c r="D826" s="2"/>
      <c r="E826" s="64"/>
      <c r="F826" s="64"/>
      <c r="G826" s="64"/>
      <c r="H826" s="64"/>
      <c r="I826" s="2"/>
      <c r="J826" s="2"/>
      <c r="K826" s="2"/>
      <c r="L826" s="2"/>
      <c r="M826" s="2"/>
      <c r="N826" s="2"/>
      <c r="O826" s="2"/>
      <c r="P826" s="66"/>
      <c r="Q826" s="66"/>
      <c r="R826" s="2"/>
      <c r="S826" s="2"/>
      <c r="T826" s="2"/>
    </row>
    <row r="827" spans="1:20">
      <c r="A827" s="3"/>
      <c r="B827" s="3"/>
      <c r="C827" s="2"/>
      <c r="D827" s="2"/>
      <c r="E827" s="64"/>
      <c r="F827" s="64"/>
      <c r="G827" s="64"/>
      <c r="H827" s="64"/>
      <c r="I827" s="2"/>
      <c r="J827" s="2"/>
      <c r="K827" s="2"/>
      <c r="L827" s="2"/>
      <c r="M827" s="2"/>
      <c r="N827" s="2"/>
      <c r="O827" s="2"/>
      <c r="P827" s="66"/>
      <c r="Q827" s="66"/>
      <c r="R827" s="2"/>
      <c r="S827" s="2"/>
      <c r="T827" s="2"/>
    </row>
    <row r="828" spans="1:20">
      <c r="A828" s="3"/>
      <c r="B828" s="3"/>
      <c r="C828" s="2"/>
      <c r="D828" s="2"/>
      <c r="E828" s="64"/>
      <c r="F828" s="64"/>
      <c r="G828" s="64"/>
      <c r="H828" s="64"/>
      <c r="I828" s="2"/>
      <c r="J828" s="2"/>
      <c r="K828" s="2"/>
      <c r="L828" s="2"/>
      <c r="M828" s="2"/>
      <c r="N828" s="2"/>
      <c r="O828" s="2"/>
      <c r="P828" s="66"/>
      <c r="Q828" s="66"/>
      <c r="R828" s="2"/>
      <c r="S828" s="2"/>
      <c r="T828" s="2"/>
    </row>
    <row r="829" spans="1:20">
      <c r="A829" s="3"/>
      <c r="B829" s="3"/>
      <c r="C829" s="2"/>
      <c r="D829" s="2"/>
      <c r="E829" s="64"/>
      <c r="F829" s="64"/>
      <c r="G829" s="64"/>
      <c r="H829" s="64"/>
      <c r="I829" s="2"/>
      <c r="J829" s="2"/>
      <c r="K829" s="2"/>
      <c r="L829" s="2"/>
      <c r="M829" s="2"/>
      <c r="N829" s="2"/>
      <c r="O829" s="2"/>
      <c r="P829" s="66"/>
      <c r="Q829" s="66"/>
      <c r="R829" s="2"/>
      <c r="S829" s="2"/>
      <c r="T829" s="2"/>
    </row>
    <row r="830" spans="1:20">
      <c r="A830" s="3"/>
      <c r="B830" s="3"/>
      <c r="C830" s="2"/>
      <c r="D830" s="2"/>
      <c r="E830" s="64"/>
      <c r="F830" s="64"/>
      <c r="G830" s="64"/>
      <c r="H830" s="64"/>
      <c r="I830" s="2"/>
      <c r="J830" s="2"/>
      <c r="K830" s="2"/>
      <c r="L830" s="2"/>
      <c r="M830" s="2"/>
      <c r="N830" s="2"/>
      <c r="O830" s="2"/>
      <c r="P830" s="66"/>
      <c r="Q830" s="66"/>
      <c r="R830" s="2"/>
      <c r="S830" s="2"/>
      <c r="T830" s="2"/>
    </row>
    <row r="831" spans="1:20">
      <c r="A831" s="3"/>
      <c r="B831" s="3"/>
      <c r="C831" s="2"/>
      <c r="D831" s="2"/>
      <c r="E831" s="64"/>
      <c r="F831" s="64"/>
      <c r="G831" s="64"/>
      <c r="H831" s="64"/>
      <c r="I831" s="2"/>
      <c r="J831" s="2"/>
      <c r="K831" s="2"/>
      <c r="L831" s="2"/>
      <c r="M831" s="2"/>
      <c r="N831" s="2"/>
      <c r="O831" s="2"/>
      <c r="P831" s="66"/>
      <c r="Q831" s="66"/>
      <c r="R831" s="2"/>
      <c r="S831" s="2"/>
      <c r="T831" s="2"/>
    </row>
    <row r="832" spans="1:20">
      <c r="A832" s="3"/>
      <c r="B832" s="3"/>
      <c r="C832" s="2"/>
      <c r="D832" s="2"/>
      <c r="E832" s="64"/>
      <c r="F832" s="64"/>
      <c r="G832" s="64"/>
      <c r="H832" s="64"/>
      <c r="I832" s="2"/>
      <c r="J832" s="2"/>
      <c r="K832" s="2"/>
      <c r="L832" s="2"/>
      <c r="M832" s="2"/>
      <c r="N832" s="2"/>
      <c r="O832" s="2"/>
      <c r="P832" s="66"/>
      <c r="Q832" s="66"/>
      <c r="R832" s="2"/>
      <c r="S832" s="2"/>
      <c r="T832" s="2"/>
    </row>
    <row r="833" spans="1:20">
      <c r="A833" s="3"/>
      <c r="B833" s="3"/>
      <c r="C833" s="2"/>
      <c r="D833" s="2"/>
      <c r="E833" s="64"/>
      <c r="F833" s="64"/>
      <c r="G833" s="64"/>
      <c r="H833" s="64"/>
      <c r="I833" s="2"/>
      <c r="J833" s="2"/>
      <c r="K833" s="2"/>
      <c r="L833" s="2"/>
      <c r="M833" s="2"/>
      <c r="N833" s="2"/>
      <c r="O833" s="2"/>
      <c r="P833" s="66"/>
      <c r="Q833" s="66"/>
      <c r="R833" s="2"/>
      <c r="S833" s="2"/>
      <c r="T833" s="2"/>
    </row>
    <row r="834" spans="1:20">
      <c r="A834" s="3"/>
      <c r="B834" s="3"/>
      <c r="C834" s="2"/>
      <c r="D834" s="2"/>
      <c r="E834" s="64"/>
      <c r="F834" s="64"/>
      <c r="G834" s="64"/>
      <c r="H834" s="64"/>
      <c r="I834" s="2"/>
      <c r="J834" s="2"/>
      <c r="K834" s="2"/>
      <c r="L834" s="2"/>
      <c r="M834" s="2"/>
      <c r="N834" s="2"/>
      <c r="O834" s="2"/>
      <c r="P834" s="66"/>
      <c r="Q834" s="66"/>
      <c r="R834" s="2"/>
      <c r="S834" s="2"/>
      <c r="T834" s="2"/>
    </row>
    <row r="835" spans="1:20">
      <c r="A835" s="3"/>
      <c r="B835" s="3"/>
      <c r="C835" s="2"/>
      <c r="D835" s="2"/>
      <c r="E835" s="64"/>
      <c r="F835" s="64"/>
      <c r="G835" s="64"/>
      <c r="H835" s="64"/>
      <c r="I835" s="2"/>
      <c r="J835" s="2"/>
      <c r="K835" s="2"/>
      <c r="L835" s="2"/>
      <c r="M835" s="2"/>
      <c r="N835" s="2"/>
      <c r="O835" s="2"/>
      <c r="P835" s="66"/>
      <c r="Q835" s="66"/>
      <c r="R835" s="2"/>
      <c r="S835" s="2"/>
      <c r="T835" s="2"/>
    </row>
    <row r="836" spans="1:20">
      <c r="A836" s="3"/>
      <c r="B836" s="3"/>
      <c r="C836" s="2"/>
      <c r="D836" s="2"/>
      <c r="E836" s="64"/>
      <c r="F836" s="64"/>
      <c r="G836" s="64"/>
      <c r="H836" s="64"/>
      <c r="I836" s="2"/>
      <c r="J836" s="2"/>
      <c r="K836" s="2"/>
      <c r="L836" s="2"/>
      <c r="M836" s="2"/>
      <c r="N836" s="2"/>
      <c r="O836" s="2"/>
      <c r="P836" s="66"/>
      <c r="Q836" s="66"/>
      <c r="R836" s="2"/>
      <c r="S836" s="2"/>
      <c r="T836" s="2"/>
    </row>
    <row r="837" spans="1:20">
      <c r="A837" s="3"/>
      <c r="B837" s="3"/>
      <c r="C837" s="2"/>
      <c r="D837" s="2"/>
      <c r="E837" s="64"/>
      <c r="F837" s="64"/>
      <c r="G837" s="64"/>
      <c r="H837" s="64"/>
      <c r="I837" s="2"/>
      <c r="J837" s="2"/>
      <c r="K837" s="2"/>
      <c r="L837" s="2"/>
      <c r="M837" s="2"/>
      <c r="N837" s="2"/>
      <c r="O837" s="2"/>
      <c r="P837" s="66"/>
      <c r="Q837" s="66"/>
      <c r="R837" s="2"/>
      <c r="S837" s="2"/>
      <c r="T837" s="2"/>
    </row>
    <row r="838" spans="1:20">
      <c r="A838" s="3"/>
      <c r="B838" s="3"/>
      <c r="C838" s="2"/>
      <c r="D838" s="2"/>
      <c r="E838" s="64"/>
      <c r="F838" s="64"/>
      <c r="G838" s="64"/>
      <c r="H838" s="64"/>
      <c r="I838" s="2"/>
      <c r="J838" s="2"/>
      <c r="K838" s="2"/>
      <c r="L838" s="2"/>
      <c r="M838" s="2"/>
      <c r="N838" s="2"/>
      <c r="O838" s="2"/>
      <c r="P838" s="66"/>
      <c r="Q838" s="66"/>
      <c r="R838" s="2"/>
      <c r="S838" s="2"/>
      <c r="T838" s="2"/>
    </row>
    <row r="839" spans="1:20">
      <c r="A839" s="3"/>
      <c r="B839" s="3"/>
      <c r="C839" s="2"/>
      <c r="D839" s="2"/>
      <c r="E839" s="64"/>
      <c r="F839" s="64"/>
      <c r="G839" s="64"/>
      <c r="H839" s="64"/>
      <c r="I839" s="2"/>
      <c r="J839" s="2"/>
      <c r="K839" s="2"/>
      <c r="L839" s="2"/>
      <c r="M839" s="2"/>
      <c r="N839" s="2"/>
      <c r="O839" s="2"/>
      <c r="P839" s="66"/>
      <c r="Q839" s="66"/>
      <c r="R839" s="2"/>
      <c r="S839" s="2"/>
      <c r="T839" s="2"/>
    </row>
    <row r="840" spans="1:20">
      <c r="A840" s="3"/>
      <c r="B840" s="3"/>
      <c r="C840" s="2"/>
      <c r="D840" s="2"/>
      <c r="E840" s="64"/>
      <c r="F840" s="64"/>
      <c r="G840" s="64"/>
      <c r="H840" s="64"/>
      <c r="I840" s="2"/>
      <c r="J840" s="2"/>
      <c r="K840" s="2"/>
      <c r="L840" s="2"/>
      <c r="M840" s="2"/>
      <c r="N840" s="2"/>
      <c r="O840" s="2"/>
      <c r="P840" s="66"/>
      <c r="Q840" s="66"/>
      <c r="R840" s="2"/>
      <c r="S840" s="2"/>
      <c r="T840" s="2"/>
    </row>
    <row r="841" spans="1:20">
      <c r="A841" s="3"/>
      <c r="B841" s="3"/>
      <c r="C841" s="2"/>
      <c r="D841" s="2"/>
      <c r="E841" s="64"/>
      <c r="F841" s="64"/>
      <c r="G841" s="64"/>
      <c r="H841" s="64"/>
      <c r="I841" s="2"/>
      <c r="J841" s="2"/>
      <c r="K841" s="2"/>
      <c r="L841" s="2"/>
      <c r="M841" s="2"/>
      <c r="N841" s="2"/>
      <c r="O841" s="2"/>
      <c r="P841" s="66"/>
      <c r="Q841" s="66"/>
      <c r="R841" s="2"/>
      <c r="S841" s="2"/>
      <c r="T841" s="2"/>
    </row>
    <row r="842" spans="1:20">
      <c r="A842" s="3"/>
      <c r="B842" s="3"/>
      <c r="C842" s="2"/>
      <c r="D842" s="2"/>
      <c r="E842" s="64"/>
      <c r="F842" s="64"/>
      <c r="G842" s="64"/>
      <c r="H842" s="64"/>
      <c r="I842" s="2"/>
      <c r="J842" s="2"/>
      <c r="K842" s="2"/>
      <c r="L842" s="2"/>
      <c r="M842" s="2"/>
      <c r="N842" s="2"/>
      <c r="O842" s="2"/>
      <c r="P842" s="66"/>
      <c r="Q842" s="66"/>
      <c r="R842" s="2"/>
      <c r="S842" s="2"/>
      <c r="T842" s="2"/>
    </row>
    <row r="843" spans="1:20">
      <c r="A843" s="3"/>
      <c r="B843" s="3"/>
      <c r="C843" s="2"/>
      <c r="D843" s="2"/>
      <c r="E843" s="64"/>
      <c r="F843" s="64"/>
      <c r="G843" s="64"/>
      <c r="H843" s="64"/>
      <c r="I843" s="2"/>
      <c r="J843" s="2"/>
      <c r="K843" s="2"/>
      <c r="L843" s="2"/>
      <c r="M843" s="2"/>
      <c r="N843" s="2"/>
      <c r="O843" s="2"/>
      <c r="P843" s="66"/>
      <c r="Q843" s="66"/>
      <c r="R843" s="2"/>
      <c r="S843" s="2"/>
      <c r="T843" s="2"/>
    </row>
    <row r="844" spans="1:20">
      <c r="A844" s="3"/>
      <c r="B844" s="3"/>
      <c r="C844" s="2"/>
      <c r="D844" s="2"/>
      <c r="E844" s="64"/>
      <c r="F844" s="64"/>
      <c r="G844" s="64"/>
      <c r="H844" s="64"/>
      <c r="I844" s="2"/>
      <c r="J844" s="2"/>
      <c r="K844" s="2"/>
      <c r="L844" s="2"/>
      <c r="M844" s="2"/>
      <c r="N844" s="2"/>
      <c r="O844" s="2"/>
      <c r="P844" s="66"/>
      <c r="Q844" s="66"/>
      <c r="R844" s="2"/>
      <c r="S844" s="2"/>
      <c r="T844" s="2"/>
    </row>
    <row r="845" spans="1:20">
      <c r="A845" s="3"/>
      <c r="B845" s="3"/>
      <c r="C845" s="2"/>
      <c r="D845" s="2"/>
      <c r="E845" s="64"/>
      <c r="F845" s="64"/>
      <c r="G845" s="64"/>
      <c r="H845" s="64"/>
      <c r="I845" s="2"/>
      <c r="J845" s="2"/>
      <c r="K845" s="2"/>
      <c r="L845" s="2"/>
      <c r="M845" s="2"/>
      <c r="N845" s="2"/>
      <c r="O845" s="2"/>
      <c r="P845" s="66"/>
      <c r="Q845" s="66"/>
      <c r="R845" s="2"/>
      <c r="S845" s="2"/>
      <c r="T845" s="2"/>
    </row>
    <row r="846" spans="1:20">
      <c r="A846" s="3"/>
      <c r="B846" s="3"/>
      <c r="C846" s="2"/>
      <c r="D846" s="2"/>
      <c r="E846" s="64"/>
      <c r="F846" s="64"/>
      <c r="G846" s="64"/>
      <c r="H846" s="64"/>
      <c r="I846" s="2"/>
      <c r="J846" s="2"/>
      <c r="K846" s="2"/>
      <c r="L846" s="2"/>
      <c r="M846" s="2"/>
      <c r="N846" s="2"/>
      <c r="O846" s="2"/>
      <c r="P846" s="66"/>
      <c r="Q846" s="66"/>
      <c r="R846" s="2"/>
      <c r="S846" s="2"/>
      <c r="T846" s="2"/>
    </row>
    <row r="847" spans="1:20">
      <c r="A847" s="3"/>
      <c r="B847" s="3"/>
      <c r="C847" s="2"/>
      <c r="D847" s="2"/>
      <c r="E847" s="64"/>
      <c r="F847" s="64"/>
      <c r="G847" s="64"/>
      <c r="H847" s="64"/>
      <c r="I847" s="2"/>
      <c r="J847" s="2"/>
      <c r="K847" s="2"/>
      <c r="L847" s="2"/>
      <c r="M847" s="2"/>
      <c r="N847" s="2"/>
      <c r="O847" s="2"/>
      <c r="P847" s="66"/>
      <c r="Q847" s="66"/>
      <c r="R847" s="2"/>
      <c r="S847" s="2"/>
      <c r="T847" s="2"/>
    </row>
    <row r="848" spans="1:20">
      <c r="A848" s="3"/>
      <c r="B848" s="3"/>
      <c r="C848" s="2"/>
      <c r="D848" s="2"/>
      <c r="E848" s="64"/>
      <c r="F848" s="64"/>
      <c r="G848" s="64"/>
      <c r="H848" s="64"/>
      <c r="I848" s="2"/>
      <c r="J848" s="2"/>
      <c r="K848" s="2"/>
      <c r="L848" s="2"/>
      <c r="M848" s="2"/>
      <c r="N848" s="2"/>
      <c r="O848" s="2"/>
      <c r="P848" s="66"/>
      <c r="Q848" s="66"/>
      <c r="R848" s="2"/>
      <c r="S848" s="2"/>
      <c r="T848" s="2"/>
    </row>
    <row r="849" spans="1:20">
      <c r="A849" s="3"/>
      <c r="B849" s="3"/>
      <c r="C849" s="2"/>
      <c r="D849" s="2"/>
      <c r="E849" s="64"/>
      <c r="F849" s="64"/>
      <c r="G849" s="64"/>
      <c r="H849" s="64"/>
      <c r="I849" s="2"/>
      <c r="J849" s="2"/>
      <c r="K849" s="2"/>
      <c r="L849" s="2"/>
      <c r="M849" s="2"/>
      <c r="N849" s="2"/>
      <c r="O849" s="2"/>
      <c r="P849" s="66"/>
      <c r="Q849" s="66"/>
      <c r="R849" s="2"/>
      <c r="S849" s="2"/>
      <c r="T849" s="2"/>
    </row>
    <row r="850" spans="1:20">
      <c r="A850" s="3"/>
      <c r="B850" s="3"/>
      <c r="C850" s="2"/>
      <c r="D850" s="2"/>
      <c r="E850" s="64"/>
      <c r="F850" s="64"/>
      <c r="G850" s="64"/>
      <c r="H850" s="64"/>
      <c r="I850" s="2"/>
      <c r="J850" s="2"/>
      <c r="K850" s="2"/>
      <c r="L850" s="2"/>
      <c r="M850" s="2"/>
      <c r="N850" s="2"/>
      <c r="O850" s="2"/>
      <c r="P850" s="66"/>
      <c r="Q850" s="66"/>
      <c r="R850" s="2"/>
      <c r="S850" s="2"/>
      <c r="T850" s="2"/>
    </row>
    <row r="851" spans="1:20">
      <c r="A851" s="3"/>
      <c r="B851" s="3"/>
      <c r="C851" s="2"/>
      <c r="D851" s="2"/>
      <c r="E851" s="64"/>
      <c r="F851" s="64"/>
      <c r="G851" s="64"/>
      <c r="H851" s="64"/>
      <c r="I851" s="2"/>
      <c r="J851" s="2"/>
      <c r="K851" s="2"/>
      <c r="L851" s="2"/>
      <c r="M851" s="2"/>
      <c r="N851" s="2"/>
      <c r="O851" s="2"/>
      <c r="P851" s="66"/>
      <c r="Q851" s="66"/>
      <c r="R851" s="2"/>
      <c r="S851" s="2"/>
      <c r="T851" s="2"/>
    </row>
    <row r="852" spans="1:20">
      <c r="A852" s="3"/>
      <c r="B852" s="3"/>
      <c r="C852" s="2"/>
      <c r="D852" s="2"/>
      <c r="E852" s="64"/>
      <c r="F852" s="64"/>
      <c r="G852" s="64"/>
      <c r="H852" s="64"/>
      <c r="I852" s="2"/>
      <c r="J852" s="2"/>
      <c r="K852" s="2"/>
      <c r="L852" s="2"/>
      <c r="M852" s="2"/>
      <c r="N852" s="2"/>
      <c r="O852" s="2"/>
      <c r="P852" s="66"/>
      <c r="Q852" s="66"/>
      <c r="R852" s="2"/>
      <c r="S852" s="2"/>
      <c r="T852" s="2"/>
    </row>
    <row r="853" spans="1:20">
      <c r="A853" s="3"/>
      <c r="B853" s="3"/>
      <c r="C853" s="2"/>
      <c r="D853" s="2"/>
      <c r="E853" s="64"/>
      <c r="F853" s="64"/>
      <c r="G853" s="64"/>
      <c r="H853" s="64"/>
      <c r="I853" s="2"/>
      <c r="J853" s="2"/>
      <c r="K853" s="2"/>
      <c r="L853" s="2"/>
      <c r="M853" s="2"/>
      <c r="N853" s="2"/>
      <c r="O853" s="2"/>
      <c r="P853" s="66"/>
      <c r="Q853" s="66"/>
      <c r="R853" s="2"/>
      <c r="S853" s="2"/>
      <c r="T853" s="2"/>
    </row>
    <row r="854" spans="1:20">
      <c r="A854" s="3"/>
      <c r="B854" s="3"/>
      <c r="C854" s="2"/>
      <c r="D854" s="2"/>
      <c r="E854" s="64"/>
      <c r="F854" s="64"/>
      <c r="G854" s="64"/>
      <c r="H854" s="64"/>
      <c r="I854" s="2"/>
      <c r="J854" s="2"/>
      <c r="K854" s="2"/>
      <c r="L854" s="2"/>
      <c r="M854" s="2"/>
      <c r="N854" s="2"/>
      <c r="O854" s="2"/>
      <c r="P854" s="66"/>
      <c r="Q854" s="66"/>
      <c r="R854" s="2"/>
      <c r="S854" s="2"/>
      <c r="T854" s="2"/>
    </row>
    <row r="855" spans="1:20">
      <c r="A855" s="3"/>
      <c r="B855" s="3"/>
      <c r="C855" s="2"/>
      <c r="D855" s="2"/>
      <c r="E855" s="64"/>
      <c r="F855" s="64"/>
      <c r="G855" s="64"/>
      <c r="H855" s="64"/>
      <c r="I855" s="2"/>
      <c r="J855" s="2"/>
      <c r="K855" s="2"/>
      <c r="L855" s="2"/>
      <c r="M855" s="2"/>
      <c r="N855" s="2"/>
      <c r="O855" s="2"/>
      <c r="P855" s="66"/>
      <c r="Q855" s="66"/>
      <c r="R855" s="2"/>
      <c r="S855" s="2"/>
      <c r="T855" s="2"/>
    </row>
    <row r="856" spans="1:20">
      <c r="A856" s="3"/>
      <c r="B856" s="3"/>
      <c r="C856" s="2"/>
      <c r="D856" s="2"/>
      <c r="E856" s="64"/>
      <c r="F856" s="64"/>
      <c r="G856" s="64"/>
      <c r="H856" s="64"/>
      <c r="I856" s="2"/>
      <c r="J856" s="2"/>
      <c r="K856" s="2"/>
      <c r="L856" s="2"/>
      <c r="M856" s="2"/>
      <c r="N856" s="2"/>
      <c r="O856" s="2"/>
      <c r="P856" s="66"/>
      <c r="Q856" s="66"/>
      <c r="R856" s="2"/>
      <c r="S856" s="2"/>
      <c r="T856" s="2"/>
    </row>
    <row r="857" spans="1:20">
      <c r="A857" s="3"/>
      <c r="B857" s="3"/>
      <c r="C857" s="2"/>
      <c r="D857" s="2"/>
      <c r="E857" s="64"/>
      <c r="F857" s="64"/>
      <c r="G857" s="64"/>
      <c r="H857" s="64"/>
      <c r="I857" s="2"/>
      <c r="J857" s="2"/>
      <c r="K857" s="2"/>
      <c r="L857" s="2"/>
      <c r="M857" s="2"/>
      <c r="N857" s="2"/>
      <c r="O857" s="2"/>
      <c r="P857" s="66"/>
      <c r="Q857" s="66"/>
      <c r="R857" s="2"/>
      <c r="S857" s="2"/>
      <c r="T857" s="2"/>
    </row>
    <row r="858" spans="1:20">
      <c r="A858" s="3"/>
      <c r="B858" s="3"/>
      <c r="C858" s="2"/>
      <c r="D858" s="2"/>
      <c r="E858" s="64"/>
      <c r="F858" s="64"/>
      <c r="G858" s="64"/>
      <c r="H858" s="64"/>
      <c r="I858" s="2"/>
      <c r="J858" s="2"/>
      <c r="K858" s="2"/>
      <c r="L858" s="2"/>
      <c r="M858" s="2"/>
      <c r="N858" s="2"/>
      <c r="O858" s="2"/>
      <c r="P858" s="66"/>
      <c r="Q858" s="66"/>
      <c r="R858" s="2"/>
      <c r="S858" s="2"/>
      <c r="T858" s="2"/>
    </row>
    <row r="859" spans="1:20">
      <c r="A859" s="3"/>
      <c r="B859" s="3"/>
      <c r="C859" s="2"/>
      <c r="D859" s="2"/>
      <c r="E859" s="64"/>
      <c r="F859" s="64"/>
      <c r="G859" s="64"/>
      <c r="H859" s="64"/>
      <c r="I859" s="2"/>
      <c r="J859" s="2"/>
      <c r="K859" s="2"/>
      <c r="L859" s="2"/>
      <c r="M859" s="2"/>
      <c r="N859" s="2"/>
      <c r="O859" s="2"/>
      <c r="P859" s="66"/>
      <c r="Q859" s="66"/>
      <c r="R859" s="2"/>
      <c r="S859" s="2"/>
      <c r="T859" s="2"/>
    </row>
    <row r="860" spans="1:20">
      <c r="A860" s="3"/>
      <c r="B860" s="3"/>
      <c r="C860" s="2"/>
      <c r="D860" s="2"/>
      <c r="E860" s="64"/>
      <c r="F860" s="64"/>
      <c r="G860" s="64"/>
      <c r="H860" s="64"/>
      <c r="I860" s="2"/>
      <c r="J860" s="2"/>
      <c r="K860" s="2"/>
      <c r="L860" s="2"/>
      <c r="M860" s="2"/>
      <c r="N860" s="2"/>
      <c r="O860" s="2"/>
      <c r="P860" s="66"/>
      <c r="Q860" s="66"/>
      <c r="R860" s="2"/>
      <c r="S860" s="2"/>
      <c r="T860" s="2"/>
    </row>
    <row r="861" spans="1:20">
      <c r="A861" s="3"/>
      <c r="B861" s="3"/>
      <c r="C861" s="2"/>
      <c r="D861" s="2"/>
      <c r="E861" s="64"/>
      <c r="F861" s="64"/>
      <c r="G861" s="64"/>
      <c r="H861" s="64"/>
      <c r="I861" s="2"/>
      <c r="J861" s="2"/>
      <c r="K861" s="2"/>
      <c r="L861" s="2"/>
      <c r="M861" s="2"/>
      <c r="N861" s="2"/>
      <c r="O861" s="2"/>
      <c r="P861" s="66"/>
      <c r="Q861" s="66"/>
      <c r="R861" s="2"/>
      <c r="S861" s="2"/>
      <c r="T861" s="2"/>
    </row>
    <row r="862" spans="1:20">
      <c r="A862" s="3"/>
      <c r="B862" s="3"/>
      <c r="C862" s="2"/>
      <c r="D862" s="2"/>
      <c r="E862" s="64"/>
      <c r="F862" s="64"/>
      <c r="G862" s="64"/>
      <c r="H862" s="64"/>
      <c r="I862" s="2"/>
      <c r="J862" s="2"/>
      <c r="K862" s="2"/>
      <c r="L862" s="2"/>
      <c r="M862" s="2"/>
      <c r="N862" s="2"/>
      <c r="O862" s="2"/>
      <c r="P862" s="66"/>
      <c r="Q862" s="66"/>
      <c r="R862" s="2"/>
      <c r="S862" s="2"/>
      <c r="T862" s="2"/>
    </row>
    <row r="863" spans="1:20">
      <c r="A863" s="3"/>
      <c r="B863" s="3"/>
      <c r="C863" s="2"/>
      <c r="D863" s="2"/>
      <c r="E863" s="64"/>
      <c r="F863" s="64"/>
      <c r="G863" s="64"/>
      <c r="H863" s="64"/>
      <c r="I863" s="2"/>
      <c r="J863" s="2"/>
      <c r="K863" s="2"/>
      <c r="L863" s="2"/>
      <c r="M863" s="2"/>
      <c r="N863" s="2"/>
      <c r="O863" s="2"/>
      <c r="P863" s="66"/>
      <c r="Q863" s="66"/>
      <c r="R863" s="2"/>
      <c r="S863" s="2"/>
      <c r="T863" s="2"/>
    </row>
    <row r="864" spans="1:20">
      <c r="A864" s="3"/>
      <c r="B864" s="3"/>
      <c r="C864" s="2"/>
      <c r="D864" s="2"/>
      <c r="E864" s="64"/>
      <c r="F864" s="64"/>
      <c r="G864" s="64"/>
      <c r="H864" s="64"/>
      <c r="I864" s="2"/>
      <c r="J864" s="2"/>
      <c r="K864" s="2"/>
      <c r="L864" s="2"/>
      <c r="M864" s="2"/>
      <c r="N864" s="2"/>
      <c r="O864" s="2"/>
      <c r="P864" s="66"/>
      <c r="Q864" s="66"/>
      <c r="R864" s="2"/>
      <c r="S864" s="2"/>
      <c r="T864" s="2"/>
    </row>
    <row r="865" spans="1:20">
      <c r="A865" s="3"/>
      <c r="B865" s="3"/>
      <c r="C865" s="2"/>
      <c r="D865" s="2"/>
      <c r="E865" s="64"/>
      <c r="F865" s="64"/>
      <c r="G865" s="64"/>
      <c r="H865" s="64"/>
      <c r="I865" s="2"/>
      <c r="J865" s="2"/>
      <c r="K865" s="2"/>
      <c r="L865" s="2"/>
      <c r="M865" s="2"/>
      <c r="N865" s="2"/>
      <c r="O865" s="2"/>
      <c r="P865" s="66"/>
      <c r="Q865" s="66"/>
      <c r="R865" s="2"/>
      <c r="S865" s="2"/>
      <c r="T865" s="2"/>
    </row>
    <row r="866" spans="1:20">
      <c r="A866" s="3"/>
      <c r="B866" s="3"/>
      <c r="C866" s="2"/>
      <c r="D866" s="2"/>
      <c r="E866" s="64"/>
      <c r="F866" s="64"/>
      <c r="G866" s="64"/>
      <c r="H866" s="64"/>
      <c r="I866" s="2"/>
      <c r="J866" s="2"/>
      <c r="K866" s="2"/>
      <c r="L866" s="2"/>
      <c r="M866" s="2"/>
      <c r="N866" s="2"/>
      <c r="O866" s="2"/>
      <c r="P866" s="66"/>
      <c r="Q866" s="66"/>
      <c r="R866" s="2"/>
      <c r="S866" s="2"/>
      <c r="T866" s="2"/>
    </row>
    <row r="867" spans="1:20">
      <c r="A867" s="3"/>
      <c r="B867" s="3"/>
      <c r="C867" s="2"/>
      <c r="D867" s="2"/>
      <c r="E867" s="64"/>
      <c r="F867" s="64"/>
      <c r="G867" s="64"/>
      <c r="H867" s="64"/>
      <c r="I867" s="2"/>
      <c r="J867" s="2"/>
      <c r="K867" s="2"/>
      <c r="L867" s="2"/>
      <c r="M867" s="2"/>
      <c r="N867" s="2"/>
      <c r="O867" s="2"/>
      <c r="P867" s="66"/>
      <c r="Q867" s="66"/>
      <c r="R867" s="2"/>
      <c r="S867" s="2"/>
      <c r="T867" s="2"/>
    </row>
    <row r="868" spans="1:20">
      <c r="A868" s="3"/>
      <c r="B868" s="3"/>
      <c r="C868" s="2"/>
      <c r="D868" s="2"/>
      <c r="E868" s="64"/>
      <c r="F868" s="64"/>
      <c r="G868" s="64"/>
      <c r="H868" s="64"/>
      <c r="I868" s="2"/>
      <c r="J868" s="2"/>
      <c r="K868" s="2"/>
      <c r="L868" s="2"/>
      <c r="M868" s="2"/>
      <c r="N868" s="2"/>
      <c r="O868" s="2"/>
      <c r="P868" s="66"/>
      <c r="Q868" s="66"/>
      <c r="R868" s="2"/>
      <c r="S868" s="2"/>
      <c r="T868" s="2"/>
    </row>
    <row r="869" spans="1:20">
      <c r="A869" s="3"/>
      <c r="B869" s="3"/>
      <c r="C869" s="2"/>
      <c r="D869" s="2"/>
      <c r="E869" s="64"/>
      <c r="F869" s="64"/>
      <c r="G869" s="64"/>
      <c r="H869" s="64"/>
      <c r="I869" s="2"/>
      <c r="J869" s="2"/>
      <c r="K869" s="2"/>
      <c r="L869" s="2"/>
      <c r="M869" s="2"/>
      <c r="N869" s="2"/>
      <c r="O869" s="2"/>
      <c r="P869" s="66"/>
      <c r="Q869" s="66"/>
      <c r="R869" s="2"/>
      <c r="S869" s="2"/>
      <c r="T869" s="2"/>
    </row>
    <row r="870" spans="1:20">
      <c r="A870" s="3"/>
      <c r="B870" s="3"/>
      <c r="C870" s="2"/>
      <c r="D870" s="2"/>
      <c r="E870" s="64"/>
      <c r="F870" s="64"/>
      <c r="G870" s="64"/>
      <c r="H870" s="64"/>
      <c r="I870" s="2"/>
      <c r="J870" s="2"/>
      <c r="K870" s="2"/>
      <c r="L870" s="2"/>
      <c r="M870" s="2"/>
      <c r="N870" s="2"/>
      <c r="O870" s="2"/>
      <c r="P870" s="66"/>
      <c r="Q870" s="66"/>
      <c r="R870" s="2"/>
      <c r="S870" s="2"/>
      <c r="T870" s="2"/>
    </row>
    <row r="871" spans="1:20">
      <c r="A871" s="3"/>
      <c r="B871" s="3"/>
      <c r="C871" s="2"/>
      <c r="D871" s="2"/>
      <c r="E871" s="64"/>
      <c r="F871" s="64"/>
      <c r="G871" s="64"/>
      <c r="H871" s="64"/>
      <c r="I871" s="2"/>
      <c r="J871" s="2"/>
      <c r="K871" s="2"/>
      <c r="L871" s="2"/>
      <c r="M871" s="2"/>
      <c r="N871" s="2"/>
      <c r="O871" s="2"/>
      <c r="P871" s="66"/>
      <c r="Q871" s="66"/>
      <c r="R871" s="2"/>
      <c r="S871" s="2"/>
      <c r="T871" s="2"/>
    </row>
    <row r="872" spans="1:20">
      <c r="A872" s="3"/>
      <c r="B872" s="3"/>
      <c r="C872" s="2"/>
      <c r="D872" s="2"/>
      <c r="E872" s="64"/>
      <c r="F872" s="64"/>
      <c r="G872" s="64"/>
      <c r="H872" s="64"/>
      <c r="I872" s="2"/>
      <c r="J872" s="2"/>
      <c r="K872" s="2"/>
      <c r="L872" s="2"/>
      <c r="M872" s="2"/>
      <c r="N872" s="2"/>
      <c r="O872" s="2"/>
      <c r="P872" s="66"/>
      <c r="Q872" s="66"/>
      <c r="R872" s="2"/>
      <c r="S872" s="2"/>
      <c r="T872" s="2"/>
    </row>
    <row r="873" spans="1:20">
      <c r="A873" s="3"/>
      <c r="B873" s="3"/>
      <c r="C873" s="2"/>
      <c r="D873" s="2"/>
      <c r="E873" s="64"/>
      <c r="F873" s="64"/>
      <c r="G873" s="64"/>
      <c r="H873" s="64"/>
      <c r="I873" s="2"/>
      <c r="J873" s="2"/>
      <c r="K873" s="2"/>
      <c r="L873" s="2"/>
      <c r="M873" s="2"/>
      <c r="N873" s="2"/>
      <c r="O873" s="2"/>
      <c r="P873" s="66"/>
      <c r="Q873" s="66"/>
      <c r="R873" s="2"/>
      <c r="S873" s="2"/>
      <c r="T873" s="2"/>
    </row>
    <row r="874" spans="1:20">
      <c r="A874" s="3"/>
      <c r="B874" s="3"/>
      <c r="C874" s="2"/>
      <c r="D874" s="2"/>
      <c r="E874" s="64"/>
      <c r="F874" s="64"/>
      <c r="G874" s="64"/>
      <c r="H874" s="64"/>
      <c r="I874" s="2"/>
      <c r="J874" s="2"/>
      <c r="K874" s="2"/>
      <c r="L874" s="2"/>
      <c r="M874" s="2"/>
      <c r="N874" s="2"/>
      <c r="O874" s="2"/>
      <c r="P874" s="66"/>
      <c r="Q874" s="66"/>
      <c r="R874" s="2"/>
      <c r="S874" s="2"/>
      <c r="T874" s="2"/>
    </row>
    <row r="875" spans="1:20">
      <c r="A875" s="3"/>
      <c r="B875" s="3"/>
      <c r="C875" s="2"/>
      <c r="D875" s="2"/>
      <c r="E875" s="64"/>
      <c r="F875" s="64"/>
      <c r="G875" s="64"/>
      <c r="H875" s="64"/>
      <c r="I875" s="2"/>
      <c r="J875" s="2"/>
      <c r="K875" s="2"/>
      <c r="L875" s="2"/>
      <c r="M875" s="2"/>
      <c r="N875" s="2"/>
      <c r="O875" s="2"/>
      <c r="P875" s="66"/>
      <c r="Q875" s="66"/>
      <c r="R875" s="2"/>
      <c r="S875" s="2"/>
      <c r="T875" s="2"/>
    </row>
    <row r="876" spans="1:20">
      <c r="A876" s="3"/>
      <c r="B876" s="3"/>
      <c r="C876" s="2"/>
      <c r="D876" s="2"/>
      <c r="E876" s="64"/>
      <c r="F876" s="64"/>
      <c r="G876" s="64"/>
      <c r="H876" s="64"/>
      <c r="I876" s="2"/>
      <c r="J876" s="2"/>
      <c r="K876" s="2"/>
      <c r="L876" s="2"/>
      <c r="M876" s="2"/>
      <c r="N876" s="2"/>
      <c r="O876" s="2"/>
      <c r="P876" s="66"/>
      <c r="Q876" s="66"/>
      <c r="R876" s="2"/>
      <c r="S876" s="2"/>
      <c r="T876" s="2"/>
    </row>
    <row r="877" spans="1:20">
      <c r="A877" s="3"/>
      <c r="B877" s="3"/>
      <c r="C877" s="2"/>
      <c r="D877" s="2"/>
      <c r="E877" s="64"/>
      <c r="F877" s="64"/>
      <c r="G877" s="64"/>
      <c r="H877" s="64"/>
      <c r="I877" s="2"/>
      <c r="J877" s="2"/>
      <c r="K877" s="2"/>
      <c r="L877" s="2"/>
      <c r="M877" s="2"/>
      <c r="N877" s="2"/>
      <c r="O877" s="2"/>
      <c r="P877" s="66"/>
      <c r="Q877" s="66"/>
      <c r="R877" s="2"/>
      <c r="S877" s="2"/>
      <c r="T877" s="2"/>
    </row>
    <row r="878" spans="1:20">
      <c r="A878" s="3"/>
      <c r="B878" s="3"/>
      <c r="C878" s="2"/>
      <c r="D878" s="2"/>
      <c r="E878" s="64"/>
      <c r="F878" s="64"/>
      <c r="G878" s="64"/>
      <c r="H878" s="64"/>
      <c r="I878" s="2"/>
      <c r="J878" s="2"/>
      <c r="K878" s="2"/>
      <c r="L878" s="2"/>
      <c r="M878" s="2"/>
      <c r="N878" s="2"/>
      <c r="O878" s="2"/>
      <c r="P878" s="66"/>
      <c r="Q878" s="66"/>
      <c r="R878" s="2"/>
      <c r="S878" s="2"/>
      <c r="T878" s="2"/>
    </row>
    <row r="879" spans="1:20">
      <c r="A879" s="3"/>
      <c r="B879" s="3"/>
      <c r="C879" s="2"/>
      <c r="D879" s="2"/>
      <c r="E879" s="64"/>
      <c r="F879" s="64"/>
      <c r="G879" s="64"/>
      <c r="H879" s="64"/>
      <c r="I879" s="2"/>
      <c r="J879" s="2"/>
      <c r="K879" s="2"/>
      <c r="L879" s="2"/>
      <c r="M879" s="2"/>
      <c r="N879" s="2"/>
      <c r="O879" s="2"/>
      <c r="P879" s="66"/>
      <c r="Q879" s="66"/>
      <c r="R879" s="2"/>
      <c r="S879" s="2"/>
      <c r="T879" s="2"/>
    </row>
    <row r="880" spans="1:20">
      <c r="A880" s="3"/>
      <c r="B880" s="3"/>
      <c r="C880" s="2"/>
      <c r="D880" s="2"/>
      <c r="E880" s="64"/>
      <c r="F880" s="64"/>
      <c r="G880" s="64"/>
      <c r="H880" s="64"/>
      <c r="I880" s="2"/>
      <c r="J880" s="2"/>
      <c r="K880" s="2"/>
      <c r="L880" s="2"/>
      <c r="M880" s="2"/>
      <c r="N880" s="2"/>
      <c r="O880" s="2"/>
      <c r="P880" s="66"/>
      <c r="Q880" s="66"/>
      <c r="R880" s="2"/>
      <c r="S880" s="2"/>
      <c r="T880" s="2"/>
    </row>
    <row r="881" spans="1:20">
      <c r="A881" s="3"/>
      <c r="B881" s="3"/>
      <c r="C881" s="2"/>
      <c r="D881" s="2"/>
      <c r="E881" s="64"/>
      <c r="F881" s="64"/>
      <c r="G881" s="64"/>
      <c r="H881" s="64"/>
      <c r="I881" s="2"/>
      <c r="J881" s="2"/>
      <c r="K881" s="2"/>
      <c r="L881" s="2"/>
      <c r="M881" s="2"/>
      <c r="N881" s="2"/>
      <c r="O881" s="2"/>
      <c r="P881" s="66"/>
      <c r="Q881" s="66"/>
      <c r="R881" s="2"/>
      <c r="S881" s="2"/>
      <c r="T881" s="2"/>
    </row>
    <row r="882" spans="1:20">
      <c r="A882" s="3"/>
      <c r="B882" s="3"/>
      <c r="C882" s="2"/>
      <c r="D882" s="2"/>
      <c r="E882" s="64"/>
      <c r="F882" s="64"/>
      <c r="G882" s="64"/>
      <c r="H882" s="64"/>
      <c r="I882" s="2"/>
      <c r="J882" s="2"/>
      <c r="K882" s="2"/>
      <c r="L882" s="2"/>
      <c r="M882" s="2"/>
      <c r="N882" s="2"/>
      <c r="O882" s="2"/>
      <c r="P882" s="66"/>
      <c r="Q882" s="66"/>
      <c r="R882" s="2"/>
      <c r="S882" s="2"/>
      <c r="T882" s="2"/>
    </row>
    <row r="883" spans="1:20">
      <c r="A883" s="3"/>
      <c r="B883" s="3"/>
      <c r="C883" s="2"/>
      <c r="D883" s="2"/>
      <c r="E883" s="64"/>
      <c r="F883" s="64"/>
      <c r="G883" s="64"/>
      <c r="H883" s="64"/>
      <c r="I883" s="2"/>
      <c r="J883" s="2"/>
      <c r="K883" s="2"/>
      <c r="L883" s="2"/>
      <c r="M883" s="2"/>
      <c r="N883" s="2"/>
      <c r="O883" s="2"/>
      <c r="P883" s="66"/>
      <c r="Q883" s="66"/>
      <c r="R883" s="2"/>
      <c r="S883" s="2"/>
      <c r="T883" s="2"/>
    </row>
    <row r="884" spans="1:20">
      <c r="A884" s="3"/>
      <c r="B884" s="3"/>
      <c r="C884" s="2"/>
      <c r="D884" s="2"/>
      <c r="E884" s="64"/>
      <c r="F884" s="64"/>
      <c r="G884" s="64"/>
      <c r="H884" s="64"/>
      <c r="I884" s="2"/>
      <c r="J884" s="2"/>
      <c r="K884" s="2"/>
      <c r="L884" s="2"/>
      <c r="M884" s="2"/>
      <c r="N884" s="2"/>
      <c r="O884" s="2"/>
      <c r="P884" s="66"/>
      <c r="Q884" s="66"/>
      <c r="R884" s="2"/>
      <c r="S884" s="2"/>
      <c r="T884" s="2"/>
    </row>
    <row r="885" spans="1:20">
      <c r="A885" s="3"/>
      <c r="B885" s="3"/>
      <c r="C885" s="2"/>
      <c r="D885" s="2"/>
      <c r="E885" s="64"/>
      <c r="F885" s="64"/>
      <c r="G885" s="64"/>
      <c r="H885" s="64"/>
      <c r="I885" s="2"/>
      <c r="J885" s="2"/>
      <c r="K885" s="2"/>
      <c r="L885" s="2"/>
      <c r="M885" s="2"/>
      <c r="N885" s="2"/>
      <c r="O885" s="2"/>
      <c r="P885" s="66"/>
      <c r="Q885" s="66"/>
      <c r="R885" s="2"/>
      <c r="S885" s="2"/>
      <c r="T885" s="2"/>
    </row>
    <row r="886" spans="1:20">
      <c r="A886" s="3"/>
      <c r="B886" s="3"/>
      <c r="C886" s="2"/>
      <c r="D886" s="2"/>
      <c r="E886" s="64"/>
      <c r="F886" s="64"/>
      <c r="G886" s="64"/>
      <c r="H886" s="64"/>
      <c r="I886" s="2"/>
      <c r="J886" s="2"/>
      <c r="K886" s="2"/>
      <c r="L886" s="2"/>
      <c r="M886" s="2"/>
      <c r="N886" s="2"/>
      <c r="O886" s="2"/>
      <c r="P886" s="66"/>
      <c r="Q886" s="66"/>
      <c r="R886" s="2"/>
      <c r="S886" s="2"/>
      <c r="T886" s="2"/>
    </row>
    <row r="887" spans="1:20">
      <c r="A887" s="3"/>
      <c r="B887" s="3"/>
      <c r="C887" s="2"/>
      <c r="D887" s="2"/>
      <c r="E887" s="64"/>
      <c r="F887" s="64"/>
      <c r="G887" s="64"/>
      <c r="H887" s="64"/>
      <c r="I887" s="2"/>
      <c r="J887" s="2"/>
      <c r="K887" s="2"/>
      <c r="L887" s="2"/>
      <c r="M887" s="2"/>
      <c r="N887" s="2"/>
      <c r="O887" s="2"/>
      <c r="P887" s="66"/>
      <c r="Q887" s="66"/>
      <c r="R887" s="2"/>
      <c r="S887" s="2"/>
      <c r="T887" s="2"/>
    </row>
    <row r="888" spans="1:20">
      <c r="A888" s="3"/>
      <c r="B888" s="3"/>
      <c r="C888" s="2"/>
      <c r="D888" s="2"/>
      <c r="E888" s="64"/>
      <c r="F888" s="64"/>
      <c r="G888" s="64"/>
      <c r="H888" s="64"/>
      <c r="I888" s="2"/>
      <c r="J888" s="2"/>
      <c r="K888" s="2"/>
      <c r="L888" s="2"/>
      <c r="M888" s="2"/>
      <c r="N888" s="2"/>
      <c r="O888" s="2"/>
      <c r="P888" s="66"/>
      <c r="Q888" s="66"/>
      <c r="R888" s="2"/>
      <c r="S888" s="2"/>
      <c r="T888" s="2"/>
    </row>
    <row r="889" spans="1:20">
      <c r="A889" s="3"/>
      <c r="B889" s="3"/>
      <c r="C889" s="2"/>
      <c r="D889" s="2"/>
      <c r="E889" s="64"/>
      <c r="F889" s="64"/>
      <c r="G889" s="64"/>
      <c r="H889" s="64"/>
      <c r="I889" s="2"/>
      <c r="J889" s="2"/>
      <c r="K889" s="2"/>
      <c r="L889" s="2"/>
      <c r="M889" s="2"/>
      <c r="N889" s="2"/>
      <c r="O889" s="2"/>
      <c r="P889" s="66"/>
      <c r="Q889" s="66"/>
      <c r="R889" s="2"/>
      <c r="S889" s="2"/>
      <c r="T889" s="2"/>
    </row>
    <row r="890" spans="1:20">
      <c r="A890" s="3"/>
      <c r="B890" s="3"/>
      <c r="C890" s="2"/>
      <c r="D890" s="2"/>
      <c r="E890" s="64"/>
      <c r="F890" s="64"/>
      <c r="G890" s="64"/>
      <c r="H890" s="64"/>
      <c r="I890" s="2"/>
      <c r="J890" s="2"/>
      <c r="K890" s="2"/>
      <c r="L890" s="2"/>
      <c r="M890" s="2"/>
      <c r="N890" s="2"/>
      <c r="O890" s="2"/>
      <c r="P890" s="66"/>
      <c r="Q890" s="66"/>
      <c r="R890" s="2"/>
      <c r="S890" s="2"/>
      <c r="T890" s="2"/>
    </row>
    <row r="891" spans="1:20">
      <c r="A891" s="3"/>
      <c r="B891" s="3"/>
      <c r="C891" s="2"/>
      <c r="D891" s="2"/>
      <c r="E891" s="64"/>
      <c r="F891" s="64"/>
      <c r="G891" s="64"/>
      <c r="H891" s="64"/>
      <c r="I891" s="2"/>
      <c r="J891" s="2"/>
      <c r="K891" s="2"/>
      <c r="L891" s="2"/>
      <c r="M891" s="2"/>
      <c r="N891" s="2"/>
      <c r="O891" s="2"/>
      <c r="P891" s="66"/>
      <c r="Q891" s="66"/>
      <c r="R891" s="2"/>
      <c r="S891" s="2"/>
      <c r="T891" s="2"/>
    </row>
    <row r="892" spans="1:20">
      <c r="A892" s="3"/>
      <c r="B892" s="3"/>
      <c r="C892" s="2"/>
      <c r="D892" s="2"/>
      <c r="E892" s="64"/>
      <c r="F892" s="64"/>
      <c r="G892" s="64"/>
      <c r="H892" s="64"/>
      <c r="I892" s="2"/>
      <c r="J892" s="2"/>
      <c r="K892" s="2"/>
      <c r="L892" s="2"/>
      <c r="M892" s="2"/>
      <c r="N892" s="2"/>
      <c r="O892" s="2"/>
      <c r="P892" s="66"/>
      <c r="Q892" s="66"/>
      <c r="R892" s="2"/>
      <c r="S892" s="2"/>
      <c r="T892" s="2"/>
    </row>
    <row r="893" spans="1:20">
      <c r="A893" s="3"/>
      <c r="B893" s="3"/>
      <c r="C893" s="2"/>
      <c r="D893" s="2"/>
      <c r="E893" s="64"/>
      <c r="F893" s="64"/>
      <c r="G893" s="64"/>
      <c r="H893" s="64"/>
      <c r="I893" s="2"/>
      <c r="J893" s="2"/>
      <c r="K893" s="2"/>
      <c r="L893" s="2"/>
      <c r="M893" s="2"/>
      <c r="N893" s="2"/>
      <c r="O893" s="2"/>
      <c r="P893" s="66"/>
      <c r="Q893" s="66"/>
      <c r="R893" s="2"/>
      <c r="S893" s="2"/>
      <c r="T893" s="2"/>
    </row>
    <row r="894" spans="1:20">
      <c r="A894" s="3"/>
      <c r="B894" s="3"/>
      <c r="C894" s="2"/>
      <c r="D894" s="2"/>
      <c r="E894" s="64"/>
      <c r="F894" s="64"/>
      <c r="G894" s="64"/>
      <c r="H894" s="64"/>
      <c r="I894" s="2"/>
      <c r="J894" s="2"/>
      <c r="K894" s="2"/>
      <c r="L894" s="2"/>
      <c r="M894" s="2"/>
      <c r="N894" s="2"/>
      <c r="O894" s="2"/>
      <c r="P894" s="66"/>
      <c r="Q894" s="66"/>
      <c r="R894" s="2"/>
      <c r="S894" s="2"/>
      <c r="T894" s="2"/>
    </row>
    <row r="895" spans="1:20">
      <c r="A895" s="3"/>
      <c r="B895" s="3"/>
      <c r="C895" s="2"/>
      <c r="D895" s="2"/>
      <c r="E895" s="64"/>
      <c r="F895" s="64"/>
      <c r="G895" s="64"/>
      <c r="H895" s="64"/>
      <c r="I895" s="2"/>
      <c r="J895" s="2"/>
      <c r="K895" s="2"/>
      <c r="L895" s="2"/>
      <c r="M895" s="2"/>
      <c r="N895" s="2"/>
      <c r="O895" s="2"/>
      <c r="P895" s="66"/>
      <c r="Q895" s="66"/>
      <c r="R895" s="2"/>
      <c r="S895" s="2"/>
      <c r="T895" s="2"/>
    </row>
    <row r="896" spans="1:20">
      <c r="A896" s="3"/>
      <c r="B896" s="3"/>
      <c r="C896" s="2"/>
      <c r="D896" s="2"/>
      <c r="E896" s="64"/>
      <c r="F896" s="64"/>
      <c r="G896" s="64"/>
      <c r="H896" s="64"/>
      <c r="I896" s="2"/>
      <c r="J896" s="2"/>
      <c r="K896" s="2"/>
      <c r="L896" s="2"/>
      <c r="M896" s="2"/>
      <c r="N896" s="2"/>
      <c r="O896" s="2"/>
      <c r="P896" s="66"/>
      <c r="Q896" s="66"/>
      <c r="R896" s="2"/>
      <c r="S896" s="2"/>
      <c r="T896" s="2"/>
    </row>
    <row r="897" spans="1:20">
      <c r="A897" s="3"/>
      <c r="B897" s="3"/>
      <c r="C897" s="2"/>
      <c r="D897" s="2"/>
      <c r="E897" s="64"/>
      <c r="F897" s="64"/>
      <c r="G897" s="64"/>
      <c r="H897" s="64"/>
      <c r="I897" s="2"/>
      <c r="J897" s="2"/>
      <c r="K897" s="2"/>
      <c r="L897" s="2"/>
      <c r="M897" s="2"/>
      <c r="N897" s="2"/>
      <c r="O897" s="2"/>
      <c r="P897" s="66"/>
      <c r="Q897" s="66"/>
      <c r="R897" s="2"/>
      <c r="S897" s="2"/>
      <c r="T897" s="2"/>
    </row>
    <row r="898" spans="1:20">
      <c r="A898" s="3"/>
      <c r="B898" s="3"/>
      <c r="C898" s="2"/>
      <c r="D898" s="2"/>
      <c r="E898" s="64"/>
      <c r="F898" s="64"/>
      <c r="G898" s="64"/>
      <c r="H898" s="64"/>
      <c r="I898" s="2"/>
      <c r="J898" s="2"/>
      <c r="K898" s="2"/>
      <c r="L898" s="2"/>
      <c r="M898" s="2"/>
      <c r="N898" s="2"/>
      <c r="O898" s="2"/>
      <c r="P898" s="66"/>
      <c r="Q898" s="66"/>
      <c r="R898" s="2"/>
      <c r="S898" s="2"/>
      <c r="T898" s="2"/>
    </row>
    <row r="899" spans="1:20">
      <c r="A899" s="3"/>
      <c r="B899" s="3"/>
      <c r="C899" s="2"/>
      <c r="D899" s="2"/>
      <c r="E899" s="64"/>
      <c r="F899" s="64"/>
      <c r="G899" s="64"/>
      <c r="H899" s="64"/>
      <c r="I899" s="2"/>
      <c r="J899" s="2"/>
      <c r="K899" s="2"/>
      <c r="L899" s="2"/>
      <c r="M899" s="2"/>
      <c r="N899" s="2"/>
      <c r="O899" s="2"/>
      <c r="P899" s="66"/>
      <c r="Q899" s="66"/>
      <c r="R899" s="2"/>
      <c r="S899" s="2"/>
      <c r="T899" s="2"/>
    </row>
    <row r="900" spans="1:20">
      <c r="A900" s="3"/>
      <c r="B900" s="3"/>
      <c r="C900" s="2"/>
      <c r="D900" s="2"/>
      <c r="E900" s="64"/>
      <c r="F900" s="64"/>
      <c r="G900" s="64"/>
      <c r="H900" s="64"/>
      <c r="I900" s="2"/>
      <c r="J900" s="2"/>
      <c r="K900" s="2"/>
      <c r="L900" s="2"/>
      <c r="M900" s="2"/>
      <c r="N900" s="2"/>
      <c r="O900" s="2"/>
      <c r="P900" s="66"/>
      <c r="Q900" s="66"/>
      <c r="R900" s="2"/>
      <c r="S900" s="2"/>
      <c r="T900" s="2"/>
    </row>
    <row r="901" spans="1:20">
      <c r="A901" s="3"/>
      <c r="B901" s="3"/>
      <c r="C901" s="2"/>
      <c r="D901" s="2"/>
      <c r="E901" s="64"/>
      <c r="F901" s="64"/>
      <c r="G901" s="64"/>
      <c r="H901" s="64"/>
      <c r="I901" s="2"/>
      <c r="J901" s="2"/>
      <c r="K901" s="2"/>
      <c r="L901" s="2"/>
      <c r="M901" s="2"/>
      <c r="N901" s="2"/>
      <c r="O901" s="2"/>
      <c r="P901" s="66"/>
      <c r="Q901" s="66"/>
      <c r="R901" s="2"/>
      <c r="S901" s="2"/>
      <c r="T901" s="2"/>
    </row>
    <row r="902" spans="1:20">
      <c r="A902" s="3"/>
      <c r="B902" s="3"/>
      <c r="C902" s="2"/>
      <c r="D902" s="2"/>
      <c r="E902" s="64"/>
      <c r="F902" s="64"/>
      <c r="G902" s="64"/>
      <c r="H902" s="64"/>
      <c r="I902" s="2"/>
      <c r="J902" s="2"/>
      <c r="K902" s="2"/>
      <c r="L902" s="2"/>
      <c r="M902" s="2"/>
      <c r="N902" s="2"/>
      <c r="O902" s="2"/>
      <c r="P902" s="66"/>
      <c r="Q902" s="66"/>
      <c r="R902" s="2"/>
      <c r="S902" s="2"/>
      <c r="T902" s="2"/>
    </row>
    <row r="903" spans="1:20">
      <c r="A903" s="3"/>
      <c r="B903" s="3"/>
      <c r="C903" s="2"/>
      <c r="D903" s="2"/>
      <c r="E903" s="64"/>
      <c r="F903" s="64"/>
      <c r="G903" s="64"/>
      <c r="H903" s="64"/>
      <c r="I903" s="2"/>
      <c r="J903" s="2"/>
      <c r="K903" s="2"/>
      <c r="L903" s="2"/>
      <c r="M903" s="2"/>
      <c r="N903" s="2"/>
      <c r="O903" s="2"/>
      <c r="P903" s="66"/>
      <c r="Q903" s="66"/>
      <c r="R903" s="2"/>
      <c r="S903" s="2"/>
      <c r="T903" s="2"/>
    </row>
    <row r="904" spans="1:20">
      <c r="A904" s="3"/>
      <c r="B904" s="3"/>
      <c r="C904" s="2"/>
      <c r="D904" s="2"/>
      <c r="E904" s="64"/>
      <c r="F904" s="64"/>
      <c r="G904" s="64"/>
      <c r="H904" s="64"/>
      <c r="I904" s="2"/>
      <c r="J904" s="2"/>
      <c r="K904" s="2"/>
      <c r="L904" s="2"/>
      <c r="M904" s="2"/>
      <c r="N904" s="2"/>
      <c r="O904" s="2"/>
      <c r="P904" s="66"/>
      <c r="Q904" s="66"/>
      <c r="R904" s="2"/>
      <c r="S904" s="2"/>
      <c r="T904" s="2"/>
    </row>
    <row r="905" spans="1:20">
      <c r="A905" s="3"/>
      <c r="B905" s="3"/>
      <c r="C905" s="2"/>
      <c r="D905" s="2"/>
      <c r="E905" s="64"/>
      <c r="F905" s="64"/>
      <c r="G905" s="64"/>
      <c r="H905" s="64"/>
      <c r="I905" s="2"/>
      <c r="J905" s="2"/>
      <c r="K905" s="2"/>
      <c r="L905" s="2"/>
      <c r="M905" s="2"/>
      <c r="N905" s="2"/>
      <c r="O905" s="2"/>
      <c r="P905" s="66"/>
      <c r="Q905" s="66"/>
      <c r="R905" s="2"/>
      <c r="S905" s="2"/>
      <c r="T905" s="2"/>
    </row>
    <row r="906" spans="1:20">
      <c r="A906" s="3"/>
      <c r="B906" s="3"/>
      <c r="C906" s="2"/>
      <c r="D906" s="2"/>
      <c r="E906" s="64"/>
      <c r="F906" s="64"/>
      <c r="G906" s="64"/>
      <c r="H906" s="64"/>
      <c r="I906" s="2"/>
      <c r="J906" s="2"/>
      <c r="K906" s="2"/>
      <c r="L906" s="2"/>
      <c r="M906" s="2"/>
      <c r="N906" s="2"/>
      <c r="O906" s="2"/>
      <c r="P906" s="66"/>
      <c r="Q906" s="66"/>
      <c r="R906" s="2"/>
      <c r="S906" s="2"/>
      <c r="T906" s="2"/>
    </row>
    <row r="907" spans="1:20">
      <c r="A907" s="3"/>
      <c r="B907" s="3"/>
      <c r="C907" s="2"/>
      <c r="D907" s="2"/>
      <c r="E907" s="64"/>
      <c r="F907" s="64"/>
      <c r="G907" s="64"/>
      <c r="H907" s="64"/>
      <c r="I907" s="2"/>
      <c r="J907" s="2"/>
      <c r="K907" s="2"/>
      <c r="L907" s="2"/>
      <c r="M907" s="2"/>
      <c r="N907" s="2"/>
      <c r="O907" s="2"/>
      <c r="P907" s="66"/>
      <c r="Q907" s="66"/>
      <c r="R907" s="2"/>
      <c r="S907" s="2"/>
      <c r="T907" s="2"/>
    </row>
    <row r="908" spans="1:20">
      <c r="A908" s="3"/>
      <c r="B908" s="3"/>
      <c r="C908" s="2"/>
      <c r="D908" s="2"/>
      <c r="E908" s="64"/>
      <c r="F908" s="64"/>
      <c r="G908" s="64"/>
      <c r="H908" s="64"/>
      <c r="I908" s="2"/>
      <c r="J908" s="2"/>
      <c r="K908" s="2"/>
      <c r="L908" s="2"/>
      <c r="M908" s="2"/>
      <c r="N908" s="2"/>
      <c r="O908" s="2"/>
      <c r="P908" s="66"/>
      <c r="Q908" s="66"/>
      <c r="R908" s="2"/>
      <c r="S908" s="2"/>
      <c r="T908" s="2"/>
    </row>
    <row r="909" spans="1:20">
      <c r="A909" s="3"/>
      <c r="B909" s="3"/>
      <c r="C909" s="2"/>
      <c r="D909" s="2"/>
      <c r="E909" s="64"/>
      <c r="F909" s="64"/>
      <c r="G909" s="64"/>
      <c r="H909" s="64"/>
      <c r="I909" s="2"/>
      <c r="J909" s="2"/>
      <c r="K909" s="2"/>
      <c r="L909" s="2"/>
      <c r="M909" s="2"/>
      <c r="N909" s="2"/>
      <c r="O909" s="2"/>
      <c r="P909" s="66"/>
      <c r="Q909" s="66"/>
      <c r="R909" s="2"/>
      <c r="S909" s="2"/>
      <c r="T909" s="2"/>
    </row>
    <row r="910" spans="1:20">
      <c r="A910" s="3"/>
      <c r="B910" s="3"/>
      <c r="C910" s="2"/>
      <c r="D910" s="2"/>
      <c r="E910" s="64"/>
      <c r="F910" s="64"/>
      <c r="G910" s="64"/>
      <c r="H910" s="64"/>
      <c r="I910" s="2"/>
      <c r="J910" s="2"/>
      <c r="K910" s="2"/>
      <c r="L910" s="2"/>
      <c r="M910" s="2"/>
      <c r="N910" s="2"/>
      <c r="O910" s="2"/>
      <c r="P910" s="66"/>
      <c r="Q910" s="66"/>
      <c r="R910" s="2"/>
      <c r="S910" s="2"/>
      <c r="T910" s="2"/>
    </row>
    <row r="911" spans="1:20">
      <c r="A911" s="3"/>
      <c r="B911" s="3"/>
      <c r="C911" s="2"/>
      <c r="D911" s="2"/>
      <c r="E911" s="64"/>
      <c r="F911" s="64"/>
      <c r="G911" s="64"/>
      <c r="H911" s="64"/>
      <c r="I911" s="2"/>
      <c r="J911" s="2"/>
      <c r="K911" s="2"/>
      <c r="L911" s="2"/>
      <c r="M911" s="2"/>
      <c r="N911" s="2"/>
      <c r="O911" s="2"/>
      <c r="P911" s="66"/>
      <c r="Q911" s="66"/>
      <c r="R911" s="2"/>
      <c r="S911" s="2"/>
      <c r="T911" s="2"/>
    </row>
    <row r="912" spans="1:20">
      <c r="A912" s="3"/>
      <c r="B912" s="3"/>
      <c r="C912" s="2"/>
      <c r="D912" s="2"/>
      <c r="E912" s="64"/>
      <c r="F912" s="64"/>
      <c r="G912" s="64"/>
      <c r="H912" s="64"/>
      <c r="I912" s="2"/>
      <c r="J912" s="2"/>
      <c r="K912" s="2"/>
      <c r="L912" s="2"/>
      <c r="M912" s="2"/>
      <c r="N912" s="2"/>
      <c r="O912" s="2"/>
      <c r="P912" s="66"/>
      <c r="Q912" s="66"/>
      <c r="R912" s="2"/>
      <c r="S912" s="2"/>
      <c r="T912" s="2"/>
    </row>
    <row r="913" spans="1:20">
      <c r="A913" s="3"/>
      <c r="B913" s="3"/>
      <c r="C913" s="2"/>
      <c r="D913" s="2"/>
      <c r="E913" s="64"/>
      <c r="F913" s="64"/>
      <c r="G913" s="64"/>
      <c r="H913" s="64"/>
      <c r="I913" s="2"/>
      <c r="J913" s="2"/>
      <c r="K913" s="2"/>
      <c r="L913" s="2"/>
      <c r="M913" s="2"/>
      <c r="N913" s="2"/>
      <c r="O913" s="2"/>
      <c r="P913" s="66"/>
      <c r="Q913" s="66"/>
      <c r="R913" s="2"/>
      <c r="S913" s="2"/>
      <c r="T913" s="2"/>
    </row>
    <row r="914" spans="1:20">
      <c r="A914" s="3"/>
      <c r="B914" s="3"/>
      <c r="C914" s="2"/>
      <c r="D914" s="2"/>
      <c r="E914" s="64"/>
      <c r="F914" s="64"/>
      <c r="G914" s="64"/>
      <c r="H914" s="64"/>
      <c r="I914" s="2"/>
      <c r="J914" s="2"/>
      <c r="K914" s="2"/>
      <c r="L914" s="2"/>
      <c r="M914" s="2"/>
      <c r="N914" s="2"/>
      <c r="O914" s="2"/>
      <c r="P914" s="66"/>
      <c r="Q914" s="66"/>
      <c r="R914" s="2"/>
      <c r="S914" s="2"/>
      <c r="T914" s="2"/>
    </row>
    <row r="915" spans="1:20">
      <c r="A915" s="3"/>
      <c r="B915" s="3"/>
      <c r="C915" s="2"/>
      <c r="D915" s="2"/>
      <c r="E915" s="64"/>
      <c r="F915" s="64"/>
      <c r="G915" s="64"/>
      <c r="H915" s="64"/>
      <c r="I915" s="2"/>
      <c r="J915" s="2"/>
      <c r="K915" s="2"/>
      <c r="L915" s="2"/>
      <c r="M915" s="2"/>
      <c r="N915" s="2"/>
      <c r="O915" s="2"/>
      <c r="P915" s="66"/>
      <c r="Q915" s="66"/>
      <c r="R915" s="2"/>
      <c r="S915" s="2"/>
      <c r="T915" s="2"/>
    </row>
    <row r="916" spans="1:20">
      <c r="A916" s="3"/>
      <c r="B916" s="3"/>
      <c r="C916" s="2"/>
      <c r="D916" s="2"/>
      <c r="E916" s="64"/>
      <c r="F916" s="64"/>
      <c r="G916" s="64"/>
      <c r="H916" s="64"/>
      <c r="I916" s="2"/>
      <c r="J916" s="2"/>
      <c r="K916" s="2"/>
      <c r="L916" s="2"/>
      <c r="M916" s="2"/>
      <c r="N916" s="2"/>
      <c r="O916" s="2"/>
      <c r="P916" s="66"/>
      <c r="Q916" s="66"/>
      <c r="R916" s="2"/>
      <c r="S916" s="2"/>
      <c r="T916" s="2"/>
    </row>
    <row r="917" spans="1:20">
      <c r="A917" s="3"/>
      <c r="B917" s="3"/>
      <c r="C917" s="2"/>
      <c r="D917" s="2"/>
      <c r="E917" s="64"/>
      <c r="F917" s="64"/>
      <c r="G917" s="64"/>
      <c r="H917" s="64"/>
      <c r="I917" s="2"/>
      <c r="J917" s="2"/>
      <c r="K917" s="2"/>
      <c r="L917" s="2"/>
      <c r="M917" s="2"/>
      <c r="N917" s="2"/>
      <c r="O917" s="2"/>
      <c r="P917" s="66"/>
      <c r="Q917" s="66"/>
      <c r="R917" s="2"/>
      <c r="S917" s="2"/>
      <c r="T917" s="2"/>
    </row>
    <row r="918" spans="1:20">
      <c r="A918" s="3"/>
      <c r="B918" s="3"/>
      <c r="C918" s="2"/>
      <c r="D918" s="2"/>
      <c r="E918" s="64"/>
      <c r="F918" s="64"/>
      <c r="G918" s="64"/>
      <c r="H918" s="64"/>
      <c r="I918" s="2"/>
      <c r="J918" s="2"/>
      <c r="K918" s="2"/>
      <c r="L918" s="2"/>
      <c r="M918" s="2"/>
      <c r="N918" s="2"/>
      <c r="O918" s="2"/>
      <c r="P918" s="66"/>
      <c r="Q918" s="66"/>
      <c r="R918" s="2"/>
      <c r="S918" s="2"/>
      <c r="T918" s="2"/>
    </row>
    <row r="919" spans="1:20">
      <c r="A919" s="3"/>
      <c r="B919" s="3"/>
      <c r="C919" s="2"/>
      <c r="D919" s="2"/>
      <c r="E919" s="64"/>
      <c r="F919" s="64"/>
      <c r="G919" s="64"/>
      <c r="H919" s="64"/>
      <c r="I919" s="2"/>
      <c r="J919" s="2"/>
      <c r="K919" s="2"/>
      <c r="L919" s="2"/>
      <c r="M919" s="2"/>
      <c r="N919" s="2"/>
      <c r="O919" s="2"/>
      <c r="P919" s="66"/>
      <c r="Q919" s="66"/>
      <c r="R919" s="2"/>
      <c r="S919" s="2"/>
      <c r="T919" s="2"/>
    </row>
    <row r="920" spans="1:20">
      <c r="A920" s="3"/>
      <c r="B920" s="3"/>
      <c r="C920" s="2"/>
      <c r="D920" s="2"/>
      <c r="E920" s="64"/>
      <c r="F920" s="64"/>
      <c r="G920" s="64"/>
      <c r="H920" s="64"/>
      <c r="I920" s="2"/>
      <c r="J920" s="2"/>
      <c r="K920" s="2"/>
      <c r="L920" s="2"/>
      <c r="M920" s="2"/>
      <c r="N920" s="2"/>
      <c r="O920" s="2"/>
      <c r="P920" s="66"/>
      <c r="Q920" s="66"/>
      <c r="R920" s="2"/>
      <c r="S920" s="2"/>
      <c r="T920" s="2"/>
    </row>
    <row r="921" spans="1:20">
      <c r="A921" s="3"/>
      <c r="B921" s="3"/>
      <c r="C921" s="2"/>
      <c r="D921" s="2"/>
      <c r="E921" s="64"/>
      <c r="F921" s="64"/>
      <c r="G921" s="64"/>
      <c r="H921" s="64"/>
      <c r="I921" s="2"/>
      <c r="J921" s="2"/>
      <c r="K921" s="2"/>
      <c r="L921" s="2"/>
      <c r="M921" s="2"/>
      <c r="N921" s="2"/>
      <c r="O921" s="2"/>
      <c r="P921" s="66"/>
      <c r="Q921" s="66"/>
      <c r="R921" s="2"/>
      <c r="S921" s="2"/>
      <c r="T921" s="2"/>
    </row>
    <row r="922" spans="1:20">
      <c r="A922" s="3"/>
      <c r="B922" s="3"/>
      <c r="C922" s="2"/>
      <c r="D922" s="2"/>
      <c r="E922" s="64"/>
      <c r="F922" s="64"/>
      <c r="G922" s="64"/>
      <c r="H922" s="64"/>
      <c r="I922" s="2"/>
      <c r="J922" s="2"/>
      <c r="K922" s="2"/>
      <c r="L922" s="2"/>
      <c r="M922" s="2"/>
      <c r="N922" s="2"/>
      <c r="O922" s="2"/>
      <c r="P922" s="66"/>
      <c r="Q922" s="66"/>
      <c r="R922" s="2"/>
      <c r="S922" s="2"/>
      <c r="T922" s="2"/>
    </row>
    <row r="923" spans="1:20">
      <c r="A923" s="3"/>
      <c r="B923" s="3"/>
      <c r="C923" s="2"/>
      <c r="D923" s="2"/>
      <c r="E923" s="64"/>
      <c r="F923" s="64"/>
      <c r="G923" s="64"/>
      <c r="H923" s="64"/>
      <c r="I923" s="2"/>
      <c r="J923" s="2"/>
      <c r="K923" s="2"/>
      <c r="L923" s="2"/>
      <c r="M923" s="2"/>
      <c r="N923" s="2"/>
      <c r="O923" s="2"/>
      <c r="P923" s="66"/>
      <c r="Q923" s="66"/>
      <c r="R923" s="2"/>
      <c r="S923" s="2"/>
      <c r="T923" s="2"/>
    </row>
    <row r="924" spans="1:20">
      <c r="A924" s="3"/>
      <c r="B924" s="3"/>
      <c r="C924" s="2"/>
      <c r="D924" s="2"/>
      <c r="E924" s="64"/>
      <c r="F924" s="64"/>
      <c r="G924" s="64"/>
      <c r="H924" s="64"/>
      <c r="I924" s="2"/>
      <c r="J924" s="2"/>
      <c r="K924" s="2"/>
      <c r="L924" s="2"/>
      <c r="M924" s="2"/>
      <c r="N924" s="2"/>
      <c r="O924" s="2"/>
      <c r="P924" s="66"/>
      <c r="Q924" s="66"/>
      <c r="R924" s="2"/>
      <c r="S924" s="2"/>
      <c r="T924" s="2"/>
    </row>
    <row r="925" spans="1:20">
      <c r="A925" s="3"/>
      <c r="B925" s="3"/>
      <c r="C925" s="2"/>
      <c r="D925" s="2"/>
      <c r="E925" s="64"/>
      <c r="F925" s="64"/>
      <c r="G925" s="64"/>
      <c r="H925" s="64"/>
      <c r="I925" s="2"/>
      <c r="J925" s="2"/>
      <c r="K925" s="2"/>
      <c r="L925" s="2"/>
      <c r="M925" s="2"/>
      <c r="N925" s="2"/>
      <c r="O925" s="2"/>
      <c r="P925" s="66"/>
      <c r="Q925" s="66"/>
      <c r="R925" s="2"/>
      <c r="S925" s="2"/>
      <c r="T925" s="2"/>
    </row>
    <row r="926" spans="1:20">
      <c r="A926" s="3"/>
      <c r="B926" s="3"/>
      <c r="C926" s="2"/>
      <c r="D926" s="2"/>
      <c r="E926" s="64"/>
      <c r="F926" s="64"/>
      <c r="G926" s="64"/>
      <c r="H926" s="64"/>
      <c r="I926" s="2"/>
      <c r="J926" s="2"/>
      <c r="K926" s="2"/>
      <c r="L926" s="2"/>
      <c r="M926" s="2"/>
      <c r="N926" s="2"/>
      <c r="O926" s="2"/>
      <c r="P926" s="66"/>
      <c r="Q926" s="66"/>
      <c r="R926" s="2"/>
      <c r="S926" s="2"/>
      <c r="T926" s="2"/>
    </row>
    <row r="927" spans="1:20">
      <c r="A927" s="3"/>
      <c r="B927" s="3"/>
      <c r="C927" s="2"/>
      <c r="D927" s="2"/>
      <c r="E927" s="64"/>
      <c r="F927" s="64"/>
      <c r="G927" s="64"/>
      <c r="H927" s="64"/>
      <c r="I927" s="2"/>
      <c r="J927" s="2"/>
      <c r="K927" s="2"/>
      <c r="L927" s="2"/>
      <c r="M927" s="2"/>
      <c r="N927" s="2"/>
      <c r="O927" s="2"/>
      <c r="P927" s="66"/>
      <c r="Q927" s="66"/>
      <c r="R927" s="2"/>
      <c r="S927" s="2"/>
      <c r="T927" s="2"/>
    </row>
    <row r="928" spans="1:20">
      <c r="A928" s="3"/>
      <c r="B928" s="3"/>
      <c r="C928" s="2"/>
      <c r="D928" s="2"/>
      <c r="E928" s="64"/>
      <c r="F928" s="64"/>
      <c r="G928" s="64"/>
      <c r="H928" s="64"/>
      <c r="I928" s="2"/>
      <c r="J928" s="2"/>
      <c r="K928" s="2"/>
      <c r="L928" s="2"/>
      <c r="M928" s="2"/>
      <c r="N928" s="2"/>
      <c r="O928" s="2"/>
      <c r="P928" s="66"/>
      <c r="Q928" s="66"/>
      <c r="R928" s="2"/>
      <c r="S928" s="2"/>
      <c r="T928" s="2"/>
    </row>
    <row r="929" spans="1:20">
      <c r="A929" s="3"/>
      <c r="B929" s="3"/>
      <c r="C929" s="2"/>
      <c r="D929" s="2"/>
      <c r="E929" s="64"/>
      <c r="F929" s="64"/>
      <c r="G929" s="64"/>
      <c r="H929" s="64"/>
      <c r="I929" s="2"/>
      <c r="J929" s="2"/>
      <c r="K929" s="2"/>
      <c r="L929" s="2"/>
      <c r="M929" s="2"/>
      <c r="N929" s="2"/>
      <c r="O929" s="2"/>
      <c r="P929" s="66"/>
      <c r="Q929" s="66"/>
      <c r="R929" s="2"/>
      <c r="S929" s="2"/>
      <c r="T929" s="2"/>
    </row>
    <row r="930" spans="1:20">
      <c r="A930" s="3"/>
      <c r="B930" s="3"/>
      <c r="C930" s="2"/>
      <c r="D930" s="2"/>
      <c r="E930" s="64"/>
      <c r="F930" s="64"/>
      <c r="G930" s="64"/>
      <c r="H930" s="64"/>
      <c r="I930" s="2"/>
      <c r="J930" s="2"/>
      <c r="K930" s="2"/>
      <c r="L930" s="2"/>
      <c r="M930" s="2"/>
      <c r="N930" s="2"/>
      <c r="O930" s="2"/>
      <c r="P930" s="66"/>
      <c r="Q930" s="66"/>
      <c r="R930" s="2"/>
      <c r="S930" s="2"/>
      <c r="T930" s="2"/>
    </row>
    <row r="931" spans="1:20">
      <c r="A931" s="3"/>
      <c r="B931" s="3"/>
      <c r="C931" s="2"/>
      <c r="D931" s="2"/>
      <c r="E931" s="64"/>
      <c r="F931" s="64"/>
      <c r="G931" s="64"/>
      <c r="H931" s="64"/>
      <c r="I931" s="2"/>
      <c r="J931" s="2"/>
      <c r="K931" s="2"/>
      <c r="L931" s="2"/>
      <c r="M931" s="2"/>
      <c r="N931" s="2"/>
      <c r="O931" s="2"/>
      <c r="P931" s="66"/>
      <c r="Q931" s="66"/>
      <c r="R931" s="2"/>
      <c r="S931" s="2"/>
      <c r="T931" s="2"/>
    </row>
    <row r="932" spans="1:20">
      <c r="A932" s="3"/>
      <c r="B932" s="3"/>
      <c r="C932" s="2"/>
      <c r="D932" s="2"/>
      <c r="E932" s="64"/>
      <c r="F932" s="64"/>
      <c r="G932" s="64"/>
      <c r="H932" s="64"/>
      <c r="I932" s="2"/>
      <c r="J932" s="2"/>
      <c r="K932" s="2"/>
      <c r="L932" s="2"/>
      <c r="M932" s="2"/>
      <c r="N932" s="2"/>
      <c r="O932" s="2"/>
      <c r="P932" s="66"/>
      <c r="Q932" s="66"/>
      <c r="R932" s="2"/>
      <c r="S932" s="2"/>
      <c r="T932" s="2"/>
    </row>
    <row r="933" spans="1:20">
      <c r="A933" s="3"/>
      <c r="B933" s="3"/>
      <c r="C933" s="2"/>
      <c r="D933" s="2"/>
      <c r="E933" s="64"/>
      <c r="F933" s="64"/>
      <c r="G933" s="64"/>
      <c r="H933" s="64"/>
      <c r="I933" s="2"/>
      <c r="J933" s="2"/>
      <c r="K933" s="2"/>
      <c r="L933" s="2"/>
      <c r="M933" s="2"/>
      <c r="N933" s="2"/>
      <c r="O933" s="2"/>
      <c r="P933" s="66"/>
      <c r="Q933" s="66"/>
      <c r="R933" s="2"/>
      <c r="S933" s="2"/>
      <c r="T933" s="2"/>
    </row>
    <row r="934" spans="1:20">
      <c r="A934" s="3"/>
      <c r="B934" s="3"/>
      <c r="C934" s="2"/>
      <c r="D934" s="2"/>
      <c r="E934" s="64"/>
      <c r="F934" s="64"/>
      <c r="G934" s="64"/>
      <c r="H934" s="64"/>
      <c r="I934" s="2"/>
      <c r="J934" s="2"/>
      <c r="K934" s="2"/>
      <c r="L934" s="2"/>
      <c r="M934" s="2"/>
      <c r="N934" s="2"/>
      <c r="O934" s="2"/>
      <c r="P934" s="66"/>
      <c r="Q934" s="66"/>
      <c r="R934" s="2"/>
      <c r="S934" s="2"/>
      <c r="T934" s="2"/>
    </row>
    <row r="935" spans="1:20">
      <c r="A935" s="3"/>
      <c r="B935" s="3"/>
      <c r="C935" s="2"/>
      <c r="D935" s="2"/>
      <c r="E935" s="64"/>
      <c r="F935" s="64"/>
      <c r="G935" s="64"/>
      <c r="H935" s="64"/>
      <c r="I935" s="2"/>
      <c r="J935" s="2"/>
      <c r="K935" s="2"/>
      <c r="L935" s="2"/>
      <c r="M935" s="2"/>
      <c r="N935" s="2"/>
      <c r="O935" s="2"/>
      <c r="P935" s="66"/>
      <c r="Q935" s="66"/>
      <c r="R935" s="2"/>
      <c r="S935" s="2"/>
      <c r="T935" s="2"/>
    </row>
    <row r="936" spans="1:20">
      <c r="A936" s="3"/>
      <c r="B936" s="3"/>
      <c r="C936" s="2"/>
      <c r="D936" s="2"/>
      <c r="E936" s="64"/>
      <c r="F936" s="64"/>
      <c r="G936" s="64"/>
      <c r="H936" s="64"/>
      <c r="I936" s="2"/>
      <c r="J936" s="2"/>
      <c r="K936" s="2"/>
      <c r="L936" s="2"/>
      <c r="M936" s="2"/>
      <c r="N936" s="2"/>
      <c r="O936" s="2"/>
      <c r="P936" s="66"/>
      <c r="Q936" s="66"/>
      <c r="R936" s="2"/>
      <c r="S936" s="2"/>
      <c r="T936" s="2"/>
    </row>
    <row r="937" spans="1:20">
      <c r="A937" s="3"/>
      <c r="B937" s="3"/>
      <c r="C937" s="2"/>
      <c r="D937" s="2"/>
      <c r="E937" s="64"/>
      <c r="F937" s="64"/>
      <c r="G937" s="64"/>
      <c r="H937" s="64"/>
      <c r="I937" s="2"/>
      <c r="J937" s="2"/>
      <c r="K937" s="2"/>
      <c r="L937" s="2"/>
      <c r="M937" s="2"/>
      <c r="N937" s="2"/>
      <c r="O937" s="2"/>
      <c r="P937" s="66"/>
      <c r="Q937" s="66"/>
      <c r="R937" s="2"/>
      <c r="S937" s="2"/>
      <c r="T937" s="2"/>
    </row>
    <row r="938" spans="1:20">
      <c r="A938" s="3"/>
      <c r="B938" s="3"/>
      <c r="C938" s="2"/>
      <c r="D938" s="2"/>
      <c r="E938" s="64"/>
      <c r="F938" s="64"/>
      <c r="G938" s="64"/>
      <c r="H938" s="64"/>
      <c r="I938" s="2"/>
      <c r="J938" s="2"/>
      <c r="K938" s="2"/>
      <c r="L938" s="2"/>
      <c r="M938" s="2"/>
      <c r="N938" s="2"/>
      <c r="O938" s="2"/>
      <c r="P938" s="66"/>
      <c r="Q938" s="66"/>
      <c r="R938" s="2"/>
      <c r="S938" s="2"/>
      <c r="T938" s="2"/>
    </row>
    <row r="939" spans="1:20">
      <c r="A939" s="3"/>
      <c r="B939" s="3"/>
      <c r="C939" s="2"/>
      <c r="D939" s="2"/>
      <c r="E939" s="64"/>
      <c r="F939" s="64"/>
      <c r="G939" s="64"/>
      <c r="H939" s="64"/>
      <c r="I939" s="2"/>
      <c r="J939" s="2"/>
      <c r="K939" s="2"/>
      <c r="L939" s="2"/>
      <c r="M939" s="2"/>
      <c r="N939" s="2"/>
      <c r="O939" s="2"/>
      <c r="P939" s="66"/>
      <c r="Q939" s="66"/>
      <c r="R939" s="2"/>
      <c r="S939" s="2"/>
      <c r="T939" s="2"/>
    </row>
    <row r="940" spans="1:20">
      <c r="A940" s="3"/>
      <c r="B940" s="3"/>
      <c r="C940" s="2"/>
      <c r="D940" s="2"/>
      <c r="E940" s="64"/>
      <c r="F940" s="64"/>
      <c r="G940" s="64"/>
      <c r="H940" s="64"/>
      <c r="I940" s="2"/>
      <c r="J940" s="2"/>
      <c r="K940" s="2"/>
      <c r="L940" s="2"/>
      <c r="M940" s="2"/>
      <c r="N940" s="2"/>
      <c r="O940" s="2"/>
      <c r="P940" s="66"/>
      <c r="Q940" s="66"/>
      <c r="R940" s="2"/>
      <c r="S940" s="2"/>
      <c r="T940" s="2"/>
    </row>
    <row r="941" spans="1:20">
      <c r="A941" s="3"/>
      <c r="B941" s="3"/>
      <c r="C941" s="2"/>
      <c r="D941" s="2"/>
      <c r="E941" s="64"/>
      <c r="F941" s="64"/>
      <c r="G941" s="64"/>
      <c r="H941" s="64"/>
      <c r="I941" s="2"/>
      <c r="J941" s="2"/>
      <c r="K941" s="2"/>
      <c r="L941" s="2"/>
      <c r="M941" s="2"/>
      <c r="N941" s="2"/>
      <c r="O941" s="2"/>
      <c r="P941" s="66"/>
      <c r="Q941" s="66"/>
      <c r="R941" s="2"/>
      <c r="S941" s="2"/>
      <c r="T941" s="2"/>
    </row>
    <row r="942" spans="1:20">
      <c r="A942" s="3"/>
      <c r="B942" s="3"/>
      <c r="C942" s="2"/>
      <c r="D942" s="2"/>
      <c r="E942" s="64"/>
      <c r="F942" s="64"/>
      <c r="G942" s="64"/>
      <c r="H942" s="64"/>
      <c r="I942" s="2"/>
      <c r="J942" s="2"/>
      <c r="K942" s="2"/>
      <c r="L942" s="2"/>
      <c r="M942" s="2"/>
      <c r="N942" s="2"/>
      <c r="O942" s="2"/>
      <c r="P942" s="66"/>
      <c r="Q942" s="66"/>
      <c r="R942" s="2"/>
      <c r="S942" s="2"/>
      <c r="T942" s="2"/>
    </row>
    <row r="943" spans="1:20">
      <c r="A943" s="3"/>
      <c r="B943" s="3"/>
      <c r="C943" s="2"/>
      <c r="D943" s="2"/>
      <c r="E943" s="64"/>
      <c r="F943" s="64"/>
      <c r="G943" s="64"/>
      <c r="H943" s="64"/>
      <c r="I943" s="2"/>
      <c r="J943" s="2"/>
      <c r="K943" s="2"/>
      <c r="L943" s="2"/>
      <c r="M943" s="2"/>
      <c r="N943" s="2"/>
      <c r="O943" s="2"/>
      <c r="P943" s="66"/>
      <c r="Q943" s="66"/>
      <c r="R943" s="2"/>
      <c r="S943" s="2"/>
      <c r="T943" s="2"/>
    </row>
    <row r="944" spans="1:20">
      <c r="A944" s="3"/>
      <c r="B944" s="3"/>
      <c r="C944" s="2"/>
      <c r="D944" s="2"/>
      <c r="E944" s="64"/>
      <c r="F944" s="64"/>
      <c r="G944" s="64"/>
      <c r="H944" s="64"/>
      <c r="I944" s="2"/>
      <c r="J944" s="2"/>
      <c r="K944" s="2"/>
      <c r="L944" s="2"/>
      <c r="M944" s="2"/>
      <c r="N944" s="2"/>
      <c r="O944" s="2"/>
      <c r="P944" s="66"/>
      <c r="Q944" s="66"/>
      <c r="R944" s="2"/>
      <c r="S944" s="2"/>
      <c r="T944" s="2"/>
    </row>
    <row r="945" spans="1:20">
      <c r="A945" s="3"/>
      <c r="B945" s="3"/>
      <c r="C945" s="2"/>
      <c r="D945" s="2"/>
      <c r="E945" s="64"/>
      <c r="F945" s="64"/>
      <c r="G945" s="64"/>
      <c r="H945" s="64"/>
      <c r="I945" s="2"/>
      <c r="J945" s="2"/>
      <c r="K945" s="2"/>
      <c r="L945" s="2"/>
      <c r="M945" s="2"/>
      <c r="N945" s="2"/>
      <c r="O945" s="2"/>
      <c r="P945" s="66"/>
      <c r="Q945" s="66"/>
      <c r="R945" s="2"/>
      <c r="S945" s="2"/>
      <c r="T945" s="2"/>
    </row>
    <row r="946" spans="1:20">
      <c r="A946" s="3"/>
      <c r="B946" s="3"/>
      <c r="C946" s="2"/>
      <c r="D946" s="2"/>
      <c r="E946" s="64"/>
      <c r="F946" s="64"/>
      <c r="G946" s="64"/>
      <c r="H946" s="64"/>
      <c r="I946" s="2"/>
      <c r="J946" s="2"/>
      <c r="K946" s="2"/>
      <c r="L946" s="2"/>
      <c r="M946" s="2"/>
      <c r="N946" s="2"/>
      <c r="O946" s="2"/>
      <c r="P946" s="66"/>
      <c r="Q946" s="66"/>
      <c r="R946" s="2"/>
      <c r="S946" s="2"/>
      <c r="T946" s="2"/>
    </row>
    <row r="947" spans="1:20">
      <c r="A947" s="3"/>
      <c r="B947" s="3"/>
      <c r="C947" s="2"/>
      <c r="D947" s="2"/>
      <c r="E947" s="64"/>
      <c r="F947" s="64"/>
      <c r="G947" s="64"/>
      <c r="H947" s="64"/>
      <c r="I947" s="2"/>
      <c r="J947" s="2"/>
      <c r="K947" s="2"/>
      <c r="L947" s="2"/>
      <c r="M947" s="2"/>
      <c r="N947" s="2"/>
      <c r="O947" s="2"/>
      <c r="P947" s="66"/>
      <c r="Q947" s="66"/>
      <c r="R947" s="2"/>
      <c r="S947" s="2"/>
      <c r="T947" s="2"/>
    </row>
    <row r="948" spans="1:20">
      <c r="A948" s="3"/>
      <c r="B948" s="3"/>
      <c r="C948" s="2"/>
      <c r="D948" s="2"/>
      <c r="E948" s="64"/>
      <c r="F948" s="64"/>
      <c r="G948" s="64"/>
      <c r="H948" s="64"/>
      <c r="I948" s="2"/>
      <c r="J948" s="2"/>
      <c r="K948" s="2"/>
      <c r="L948" s="2"/>
      <c r="M948" s="2"/>
      <c r="N948" s="2"/>
      <c r="O948" s="2"/>
      <c r="P948" s="66"/>
      <c r="Q948" s="66"/>
      <c r="R948" s="2"/>
      <c r="S948" s="2"/>
      <c r="T948" s="2"/>
    </row>
    <row r="949" spans="1:20">
      <c r="A949" s="3"/>
      <c r="B949" s="3"/>
      <c r="C949" s="2"/>
      <c r="D949" s="2"/>
      <c r="E949" s="64"/>
      <c r="F949" s="64"/>
      <c r="G949" s="64"/>
      <c r="H949" s="64"/>
      <c r="I949" s="2"/>
      <c r="J949" s="2"/>
      <c r="K949" s="2"/>
      <c r="L949" s="2"/>
      <c r="M949" s="2"/>
      <c r="N949" s="2"/>
      <c r="O949" s="2"/>
      <c r="P949" s="66"/>
      <c r="Q949" s="66"/>
      <c r="R949" s="2"/>
      <c r="S949" s="2"/>
      <c r="T949" s="2"/>
    </row>
    <row r="950" spans="1:20">
      <c r="A950" s="3"/>
      <c r="B950" s="3"/>
      <c r="C950" s="2"/>
      <c r="D950" s="2"/>
      <c r="E950" s="64"/>
      <c r="F950" s="64"/>
      <c r="G950" s="64"/>
      <c r="H950" s="64"/>
      <c r="I950" s="2"/>
      <c r="J950" s="2"/>
      <c r="K950" s="2"/>
      <c r="L950" s="2"/>
      <c r="M950" s="2"/>
      <c r="N950" s="2"/>
      <c r="O950" s="2"/>
      <c r="P950" s="66"/>
      <c r="Q950" s="66"/>
      <c r="R950" s="2"/>
      <c r="S950" s="2"/>
      <c r="T950" s="2"/>
    </row>
    <row r="951" spans="1:20">
      <c r="A951" s="3"/>
      <c r="B951" s="3"/>
      <c r="C951" s="2"/>
      <c r="D951" s="2"/>
      <c r="E951" s="64"/>
      <c r="F951" s="64"/>
      <c r="G951" s="64"/>
      <c r="H951" s="64"/>
      <c r="I951" s="2"/>
      <c r="J951" s="2"/>
      <c r="K951" s="2"/>
      <c r="L951" s="2"/>
      <c r="M951" s="2"/>
      <c r="N951" s="2"/>
      <c r="O951" s="2"/>
      <c r="P951" s="66"/>
      <c r="Q951" s="66"/>
      <c r="R951" s="2"/>
      <c r="S951" s="2"/>
      <c r="T951" s="2"/>
    </row>
    <row r="952" spans="1:20">
      <c r="A952" s="3"/>
      <c r="B952" s="3"/>
      <c r="C952" s="2"/>
      <c r="D952" s="2"/>
      <c r="E952" s="64"/>
      <c r="F952" s="64"/>
      <c r="G952" s="64"/>
      <c r="H952" s="64"/>
      <c r="I952" s="2"/>
      <c r="J952" s="2"/>
      <c r="K952" s="2"/>
      <c r="L952" s="2"/>
      <c r="M952" s="2"/>
      <c r="N952" s="2"/>
      <c r="O952" s="2"/>
      <c r="P952" s="66"/>
      <c r="Q952" s="66"/>
      <c r="R952" s="2"/>
      <c r="S952" s="2"/>
      <c r="T952" s="2"/>
    </row>
    <row r="953" spans="1:20">
      <c r="A953" s="3"/>
      <c r="B953" s="3"/>
      <c r="C953" s="2"/>
      <c r="D953" s="2"/>
      <c r="E953" s="64"/>
      <c r="F953" s="64"/>
      <c r="G953" s="64"/>
      <c r="H953" s="64"/>
      <c r="I953" s="2"/>
      <c r="J953" s="2"/>
      <c r="K953" s="2"/>
      <c r="L953" s="2"/>
      <c r="M953" s="2"/>
      <c r="N953" s="2"/>
      <c r="O953" s="2"/>
      <c r="P953" s="66"/>
      <c r="Q953" s="66"/>
      <c r="R953" s="2"/>
      <c r="S953" s="2"/>
      <c r="T953" s="2"/>
    </row>
    <row r="954" spans="1:20">
      <c r="A954" s="3"/>
      <c r="B954" s="3"/>
      <c r="C954" s="2"/>
      <c r="D954" s="2"/>
      <c r="E954" s="64"/>
      <c r="F954" s="64"/>
      <c r="G954" s="64"/>
      <c r="H954" s="64"/>
      <c r="I954" s="2"/>
      <c r="J954" s="2"/>
      <c r="K954" s="2"/>
      <c r="L954" s="2"/>
      <c r="M954" s="2"/>
      <c r="N954" s="2"/>
      <c r="O954" s="2"/>
      <c r="P954" s="66"/>
      <c r="Q954" s="66"/>
      <c r="R954" s="2"/>
      <c r="S954" s="2"/>
      <c r="T954" s="2"/>
    </row>
    <row r="955" spans="1:20">
      <c r="A955" s="3"/>
      <c r="B955" s="3"/>
      <c r="C955" s="2"/>
      <c r="D955" s="2"/>
      <c r="E955" s="64"/>
      <c r="F955" s="64"/>
      <c r="G955" s="64"/>
      <c r="H955" s="64"/>
      <c r="I955" s="2"/>
      <c r="J955" s="2"/>
      <c r="K955" s="2"/>
      <c r="L955" s="2"/>
      <c r="M955" s="2"/>
      <c r="N955" s="2"/>
      <c r="O955" s="2"/>
      <c r="P955" s="66"/>
      <c r="Q955" s="66"/>
      <c r="R955" s="2"/>
      <c r="S955" s="2"/>
      <c r="T955" s="2"/>
    </row>
    <row r="956" spans="1:20">
      <c r="A956" s="3"/>
      <c r="B956" s="3"/>
      <c r="C956" s="2"/>
      <c r="D956" s="2"/>
      <c r="E956" s="64"/>
      <c r="F956" s="64"/>
      <c r="G956" s="64"/>
      <c r="H956" s="64"/>
      <c r="I956" s="2"/>
      <c r="J956" s="2"/>
      <c r="K956" s="2"/>
      <c r="L956" s="2"/>
      <c r="M956" s="2"/>
      <c r="N956" s="2"/>
      <c r="O956" s="2"/>
      <c r="P956" s="66"/>
      <c r="Q956" s="66"/>
      <c r="R956" s="2"/>
      <c r="S956" s="2"/>
      <c r="T956" s="2"/>
    </row>
    <row r="957" spans="1:20">
      <c r="A957" s="3"/>
      <c r="B957" s="3"/>
      <c r="C957" s="2"/>
      <c r="D957" s="2"/>
      <c r="E957" s="64"/>
      <c r="F957" s="64"/>
      <c r="G957" s="64"/>
      <c r="H957" s="64"/>
      <c r="I957" s="2"/>
      <c r="J957" s="2"/>
      <c r="K957" s="2"/>
      <c r="L957" s="2"/>
      <c r="M957" s="2"/>
      <c r="N957" s="2"/>
      <c r="O957" s="2"/>
      <c r="P957" s="66"/>
      <c r="Q957" s="66"/>
      <c r="R957" s="2"/>
      <c r="S957" s="2"/>
      <c r="T957" s="2"/>
    </row>
    <row r="958" spans="1:20">
      <c r="A958" s="3"/>
      <c r="B958" s="3"/>
      <c r="C958" s="2"/>
      <c r="D958" s="2"/>
      <c r="E958" s="64"/>
      <c r="F958" s="64"/>
      <c r="G958" s="64"/>
      <c r="H958" s="64"/>
      <c r="I958" s="2"/>
      <c r="J958" s="2"/>
      <c r="K958" s="2"/>
      <c r="L958" s="2"/>
      <c r="M958" s="2"/>
      <c r="N958" s="2"/>
      <c r="O958" s="2"/>
      <c r="P958" s="66"/>
      <c r="Q958" s="66"/>
      <c r="R958" s="2"/>
      <c r="S958" s="2"/>
      <c r="T958" s="2"/>
    </row>
    <row r="959" spans="1:20">
      <c r="A959" s="3"/>
      <c r="B959" s="3"/>
      <c r="C959" s="2"/>
      <c r="D959" s="2"/>
      <c r="E959" s="64"/>
      <c r="F959" s="64"/>
      <c r="G959" s="64"/>
      <c r="H959" s="64"/>
      <c r="I959" s="2"/>
      <c r="J959" s="2"/>
      <c r="K959" s="2"/>
      <c r="L959" s="2"/>
      <c r="M959" s="2"/>
      <c r="N959" s="2"/>
      <c r="O959" s="2"/>
      <c r="P959" s="66"/>
      <c r="Q959" s="66"/>
      <c r="R959" s="2"/>
      <c r="S959" s="2"/>
      <c r="T959" s="2"/>
    </row>
    <row r="960" spans="1:20">
      <c r="A960" s="3"/>
      <c r="B960" s="3"/>
      <c r="C960" s="2"/>
      <c r="D960" s="2"/>
      <c r="E960" s="64"/>
      <c r="F960" s="64"/>
      <c r="G960" s="64"/>
      <c r="H960" s="64"/>
      <c r="I960" s="2"/>
      <c r="J960" s="2"/>
      <c r="K960" s="2"/>
      <c r="L960" s="2"/>
      <c r="M960" s="2"/>
      <c r="N960" s="2"/>
      <c r="O960" s="2"/>
      <c r="P960" s="66"/>
      <c r="Q960" s="66"/>
      <c r="R960" s="2"/>
      <c r="S960" s="2"/>
      <c r="T960" s="2"/>
    </row>
    <row r="961" spans="1:20">
      <c r="A961" s="3"/>
      <c r="B961" s="3"/>
      <c r="C961" s="2"/>
      <c r="D961" s="2"/>
      <c r="E961" s="64"/>
      <c r="F961" s="64"/>
      <c r="G961" s="64"/>
      <c r="H961" s="64"/>
      <c r="I961" s="2"/>
      <c r="J961" s="2"/>
      <c r="K961" s="2"/>
      <c r="L961" s="2"/>
      <c r="M961" s="2"/>
      <c r="N961" s="2"/>
      <c r="O961" s="2"/>
      <c r="P961" s="66"/>
      <c r="Q961" s="66"/>
      <c r="R961" s="2"/>
      <c r="S961" s="2"/>
      <c r="T961" s="2"/>
    </row>
    <row r="962" spans="1:20">
      <c r="A962" s="3"/>
      <c r="B962" s="3"/>
      <c r="C962" s="2"/>
      <c r="D962" s="2"/>
      <c r="E962" s="64"/>
      <c r="F962" s="64"/>
      <c r="G962" s="64"/>
      <c r="H962" s="64"/>
      <c r="I962" s="2"/>
      <c r="J962" s="2"/>
      <c r="K962" s="2"/>
      <c r="L962" s="2"/>
      <c r="M962" s="2"/>
      <c r="N962" s="2"/>
      <c r="O962" s="2"/>
      <c r="P962" s="66"/>
      <c r="Q962" s="66"/>
      <c r="R962" s="2"/>
      <c r="S962" s="2"/>
      <c r="T962" s="2"/>
    </row>
    <row r="963" spans="1:20">
      <c r="A963" s="3"/>
      <c r="B963" s="3"/>
      <c r="C963" s="2"/>
      <c r="D963" s="2"/>
      <c r="E963" s="64"/>
      <c r="F963" s="64"/>
      <c r="G963" s="64"/>
      <c r="H963" s="64"/>
      <c r="I963" s="2"/>
      <c r="J963" s="2"/>
      <c r="K963" s="2"/>
      <c r="L963" s="2"/>
      <c r="M963" s="2"/>
      <c r="N963" s="2"/>
      <c r="O963" s="2"/>
      <c r="P963" s="66"/>
      <c r="Q963" s="66"/>
      <c r="R963" s="2"/>
      <c r="S963" s="2"/>
      <c r="T963" s="2"/>
    </row>
    <row r="964" spans="1:20">
      <c r="A964" s="3"/>
      <c r="B964" s="3"/>
      <c r="C964" s="2"/>
      <c r="D964" s="2"/>
      <c r="E964" s="64"/>
      <c r="F964" s="64"/>
      <c r="G964" s="64"/>
      <c r="H964" s="64"/>
      <c r="I964" s="2"/>
      <c r="J964" s="2"/>
      <c r="K964" s="2"/>
      <c r="L964" s="2"/>
      <c r="M964" s="2"/>
      <c r="N964" s="2"/>
      <c r="O964" s="2"/>
      <c r="P964" s="66"/>
      <c r="Q964" s="66"/>
      <c r="R964" s="2"/>
      <c r="S964" s="2"/>
      <c r="T964" s="2"/>
    </row>
    <row r="965" spans="1:20">
      <c r="A965" s="3"/>
      <c r="B965" s="3"/>
      <c r="C965" s="2"/>
      <c r="D965" s="2"/>
      <c r="E965" s="64"/>
      <c r="F965" s="64"/>
      <c r="G965" s="64"/>
      <c r="H965" s="64"/>
      <c r="I965" s="2"/>
      <c r="J965" s="2"/>
      <c r="K965" s="2"/>
      <c r="L965" s="2"/>
      <c r="M965" s="2"/>
      <c r="N965" s="2"/>
      <c r="O965" s="2"/>
      <c r="P965" s="66"/>
      <c r="Q965" s="66"/>
      <c r="R965" s="2"/>
      <c r="S965" s="2"/>
      <c r="T965" s="2"/>
    </row>
    <row r="966" spans="1:20">
      <c r="A966" s="3"/>
      <c r="B966" s="3"/>
      <c r="C966" s="2"/>
      <c r="D966" s="2"/>
      <c r="E966" s="64"/>
      <c r="F966" s="64"/>
      <c r="G966" s="64"/>
      <c r="H966" s="64"/>
      <c r="I966" s="2"/>
      <c r="J966" s="2"/>
      <c r="K966" s="2"/>
      <c r="L966" s="2"/>
      <c r="M966" s="2"/>
      <c r="N966" s="2"/>
      <c r="O966" s="2"/>
      <c r="P966" s="66"/>
      <c r="Q966" s="66"/>
      <c r="R966" s="2"/>
      <c r="S966" s="2"/>
      <c r="T966" s="2"/>
    </row>
    <row r="967" spans="1:20">
      <c r="A967" s="3"/>
      <c r="B967" s="3"/>
      <c r="C967" s="2"/>
      <c r="D967" s="2"/>
      <c r="E967" s="64"/>
      <c r="F967" s="64"/>
      <c r="G967" s="64"/>
      <c r="H967" s="64"/>
      <c r="I967" s="2"/>
      <c r="J967" s="2"/>
      <c r="K967" s="2"/>
      <c r="L967" s="2"/>
      <c r="M967" s="2"/>
      <c r="N967" s="2"/>
      <c r="O967" s="2"/>
      <c r="P967" s="66"/>
      <c r="Q967" s="66"/>
      <c r="R967" s="2"/>
      <c r="S967" s="2"/>
      <c r="T967" s="2"/>
    </row>
    <row r="968" spans="1:20">
      <c r="A968" s="3"/>
      <c r="B968" s="3"/>
      <c r="C968" s="2"/>
      <c r="D968" s="2"/>
      <c r="E968" s="64"/>
      <c r="F968" s="64"/>
      <c r="G968" s="64"/>
      <c r="H968" s="64"/>
      <c r="I968" s="2"/>
      <c r="J968" s="2"/>
      <c r="K968" s="2"/>
      <c r="L968" s="2"/>
      <c r="M968" s="2"/>
      <c r="N968" s="2"/>
      <c r="O968" s="2"/>
      <c r="P968" s="66"/>
      <c r="Q968" s="66"/>
      <c r="R968" s="2"/>
      <c r="S968" s="2"/>
      <c r="T968" s="2"/>
    </row>
    <row r="969" spans="1:20">
      <c r="A969" s="3"/>
      <c r="B969" s="3"/>
      <c r="C969" s="2"/>
      <c r="D969" s="2"/>
      <c r="E969" s="64"/>
      <c r="F969" s="64"/>
      <c r="G969" s="64"/>
      <c r="H969" s="64"/>
      <c r="I969" s="2"/>
      <c r="J969" s="2"/>
      <c r="K969" s="2"/>
      <c r="L969" s="2"/>
      <c r="M969" s="2"/>
      <c r="N969" s="2"/>
      <c r="O969" s="2"/>
      <c r="P969" s="66"/>
      <c r="Q969" s="66"/>
      <c r="R969" s="2"/>
      <c r="S969" s="2"/>
      <c r="T969" s="2"/>
    </row>
    <row r="970" spans="1:20">
      <c r="A970" s="3"/>
      <c r="B970" s="3"/>
      <c r="C970" s="2"/>
      <c r="D970" s="2"/>
      <c r="E970" s="64"/>
      <c r="F970" s="64"/>
      <c r="G970" s="64"/>
      <c r="H970" s="64"/>
      <c r="I970" s="2"/>
      <c r="J970" s="2"/>
      <c r="K970" s="2"/>
      <c r="L970" s="2"/>
      <c r="M970" s="2"/>
      <c r="N970" s="2"/>
      <c r="O970" s="2"/>
      <c r="P970" s="66"/>
      <c r="Q970" s="66"/>
      <c r="R970" s="2"/>
      <c r="S970" s="2"/>
      <c r="T970" s="2"/>
    </row>
    <row r="971" spans="1:20">
      <c r="A971" s="3"/>
      <c r="B971" s="3"/>
      <c r="C971" s="2"/>
      <c r="D971" s="2"/>
      <c r="E971" s="64"/>
      <c r="F971" s="64"/>
      <c r="G971" s="64"/>
      <c r="H971" s="64"/>
      <c r="I971" s="2"/>
      <c r="J971" s="2"/>
      <c r="K971" s="2"/>
      <c r="L971" s="2"/>
      <c r="M971" s="2"/>
      <c r="N971" s="2"/>
      <c r="O971" s="2"/>
      <c r="P971" s="66"/>
      <c r="Q971" s="66"/>
      <c r="R971" s="2"/>
      <c r="S971" s="2"/>
      <c r="T971" s="2"/>
    </row>
    <row r="972" spans="1:20">
      <c r="A972" s="3"/>
      <c r="B972" s="3"/>
      <c r="C972" s="2"/>
      <c r="D972" s="2"/>
      <c r="E972" s="64"/>
      <c r="F972" s="64"/>
      <c r="G972" s="64"/>
      <c r="H972" s="64"/>
      <c r="I972" s="2"/>
      <c r="J972" s="2"/>
      <c r="K972" s="2"/>
      <c r="L972" s="2"/>
      <c r="M972" s="2"/>
      <c r="N972" s="2"/>
      <c r="O972" s="2"/>
      <c r="P972" s="66"/>
      <c r="Q972" s="66"/>
      <c r="R972" s="2"/>
      <c r="S972" s="2"/>
      <c r="T972" s="2"/>
    </row>
    <row r="973" spans="1:20">
      <c r="A973" s="3"/>
      <c r="B973" s="3"/>
      <c r="C973" s="2"/>
      <c r="D973" s="2"/>
      <c r="E973" s="64"/>
      <c r="F973" s="64"/>
      <c r="G973" s="64"/>
      <c r="H973" s="64"/>
      <c r="I973" s="2"/>
      <c r="J973" s="2"/>
      <c r="K973" s="2"/>
      <c r="L973" s="2"/>
      <c r="M973" s="2"/>
      <c r="N973" s="2"/>
      <c r="O973" s="2"/>
      <c r="P973" s="66"/>
      <c r="Q973" s="66"/>
      <c r="R973" s="2"/>
      <c r="S973" s="2"/>
      <c r="T973" s="2"/>
    </row>
    <row r="974" spans="1:20">
      <c r="A974" s="3"/>
      <c r="B974" s="3"/>
      <c r="C974" s="2"/>
      <c r="D974" s="2"/>
      <c r="E974" s="64"/>
      <c r="F974" s="64"/>
      <c r="G974" s="64"/>
      <c r="H974" s="64"/>
      <c r="I974" s="2"/>
      <c r="J974" s="2"/>
      <c r="K974" s="2"/>
      <c r="L974" s="2"/>
      <c r="M974" s="2"/>
      <c r="N974" s="2"/>
      <c r="O974" s="2"/>
      <c r="P974" s="66"/>
      <c r="Q974" s="66"/>
      <c r="R974" s="2"/>
      <c r="S974" s="2"/>
      <c r="T974" s="2"/>
    </row>
    <row r="975" spans="1:20">
      <c r="A975" s="3"/>
      <c r="B975" s="3"/>
      <c r="C975" s="2"/>
      <c r="D975" s="2"/>
      <c r="E975" s="64"/>
      <c r="F975" s="64"/>
      <c r="G975" s="64"/>
      <c r="H975" s="64"/>
      <c r="I975" s="2"/>
      <c r="J975" s="2"/>
      <c r="K975" s="2"/>
      <c r="L975" s="2"/>
      <c r="M975" s="2"/>
      <c r="N975" s="2"/>
      <c r="O975" s="2"/>
      <c r="P975" s="66"/>
      <c r="Q975" s="66"/>
      <c r="R975" s="2"/>
      <c r="S975" s="2"/>
      <c r="T975" s="2"/>
    </row>
    <row r="976" spans="1:20">
      <c r="A976" s="3"/>
      <c r="B976" s="3"/>
      <c r="C976" s="2"/>
      <c r="D976" s="2"/>
      <c r="E976" s="64"/>
      <c r="F976" s="64"/>
      <c r="G976" s="64"/>
      <c r="H976" s="64"/>
      <c r="I976" s="2"/>
      <c r="J976" s="2"/>
      <c r="K976" s="2"/>
      <c r="L976" s="2"/>
      <c r="M976" s="2"/>
      <c r="N976" s="2"/>
      <c r="O976" s="2"/>
      <c r="P976" s="66"/>
      <c r="Q976" s="66"/>
      <c r="R976" s="2"/>
      <c r="S976" s="2"/>
      <c r="T976" s="2"/>
    </row>
    <row r="977" spans="1:20">
      <c r="A977" s="3"/>
      <c r="B977" s="3"/>
      <c r="C977" s="2"/>
      <c r="D977" s="2"/>
      <c r="E977" s="64"/>
      <c r="F977" s="64"/>
      <c r="G977" s="64"/>
      <c r="H977" s="64"/>
      <c r="I977" s="2"/>
      <c r="J977" s="2"/>
      <c r="K977" s="2"/>
      <c r="L977" s="2"/>
      <c r="M977" s="2"/>
      <c r="N977" s="2"/>
      <c r="O977" s="2"/>
      <c r="P977" s="66"/>
      <c r="Q977" s="66"/>
      <c r="R977" s="2"/>
      <c r="S977" s="2"/>
      <c r="T977" s="2"/>
    </row>
    <row r="978" spans="1:20">
      <c r="A978" s="3"/>
      <c r="B978" s="3"/>
      <c r="C978" s="2"/>
      <c r="D978" s="2"/>
      <c r="E978" s="64"/>
      <c r="F978" s="64"/>
      <c r="G978" s="64"/>
      <c r="H978" s="64"/>
      <c r="I978" s="2"/>
      <c r="J978" s="2"/>
      <c r="K978" s="2"/>
      <c r="L978" s="2"/>
      <c r="M978" s="2"/>
      <c r="N978" s="2"/>
      <c r="O978" s="2"/>
      <c r="P978" s="66"/>
      <c r="Q978" s="66"/>
      <c r="R978" s="2"/>
      <c r="S978" s="2"/>
      <c r="T978" s="2"/>
    </row>
    <row r="979" spans="1:20">
      <c r="A979" s="3"/>
      <c r="B979" s="3"/>
      <c r="C979" s="2"/>
      <c r="D979" s="2"/>
      <c r="E979" s="64"/>
      <c r="F979" s="64"/>
      <c r="G979" s="64"/>
      <c r="H979" s="64"/>
      <c r="I979" s="2"/>
      <c r="J979" s="2"/>
      <c r="K979" s="2"/>
      <c r="L979" s="2"/>
      <c r="M979" s="2"/>
      <c r="N979" s="2"/>
      <c r="O979" s="2"/>
      <c r="P979" s="66"/>
      <c r="Q979" s="66"/>
      <c r="R979" s="2"/>
      <c r="S979" s="2"/>
      <c r="T979" s="2"/>
    </row>
    <row r="980" spans="1:20">
      <c r="A980" s="3"/>
      <c r="B980" s="3"/>
      <c r="C980" s="2"/>
      <c r="D980" s="2"/>
      <c r="E980" s="64"/>
      <c r="F980" s="64"/>
      <c r="G980" s="64"/>
      <c r="H980" s="64"/>
      <c r="I980" s="2"/>
      <c r="J980" s="2"/>
      <c r="K980" s="2"/>
      <c r="L980" s="2"/>
      <c r="M980" s="2"/>
      <c r="N980" s="2"/>
      <c r="O980" s="2"/>
      <c r="P980" s="66"/>
      <c r="Q980" s="66"/>
      <c r="R980" s="2"/>
      <c r="S980" s="2"/>
      <c r="T980" s="2"/>
    </row>
    <row r="981" spans="1:20">
      <c r="A981" s="3"/>
      <c r="B981" s="3"/>
      <c r="C981" s="2"/>
      <c r="D981" s="2"/>
      <c r="E981" s="64"/>
      <c r="F981" s="64"/>
      <c r="G981" s="64"/>
      <c r="H981" s="64"/>
      <c r="I981" s="2"/>
      <c r="J981" s="2"/>
      <c r="K981" s="2"/>
      <c r="L981" s="2"/>
      <c r="M981" s="2"/>
      <c r="N981" s="2"/>
      <c r="O981" s="2"/>
      <c r="P981" s="66"/>
      <c r="Q981" s="66"/>
      <c r="R981" s="2"/>
      <c r="S981" s="2"/>
      <c r="T981" s="2"/>
    </row>
    <row r="982" spans="1:20">
      <c r="A982" s="3"/>
      <c r="B982" s="3"/>
      <c r="C982" s="2"/>
      <c r="D982" s="2"/>
      <c r="E982" s="64"/>
      <c r="F982" s="64"/>
      <c r="G982" s="64"/>
      <c r="H982" s="64"/>
      <c r="I982" s="2"/>
      <c r="J982" s="2"/>
      <c r="K982" s="2"/>
      <c r="L982" s="2"/>
      <c r="M982" s="2"/>
      <c r="N982" s="2"/>
      <c r="O982" s="2"/>
      <c r="P982" s="66"/>
      <c r="Q982" s="66"/>
      <c r="R982" s="2"/>
      <c r="S982" s="2"/>
      <c r="T982" s="2"/>
    </row>
    <row r="983" spans="1:20">
      <c r="A983" s="3"/>
      <c r="B983" s="3"/>
      <c r="C983" s="2"/>
      <c r="D983" s="2"/>
      <c r="E983" s="64"/>
      <c r="F983" s="64"/>
      <c r="G983" s="64"/>
      <c r="H983" s="64"/>
      <c r="I983" s="2"/>
      <c r="J983" s="2"/>
      <c r="K983" s="2"/>
      <c r="L983" s="2"/>
      <c r="M983" s="2"/>
      <c r="N983" s="2"/>
      <c r="O983" s="2"/>
      <c r="P983" s="66"/>
      <c r="Q983" s="66"/>
      <c r="R983" s="2"/>
      <c r="S983" s="2"/>
      <c r="T983" s="2"/>
    </row>
    <row r="984" spans="1:20">
      <c r="A984" s="3"/>
      <c r="B984" s="3"/>
      <c r="C984" s="2"/>
      <c r="D984" s="2"/>
      <c r="E984" s="64"/>
      <c r="F984" s="64"/>
      <c r="G984" s="64"/>
      <c r="H984" s="64"/>
      <c r="I984" s="2"/>
      <c r="J984" s="2"/>
      <c r="K984" s="2"/>
      <c r="L984" s="2"/>
      <c r="M984" s="2"/>
      <c r="N984" s="2"/>
      <c r="O984" s="2"/>
      <c r="P984" s="66"/>
      <c r="Q984" s="66"/>
      <c r="R984" s="2"/>
      <c r="S984" s="2"/>
      <c r="T984" s="2"/>
    </row>
    <row r="985" spans="1:20">
      <c r="A985" s="3"/>
      <c r="B985" s="3"/>
      <c r="C985" s="2"/>
      <c r="D985" s="2"/>
      <c r="E985" s="64"/>
      <c r="F985" s="64"/>
      <c r="G985" s="64"/>
      <c r="H985" s="64"/>
      <c r="I985" s="2"/>
      <c r="J985" s="2"/>
      <c r="K985" s="2"/>
      <c r="L985" s="2"/>
      <c r="M985" s="2"/>
      <c r="N985" s="2"/>
      <c r="O985" s="2"/>
      <c r="P985" s="66"/>
      <c r="Q985" s="66"/>
      <c r="R985" s="2"/>
      <c r="S985" s="2"/>
      <c r="T985" s="2"/>
    </row>
    <row r="986" spans="1:20">
      <c r="A986" s="3"/>
      <c r="B986" s="3"/>
      <c r="C986" s="2"/>
      <c r="D986" s="2"/>
      <c r="E986" s="64"/>
      <c r="F986" s="64"/>
      <c r="G986" s="64"/>
      <c r="H986" s="64"/>
      <c r="I986" s="2"/>
      <c r="J986" s="2"/>
      <c r="K986" s="2"/>
      <c r="L986" s="2"/>
      <c r="M986" s="2"/>
      <c r="N986" s="2"/>
      <c r="O986" s="2"/>
      <c r="P986" s="66"/>
      <c r="Q986" s="66"/>
      <c r="R986" s="2"/>
      <c r="S986" s="2"/>
      <c r="T986" s="2"/>
    </row>
    <row r="987" spans="1:20">
      <c r="A987" s="3"/>
      <c r="B987" s="3"/>
      <c r="C987" s="2"/>
      <c r="D987" s="2"/>
      <c r="E987" s="64"/>
      <c r="F987" s="64"/>
      <c r="G987" s="64"/>
      <c r="H987" s="64"/>
      <c r="I987" s="2"/>
      <c r="J987" s="2"/>
      <c r="K987" s="2"/>
      <c r="L987" s="2"/>
      <c r="M987" s="2"/>
      <c r="N987" s="2"/>
      <c r="O987" s="2"/>
      <c r="P987" s="66"/>
      <c r="Q987" s="66"/>
      <c r="R987" s="2"/>
      <c r="S987" s="2"/>
      <c r="T987" s="2"/>
    </row>
    <row r="988" spans="1:20">
      <c r="A988" s="3"/>
      <c r="B988" s="3"/>
      <c r="C988" s="2"/>
      <c r="D988" s="2"/>
      <c r="E988" s="64"/>
      <c r="F988" s="64"/>
      <c r="G988" s="64"/>
      <c r="H988" s="64"/>
      <c r="I988" s="2"/>
      <c r="J988" s="2"/>
      <c r="K988" s="2"/>
      <c r="L988" s="2"/>
      <c r="M988" s="2"/>
      <c r="N988" s="2"/>
      <c r="O988" s="2"/>
      <c r="P988" s="66"/>
      <c r="Q988" s="66"/>
      <c r="R988" s="2"/>
      <c r="S988" s="2"/>
      <c r="T988" s="2"/>
    </row>
    <row r="989" spans="1:20">
      <c r="A989" s="3"/>
      <c r="B989" s="3"/>
      <c r="C989" s="2"/>
      <c r="D989" s="2"/>
      <c r="E989" s="64"/>
      <c r="F989" s="64"/>
      <c r="G989" s="64"/>
      <c r="H989" s="64"/>
      <c r="I989" s="2"/>
      <c r="J989" s="2"/>
      <c r="K989" s="2"/>
      <c r="L989" s="2"/>
      <c r="M989" s="2"/>
      <c r="N989" s="2"/>
      <c r="O989" s="2"/>
      <c r="P989" s="66"/>
      <c r="Q989" s="66"/>
      <c r="R989" s="2"/>
      <c r="S989" s="2"/>
      <c r="T989" s="2"/>
    </row>
    <row r="990" spans="1:20">
      <c r="A990" s="3"/>
      <c r="B990" s="3"/>
      <c r="C990" s="2"/>
      <c r="D990" s="2"/>
      <c r="E990" s="64"/>
      <c r="F990" s="64"/>
      <c r="G990" s="64"/>
      <c r="H990" s="64"/>
      <c r="I990" s="2"/>
      <c r="J990" s="2"/>
      <c r="K990" s="2"/>
      <c r="L990" s="2"/>
      <c r="M990" s="2"/>
      <c r="N990" s="2"/>
      <c r="O990" s="2"/>
      <c r="P990" s="66"/>
      <c r="Q990" s="66"/>
      <c r="R990" s="2"/>
      <c r="S990" s="2"/>
      <c r="T990" s="2"/>
    </row>
    <row r="991" spans="1:20">
      <c r="A991" s="3"/>
      <c r="B991" s="3"/>
      <c r="C991" s="2"/>
      <c r="D991" s="2"/>
      <c r="E991" s="64"/>
      <c r="F991" s="64"/>
      <c r="G991" s="64"/>
      <c r="H991" s="64"/>
      <c r="I991" s="2"/>
      <c r="J991" s="2"/>
      <c r="K991" s="2"/>
      <c r="L991" s="2"/>
      <c r="M991" s="2"/>
      <c r="N991" s="2"/>
      <c r="O991" s="2"/>
      <c r="P991" s="66"/>
      <c r="Q991" s="66"/>
      <c r="R991" s="2"/>
      <c r="S991" s="2"/>
      <c r="T991" s="2"/>
    </row>
    <row r="992" spans="1:20">
      <c r="A992" s="3"/>
      <c r="B992" s="3"/>
      <c r="C992" s="2"/>
      <c r="D992" s="2"/>
      <c r="E992" s="64"/>
      <c r="F992" s="64"/>
      <c r="G992" s="64"/>
      <c r="H992" s="64"/>
      <c r="I992" s="2"/>
      <c r="J992" s="2"/>
      <c r="K992" s="2"/>
      <c r="L992" s="2"/>
      <c r="M992" s="2"/>
      <c r="N992" s="2"/>
      <c r="O992" s="2"/>
      <c r="P992" s="66"/>
      <c r="Q992" s="66"/>
      <c r="R992" s="2"/>
      <c r="S992" s="2"/>
      <c r="T992" s="2"/>
    </row>
    <row r="993" spans="1:20">
      <c r="A993" s="3"/>
      <c r="B993" s="3"/>
      <c r="C993" s="2"/>
      <c r="D993" s="2"/>
      <c r="E993" s="64"/>
      <c r="F993" s="64"/>
      <c r="G993" s="64"/>
      <c r="H993" s="64"/>
      <c r="I993" s="2"/>
      <c r="J993" s="2"/>
      <c r="K993" s="2"/>
      <c r="L993" s="2"/>
      <c r="M993" s="2"/>
      <c r="N993" s="2"/>
      <c r="O993" s="2"/>
      <c r="P993" s="66"/>
      <c r="Q993" s="66"/>
      <c r="R993" s="2"/>
      <c r="S993" s="2"/>
      <c r="T993" s="2"/>
    </row>
    <row r="994" spans="1:20">
      <c r="A994" s="3"/>
      <c r="B994" s="3"/>
      <c r="C994" s="2"/>
      <c r="D994" s="2"/>
      <c r="E994" s="64"/>
      <c r="F994" s="64"/>
      <c r="G994" s="64"/>
      <c r="H994" s="64"/>
      <c r="I994" s="2"/>
      <c r="J994" s="2"/>
      <c r="K994" s="2"/>
      <c r="L994" s="2"/>
      <c r="M994" s="2"/>
      <c r="N994" s="2"/>
      <c r="O994" s="2"/>
      <c r="P994" s="66"/>
      <c r="Q994" s="66"/>
      <c r="R994" s="2"/>
      <c r="S994" s="2"/>
      <c r="T994" s="2"/>
    </row>
    <row r="995" spans="1:20">
      <c r="A995" s="3"/>
      <c r="B995" s="3"/>
      <c r="C995" s="2"/>
      <c r="D995" s="2"/>
      <c r="E995" s="64"/>
      <c r="F995" s="64"/>
      <c r="G995" s="64"/>
      <c r="H995" s="64"/>
      <c r="I995" s="2"/>
      <c r="J995" s="2"/>
      <c r="K995" s="2"/>
      <c r="L995" s="2"/>
      <c r="M995" s="2"/>
      <c r="N995" s="2"/>
      <c r="O995" s="2"/>
      <c r="P995" s="66"/>
      <c r="Q995" s="66"/>
      <c r="R995" s="2"/>
      <c r="S995" s="2"/>
      <c r="T995" s="2"/>
    </row>
    <row r="996" spans="1:20">
      <c r="A996" s="3"/>
      <c r="B996" s="3"/>
      <c r="C996" s="2"/>
      <c r="D996" s="2"/>
      <c r="E996" s="64"/>
      <c r="F996" s="64"/>
      <c r="G996" s="64"/>
      <c r="H996" s="64"/>
      <c r="I996" s="2"/>
      <c r="J996" s="2"/>
      <c r="K996" s="2"/>
      <c r="L996" s="2"/>
      <c r="M996" s="2"/>
      <c r="N996" s="2"/>
      <c r="O996" s="2"/>
      <c r="P996" s="66"/>
      <c r="Q996" s="66"/>
      <c r="R996" s="2"/>
      <c r="S996" s="2"/>
      <c r="T996" s="2"/>
    </row>
    <row r="997" spans="1:20">
      <c r="A997" s="3"/>
      <c r="B997" s="3"/>
      <c r="C997" s="2"/>
      <c r="D997" s="2"/>
      <c r="E997" s="64"/>
      <c r="F997" s="64"/>
      <c r="G997" s="64"/>
      <c r="H997" s="64"/>
      <c r="I997" s="2"/>
      <c r="J997" s="2"/>
      <c r="K997" s="2"/>
      <c r="L997" s="2"/>
      <c r="M997" s="2"/>
      <c r="N997" s="2"/>
      <c r="O997" s="2"/>
      <c r="P997" s="66"/>
      <c r="Q997" s="66"/>
      <c r="R997" s="2"/>
      <c r="S997" s="2"/>
      <c r="T997" s="2"/>
    </row>
    <row r="998" spans="1:20">
      <c r="A998" s="3"/>
      <c r="B998" s="3"/>
      <c r="C998" s="2"/>
      <c r="D998" s="2"/>
      <c r="E998" s="64"/>
      <c r="F998" s="64"/>
      <c r="G998" s="64"/>
      <c r="H998" s="64"/>
      <c r="I998" s="2"/>
      <c r="J998" s="2"/>
      <c r="K998" s="2"/>
      <c r="L998" s="2"/>
      <c r="M998" s="2"/>
      <c r="N998" s="2"/>
      <c r="O998" s="2"/>
      <c r="P998" s="66"/>
      <c r="Q998" s="66"/>
      <c r="R998" s="2"/>
      <c r="S998" s="2"/>
      <c r="T998" s="2"/>
    </row>
    <row r="999" spans="1:20">
      <c r="A999" s="3"/>
      <c r="B999" s="3"/>
      <c r="C999" s="2"/>
      <c r="D999" s="2"/>
      <c r="E999" s="64"/>
      <c r="F999" s="64"/>
      <c r="G999" s="64"/>
      <c r="H999" s="64"/>
      <c r="I999" s="2"/>
      <c r="J999" s="2"/>
      <c r="K999" s="2"/>
      <c r="L999" s="2"/>
      <c r="M999" s="2"/>
      <c r="N999" s="2"/>
      <c r="O999" s="2"/>
      <c r="P999" s="66"/>
      <c r="Q999" s="66"/>
      <c r="R999" s="2"/>
      <c r="S999" s="2"/>
      <c r="T999" s="2"/>
    </row>
    <row r="1000" spans="1:20">
      <c r="A1000" s="3"/>
      <c r="B1000" s="3"/>
      <c r="C1000" s="2"/>
      <c r="D1000" s="2"/>
      <c r="E1000" s="64"/>
      <c r="F1000" s="64"/>
      <c r="G1000" s="64"/>
      <c r="H1000" s="64"/>
      <c r="I1000" s="2"/>
      <c r="J1000" s="2"/>
      <c r="K1000" s="2"/>
      <c r="L1000" s="2"/>
      <c r="M1000" s="2"/>
      <c r="N1000" s="2"/>
      <c r="O1000" s="2"/>
      <c r="P1000" s="66"/>
      <c r="Q1000" s="66"/>
      <c r="R1000" s="2"/>
      <c r="S1000" s="2"/>
      <c r="T1000" s="2"/>
    </row>
    <row r="1001" spans="1:20">
      <c r="A1001" s="3"/>
      <c r="B1001" s="3"/>
      <c r="C1001" s="2"/>
      <c r="D1001" s="2"/>
      <c r="E1001" s="64"/>
      <c r="F1001" s="64"/>
      <c r="G1001" s="64"/>
      <c r="H1001" s="64"/>
      <c r="I1001" s="2"/>
      <c r="J1001" s="2"/>
      <c r="K1001" s="2"/>
      <c r="L1001" s="2"/>
      <c r="M1001" s="2"/>
      <c r="N1001" s="2"/>
      <c r="O1001" s="2"/>
      <c r="P1001" s="66"/>
      <c r="Q1001" s="66"/>
      <c r="R1001" s="2"/>
      <c r="S1001" s="2"/>
      <c r="T1001" s="2"/>
    </row>
    <row r="1002" spans="1:20">
      <c r="A1002" s="3"/>
      <c r="B1002" s="3"/>
      <c r="C1002" s="2"/>
      <c r="D1002" s="2"/>
      <c r="E1002" s="64"/>
      <c r="F1002" s="64"/>
      <c r="G1002" s="64"/>
      <c r="H1002" s="64"/>
      <c r="I1002" s="2"/>
      <c r="J1002" s="2"/>
      <c r="K1002" s="2"/>
      <c r="L1002" s="2"/>
      <c r="M1002" s="2"/>
      <c r="N1002" s="2"/>
      <c r="O1002" s="2"/>
      <c r="P1002" s="66"/>
      <c r="Q1002" s="66"/>
      <c r="R1002" s="2"/>
      <c r="S1002" s="2"/>
      <c r="T1002" s="2"/>
    </row>
    <row r="1003" spans="1:20">
      <c r="A1003" s="3"/>
      <c r="B1003" s="3"/>
      <c r="C1003" s="2"/>
      <c r="D1003" s="2"/>
      <c r="E1003" s="64"/>
      <c r="F1003" s="64"/>
      <c r="G1003" s="64"/>
      <c r="H1003" s="64"/>
      <c r="I1003" s="2"/>
      <c r="J1003" s="2"/>
      <c r="K1003" s="2"/>
      <c r="L1003" s="2"/>
      <c r="M1003" s="2"/>
      <c r="N1003" s="2"/>
      <c r="O1003" s="2"/>
      <c r="P1003" s="66"/>
      <c r="Q1003" s="66"/>
      <c r="R1003" s="2"/>
      <c r="S1003" s="2"/>
      <c r="T1003" s="2"/>
    </row>
    <row r="1004" spans="1:20">
      <c r="A1004" s="3"/>
      <c r="B1004" s="3"/>
      <c r="C1004" s="2"/>
      <c r="D1004" s="2"/>
      <c r="E1004" s="64"/>
      <c r="F1004" s="64"/>
      <c r="G1004" s="64"/>
      <c r="H1004" s="64"/>
      <c r="I1004" s="2"/>
      <c r="J1004" s="2"/>
      <c r="K1004" s="2"/>
      <c r="L1004" s="2"/>
      <c r="M1004" s="2"/>
      <c r="N1004" s="2"/>
      <c r="O1004" s="2"/>
      <c r="P1004" s="66"/>
      <c r="Q1004" s="66"/>
      <c r="R1004" s="2"/>
      <c r="S1004" s="2"/>
      <c r="T1004" s="2"/>
    </row>
    <row r="1005" spans="1:20">
      <c r="A1005" s="3"/>
      <c r="B1005" s="3"/>
      <c r="C1005" s="2"/>
      <c r="D1005" s="2"/>
      <c r="E1005" s="64"/>
      <c r="F1005" s="64"/>
      <c r="G1005" s="64"/>
      <c r="H1005" s="64"/>
      <c r="I1005" s="2"/>
      <c r="J1005" s="2"/>
      <c r="K1005" s="2"/>
      <c r="L1005" s="2"/>
      <c r="M1005" s="2"/>
      <c r="N1005" s="2"/>
      <c r="O1005" s="2"/>
      <c r="P1005" s="66"/>
      <c r="Q1005" s="66"/>
      <c r="R1005" s="2"/>
      <c r="S1005" s="2"/>
      <c r="T1005" s="2"/>
    </row>
    <row r="1006" spans="1:20">
      <c r="A1006" s="3"/>
      <c r="B1006" s="3"/>
      <c r="C1006" s="2"/>
      <c r="D1006" s="2"/>
      <c r="E1006" s="64"/>
      <c r="F1006" s="64"/>
      <c r="G1006" s="64"/>
      <c r="H1006" s="64"/>
      <c r="I1006" s="2"/>
      <c r="J1006" s="2"/>
      <c r="K1006" s="2"/>
      <c r="L1006" s="2"/>
      <c r="M1006" s="2"/>
      <c r="N1006" s="2"/>
      <c r="O1006" s="2"/>
      <c r="P1006" s="66"/>
      <c r="Q1006" s="66"/>
      <c r="R1006" s="2"/>
      <c r="S1006" s="2"/>
      <c r="T1006" s="2"/>
    </row>
    <row r="1007" spans="1:20">
      <c r="A1007" s="3"/>
      <c r="B1007" s="3"/>
      <c r="C1007" s="2"/>
      <c r="D1007" s="2"/>
      <c r="E1007" s="64"/>
      <c r="F1007" s="64"/>
      <c r="G1007" s="64"/>
      <c r="H1007" s="64"/>
      <c r="I1007" s="2"/>
      <c r="J1007" s="2"/>
      <c r="K1007" s="2"/>
      <c r="L1007" s="2"/>
      <c r="M1007" s="2"/>
      <c r="N1007" s="2"/>
      <c r="O1007" s="2"/>
      <c r="P1007" s="66"/>
      <c r="Q1007" s="66"/>
      <c r="R1007" s="2"/>
      <c r="S1007" s="2"/>
      <c r="T1007" s="2"/>
    </row>
    <row r="1008" spans="1:20">
      <c r="A1008" s="3"/>
      <c r="B1008" s="3"/>
      <c r="C1008" s="2"/>
      <c r="D1008" s="2"/>
      <c r="E1008" s="64"/>
      <c r="F1008" s="64"/>
      <c r="G1008" s="64"/>
      <c r="H1008" s="64"/>
      <c r="I1008" s="2"/>
      <c r="J1008" s="2"/>
      <c r="K1008" s="2"/>
      <c r="L1008" s="2"/>
      <c r="M1008" s="2"/>
      <c r="N1008" s="2"/>
      <c r="O1008" s="2"/>
      <c r="P1008" s="66"/>
      <c r="Q1008" s="66"/>
      <c r="R1008" s="2"/>
      <c r="S1008" s="2"/>
      <c r="T1008" s="2"/>
    </row>
    <row r="1009" spans="1:20">
      <c r="A1009" s="3"/>
      <c r="B1009" s="3"/>
      <c r="C1009" s="2"/>
      <c r="D1009" s="2"/>
      <c r="E1009" s="64"/>
      <c r="F1009" s="64"/>
      <c r="G1009" s="64"/>
      <c r="H1009" s="64"/>
      <c r="I1009" s="2"/>
      <c r="J1009" s="2"/>
      <c r="K1009" s="2"/>
      <c r="L1009" s="2"/>
      <c r="M1009" s="2"/>
      <c r="N1009" s="2"/>
      <c r="O1009" s="2"/>
      <c r="P1009" s="66"/>
      <c r="Q1009" s="66"/>
      <c r="R1009" s="2"/>
      <c r="S1009" s="2"/>
      <c r="T1009" s="2"/>
    </row>
    <row r="1010" spans="1:20">
      <c r="A1010" s="3"/>
      <c r="B1010" s="3"/>
      <c r="C1010" s="2"/>
      <c r="D1010" s="2"/>
      <c r="E1010" s="64"/>
      <c r="F1010" s="64"/>
      <c r="G1010" s="64"/>
      <c r="H1010" s="64"/>
      <c r="I1010" s="2"/>
      <c r="J1010" s="2"/>
      <c r="K1010" s="2"/>
      <c r="L1010" s="2"/>
      <c r="M1010" s="2"/>
      <c r="N1010" s="2"/>
      <c r="O1010" s="2"/>
      <c r="P1010" s="66"/>
      <c r="Q1010" s="66"/>
      <c r="R1010" s="2"/>
      <c r="S1010" s="2"/>
      <c r="T1010" s="2"/>
    </row>
    <row r="1011" spans="1:20">
      <c r="A1011" s="3"/>
      <c r="B1011" s="3"/>
      <c r="C1011" s="2"/>
      <c r="D1011" s="2"/>
      <c r="E1011" s="64"/>
      <c r="F1011" s="64"/>
      <c r="G1011" s="64"/>
      <c r="H1011" s="64"/>
      <c r="I1011" s="2"/>
      <c r="J1011" s="2"/>
      <c r="K1011" s="2"/>
      <c r="L1011" s="2"/>
      <c r="M1011" s="2"/>
      <c r="N1011" s="2"/>
      <c r="O1011" s="2"/>
      <c r="P1011" s="66"/>
      <c r="Q1011" s="66"/>
      <c r="R1011" s="2"/>
      <c r="S1011" s="2"/>
      <c r="T1011" s="2"/>
    </row>
    <row r="1012" spans="1:20">
      <c r="A1012" s="3"/>
      <c r="B1012" s="3"/>
      <c r="C1012" s="2"/>
      <c r="D1012" s="2"/>
      <c r="E1012" s="64"/>
      <c r="F1012" s="64"/>
      <c r="G1012" s="64"/>
      <c r="H1012" s="64"/>
      <c r="I1012" s="2"/>
      <c r="J1012" s="2"/>
      <c r="K1012" s="2"/>
      <c r="L1012" s="2"/>
      <c r="M1012" s="2"/>
      <c r="N1012" s="2"/>
      <c r="O1012" s="2"/>
      <c r="P1012" s="66"/>
      <c r="Q1012" s="66"/>
      <c r="R1012" s="2"/>
      <c r="S1012" s="2"/>
      <c r="T1012" s="2"/>
    </row>
    <row r="1013" spans="1:20">
      <c r="A1013" s="3"/>
      <c r="B1013" s="3"/>
      <c r="C1013" s="2"/>
      <c r="D1013" s="2"/>
      <c r="E1013" s="64"/>
      <c r="F1013" s="64"/>
      <c r="G1013" s="64"/>
      <c r="H1013" s="64"/>
      <c r="I1013" s="2"/>
      <c r="J1013" s="2"/>
      <c r="K1013" s="2"/>
      <c r="L1013" s="2"/>
      <c r="M1013" s="2"/>
      <c r="N1013" s="2"/>
      <c r="O1013" s="2"/>
      <c r="P1013" s="66"/>
      <c r="Q1013" s="66"/>
      <c r="R1013" s="2"/>
      <c r="S1013" s="2"/>
      <c r="T1013" s="2"/>
    </row>
    <row r="1014" spans="1:20">
      <c r="A1014" s="3"/>
      <c r="B1014" s="3"/>
      <c r="C1014" s="2"/>
      <c r="D1014" s="2"/>
      <c r="E1014" s="64"/>
      <c r="F1014" s="64"/>
      <c r="G1014" s="64"/>
      <c r="H1014" s="64"/>
      <c r="I1014" s="2"/>
      <c r="J1014" s="2"/>
      <c r="K1014" s="2"/>
      <c r="L1014" s="2"/>
      <c r="M1014" s="2"/>
      <c r="N1014" s="2"/>
      <c r="O1014" s="2"/>
      <c r="P1014" s="66"/>
      <c r="Q1014" s="66"/>
      <c r="R1014" s="2"/>
      <c r="S1014" s="2"/>
      <c r="T1014" s="2"/>
    </row>
    <row r="1015" spans="1:20">
      <c r="A1015" s="3"/>
      <c r="B1015" s="3"/>
      <c r="C1015" s="2"/>
      <c r="D1015" s="2"/>
      <c r="E1015" s="64"/>
      <c r="F1015" s="64"/>
      <c r="G1015" s="64"/>
      <c r="H1015" s="64"/>
      <c r="I1015" s="2"/>
      <c r="J1015" s="2"/>
      <c r="K1015" s="2"/>
      <c r="L1015" s="2"/>
      <c r="M1015" s="2"/>
      <c r="N1015" s="2"/>
      <c r="O1015" s="2"/>
      <c r="P1015" s="66"/>
      <c r="Q1015" s="66"/>
      <c r="R1015" s="2"/>
      <c r="S1015" s="2"/>
      <c r="T1015" s="2"/>
    </row>
    <row r="1016" spans="1:20">
      <c r="A1016" s="3"/>
      <c r="B1016" s="3"/>
      <c r="C1016" s="2"/>
      <c r="D1016" s="2"/>
      <c r="E1016" s="64"/>
      <c r="F1016" s="64"/>
      <c r="G1016" s="64"/>
      <c r="H1016" s="64"/>
      <c r="I1016" s="2"/>
      <c r="J1016" s="2"/>
      <c r="K1016" s="2"/>
      <c r="L1016" s="2"/>
      <c r="M1016" s="2"/>
      <c r="N1016" s="2"/>
      <c r="O1016" s="2"/>
      <c r="P1016" s="66"/>
      <c r="Q1016" s="66"/>
      <c r="R1016" s="2"/>
      <c r="S1016" s="2"/>
      <c r="T1016" s="2"/>
    </row>
    <row r="1017" spans="1:20">
      <c r="A1017" s="3"/>
      <c r="B1017" s="3"/>
      <c r="C1017" s="2"/>
      <c r="D1017" s="2"/>
      <c r="E1017" s="64"/>
      <c r="F1017" s="64"/>
      <c r="G1017" s="64"/>
      <c r="H1017" s="64"/>
      <c r="I1017" s="2"/>
      <c r="J1017" s="2"/>
      <c r="K1017" s="2"/>
      <c r="L1017" s="2"/>
      <c r="M1017" s="2"/>
      <c r="N1017" s="2"/>
      <c r="O1017" s="2"/>
      <c r="P1017" s="66"/>
      <c r="Q1017" s="66"/>
      <c r="R1017" s="2"/>
      <c r="S1017" s="2"/>
      <c r="T1017" s="2"/>
    </row>
    <row r="1018" spans="1:20">
      <c r="A1018" s="3"/>
      <c r="B1018" s="3"/>
      <c r="C1018" s="2"/>
      <c r="D1018" s="2"/>
      <c r="E1018" s="64"/>
      <c r="F1018" s="64"/>
      <c r="G1018" s="64"/>
      <c r="H1018" s="64"/>
      <c r="I1018" s="2"/>
      <c r="J1018" s="2"/>
      <c r="K1018" s="2"/>
      <c r="L1018" s="2"/>
      <c r="M1018" s="2"/>
      <c r="N1018" s="2"/>
      <c r="O1018" s="2"/>
      <c r="P1018" s="66"/>
      <c r="Q1018" s="66"/>
      <c r="R1018" s="2"/>
      <c r="S1018" s="2"/>
      <c r="T1018" s="2"/>
    </row>
    <row r="1019" spans="1:20">
      <c r="A1019" s="3"/>
      <c r="B1019" s="3"/>
      <c r="C1019" s="2"/>
      <c r="D1019" s="2"/>
      <c r="E1019" s="64"/>
      <c r="F1019" s="64"/>
      <c r="G1019" s="64"/>
      <c r="H1019" s="64"/>
      <c r="I1019" s="2"/>
      <c r="J1019" s="2"/>
      <c r="K1019" s="2"/>
      <c r="L1019" s="2"/>
      <c r="M1019" s="2"/>
      <c r="N1019" s="2"/>
      <c r="O1019" s="2"/>
      <c r="P1019" s="66"/>
      <c r="Q1019" s="66"/>
      <c r="R1019" s="2"/>
      <c r="S1019" s="2"/>
      <c r="T1019" s="2"/>
    </row>
    <row r="1020" spans="1:20">
      <c r="A1020" s="3"/>
      <c r="B1020" s="3"/>
      <c r="C1020" s="2"/>
      <c r="D1020" s="2"/>
      <c r="E1020" s="64"/>
      <c r="F1020" s="64"/>
      <c r="G1020" s="64"/>
      <c r="H1020" s="64"/>
      <c r="I1020" s="2"/>
      <c r="J1020" s="2"/>
      <c r="K1020" s="2"/>
      <c r="L1020" s="2"/>
      <c r="M1020" s="2"/>
      <c r="N1020" s="2"/>
      <c r="O1020" s="2"/>
      <c r="P1020" s="66"/>
      <c r="Q1020" s="66"/>
      <c r="R1020" s="2"/>
      <c r="S1020" s="2"/>
      <c r="T1020" s="2"/>
    </row>
    <row r="1021" spans="1:20">
      <c r="A1021" s="3"/>
      <c r="B1021" s="3"/>
      <c r="C1021" s="2"/>
      <c r="D1021" s="2"/>
      <c r="E1021" s="64"/>
      <c r="F1021" s="64"/>
      <c r="G1021" s="64"/>
      <c r="H1021" s="64"/>
      <c r="I1021" s="2"/>
      <c r="J1021" s="2"/>
      <c r="K1021" s="2"/>
      <c r="L1021" s="2"/>
      <c r="M1021" s="2"/>
      <c r="N1021" s="2"/>
      <c r="O1021" s="2"/>
      <c r="P1021" s="66"/>
      <c r="Q1021" s="66"/>
      <c r="R1021" s="2"/>
      <c r="S1021" s="2"/>
      <c r="T1021" s="2"/>
    </row>
    <row r="1022" spans="1:20">
      <c r="A1022" s="3"/>
      <c r="B1022" s="3"/>
      <c r="C1022" s="2"/>
      <c r="D1022" s="2"/>
      <c r="E1022" s="64"/>
      <c r="F1022" s="64"/>
      <c r="G1022" s="64"/>
      <c r="H1022" s="64"/>
      <c r="I1022" s="2"/>
      <c r="J1022" s="2"/>
      <c r="K1022" s="2"/>
      <c r="L1022" s="2"/>
      <c r="M1022" s="2"/>
      <c r="N1022" s="2"/>
      <c r="O1022" s="2"/>
      <c r="P1022" s="66"/>
      <c r="Q1022" s="66"/>
      <c r="R1022" s="2"/>
      <c r="S1022" s="2"/>
      <c r="T1022" s="2"/>
    </row>
    <row r="1023" spans="1:20">
      <c r="A1023" s="3"/>
      <c r="B1023" s="3"/>
      <c r="C1023" s="2"/>
      <c r="D1023" s="2"/>
      <c r="E1023" s="64"/>
      <c r="F1023" s="64"/>
      <c r="G1023" s="64"/>
      <c r="H1023" s="64"/>
      <c r="I1023" s="2"/>
      <c r="J1023" s="2"/>
      <c r="K1023" s="2"/>
      <c r="L1023" s="2"/>
      <c r="M1023" s="2"/>
      <c r="N1023" s="2"/>
      <c r="O1023" s="2"/>
      <c r="P1023" s="66"/>
      <c r="Q1023" s="66"/>
      <c r="R1023" s="2"/>
      <c r="S1023" s="2"/>
      <c r="T1023" s="2"/>
    </row>
    <row r="1024" spans="1:20">
      <c r="A1024" s="3"/>
      <c r="B1024" s="3"/>
      <c r="C1024" s="2"/>
      <c r="D1024" s="2"/>
      <c r="E1024" s="64"/>
      <c r="F1024" s="64"/>
      <c r="G1024" s="64"/>
      <c r="H1024" s="64"/>
      <c r="I1024" s="2"/>
      <c r="J1024" s="2"/>
      <c r="K1024" s="2"/>
      <c r="L1024" s="2"/>
      <c r="M1024" s="2"/>
      <c r="N1024" s="2"/>
      <c r="O1024" s="2"/>
      <c r="P1024" s="66"/>
      <c r="Q1024" s="66"/>
      <c r="R1024" s="2"/>
      <c r="S1024" s="2"/>
      <c r="T1024" s="2"/>
    </row>
    <row r="1025" spans="1:20">
      <c r="A1025" s="3"/>
      <c r="B1025" s="3"/>
      <c r="C1025" s="2"/>
      <c r="D1025" s="2"/>
      <c r="E1025" s="64"/>
      <c r="F1025" s="64"/>
      <c r="G1025" s="64"/>
      <c r="H1025" s="64"/>
      <c r="I1025" s="2"/>
      <c r="J1025" s="2"/>
      <c r="K1025" s="2"/>
      <c r="L1025" s="2"/>
      <c r="M1025" s="2"/>
      <c r="N1025" s="2"/>
      <c r="O1025" s="2"/>
      <c r="P1025" s="66"/>
      <c r="Q1025" s="66"/>
      <c r="R1025" s="2"/>
      <c r="S1025" s="2"/>
      <c r="T1025" s="2"/>
    </row>
    <row r="1026" spans="1:20">
      <c r="A1026" s="3"/>
      <c r="B1026" s="3"/>
      <c r="C1026" s="2"/>
      <c r="D1026" s="2"/>
      <c r="E1026" s="64"/>
      <c r="F1026" s="64"/>
      <c r="G1026" s="64"/>
      <c r="H1026" s="64"/>
      <c r="I1026" s="2"/>
      <c r="J1026" s="2"/>
      <c r="K1026" s="2"/>
      <c r="L1026" s="2"/>
      <c r="M1026" s="2"/>
      <c r="N1026" s="2"/>
      <c r="O1026" s="2"/>
      <c r="P1026" s="66"/>
      <c r="Q1026" s="66"/>
      <c r="R1026" s="2"/>
      <c r="S1026" s="2"/>
      <c r="T1026" s="2"/>
    </row>
    <row r="1027" spans="1:20">
      <c r="A1027" s="3"/>
      <c r="B1027" s="3"/>
      <c r="C1027" s="2"/>
      <c r="D1027" s="2"/>
      <c r="E1027" s="64"/>
      <c r="F1027" s="64"/>
      <c r="G1027" s="64"/>
      <c r="H1027" s="64"/>
      <c r="I1027" s="2"/>
      <c r="J1027" s="2"/>
      <c r="K1027" s="2"/>
      <c r="L1027" s="2"/>
      <c r="M1027" s="2"/>
      <c r="N1027" s="2"/>
      <c r="O1027" s="2"/>
      <c r="P1027" s="66"/>
      <c r="Q1027" s="66"/>
      <c r="R1027" s="2"/>
      <c r="S1027" s="2"/>
      <c r="T1027" s="2"/>
    </row>
    <row r="1028" spans="1:20">
      <c r="A1028" s="3"/>
      <c r="B1028" s="3"/>
      <c r="C1028" s="2"/>
      <c r="D1028" s="2"/>
      <c r="E1028" s="64"/>
      <c r="F1028" s="64"/>
      <c r="G1028" s="64"/>
      <c r="H1028" s="64"/>
      <c r="I1028" s="2"/>
      <c r="J1028" s="2"/>
      <c r="K1028" s="2"/>
      <c r="L1028" s="2"/>
      <c r="M1028" s="2"/>
      <c r="N1028" s="2"/>
      <c r="O1028" s="2"/>
      <c r="P1028" s="66"/>
      <c r="Q1028" s="66"/>
      <c r="R1028" s="2"/>
      <c r="S1028" s="2"/>
      <c r="T1028" s="2"/>
    </row>
    <row r="1029" spans="1:20">
      <c r="A1029" s="3"/>
      <c r="B1029" s="3"/>
      <c r="C1029" s="2"/>
      <c r="D1029" s="2"/>
      <c r="E1029" s="64"/>
      <c r="F1029" s="64"/>
      <c r="G1029" s="64"/>
      <c r="H1029" s="64"/>
      <c r="I1029" s="2"/>
      <c r="J1029" s="2"/>
      <c r="K1029" s="2"/>
      <c r="L1029" s="2"/>
      <c r="M1029" s="2"/>
      <c r="N1029" s="2"/>
      <c r="O1029" s="2"/>
      <c r="P1029" s="66"/>
      <c r="Q1029" s="66"/>
      <c r="R1029" s="2"/>
      <c r="S1029" s="2"/>
      <c r="T1029" s="2"/>
    </row>
    <row r="1030" spans="1:20">
      <c r="A1030" s="3"/>
      <c r="B1030" s="3"/>
      <c r="C1030" s="2"/>
      <c r="D1030" s="2"/>
      <c r="E1030" s="64"/>
      <c r="F1030" s="64"/>
      <c r="G1030" s="64"/>
      <c r="H1030" s="64"/>
      <c r="I1030" s="2"/>
      <c r="J1030" s="2"/>
      <c r="K1030" s="2"/>
      <c r="L1030" s="2"/>
      <c r="M1030" s="2"/>
      <c r="N1030" s="2"/>
      <c r="O1030" s="2"/>
      <c r="P1030" s="66"/>
      <c r="Q1030" s="66"/>
      <c r="R1030" s="2"/>
      <c r="S1030" s="2"/>
      <c r="T1030" s="2"/>
    </row>
    <row r="1031" spans="1:20">
      <c r="A1031" s="3"/>
      <c r="B1031" s="3"/>
      <c r="C1031" s="2"/>
      <c r="D1031" s="2"/>
      <c r="E1031" s="64"/>
      <c r="F1031" s="64"/>
      <c r="G1031" s="64"/>
      <c r="H1031" s="64"/>
      <c r="I1031" s="2"/>
      <c r="J1031" s="2"/>
      <c r="K1031" s="2"/>
      <c r="L1031" s="2"/>
      <c r="M1031" s="2"/>
      <c r="N1031" s="2"/>
      <c r="O1031" s="2"/>
      <c r="P1031" s="66"/>
      <c r="Q1031" s="66"/>
      <c r="R1031" s="2"/>
      <c r="S1031" s="2"/>
      <c r="T1031" s="2"/>
    </row>
    <row r="1032" spans="1:20">
      <c r="A1032" s="3"/>
      <c r="B1032" s="3"/>
      <c r="C1032" s="2"/>
      <c r="D1032" s="2"/>
      <c r="E1032" s="64"/>
      <c r="F1032" s="64"/>
      <c r="G1032" s="64"/>
      <c r="H1032" s="64"/>
      <c r="I1032" s="2"/>
      <c r="J1032" s="2"/>
      <c r="K1032" s="2"/>
      <c r="L1032" s="2"/>
      <c r="M1032" s="2"/>
      <c r="N1032" s="2"/>
      <c r="O1032" s="2"/>
      <c r="P1032" s="66"/>
      <c r="Q1032" s="66"/>
      <c r="R1032" s="2"/>
      <c r="S1032" s="2"/>
      <c r="T1032" s="2"/>
    </row>
    <row r="1033" spans="1:20">
      <c r="A1033" s="3"/>
      <c r="B1033" s="3"/>
      <c r="C1033" s="2"/>
      <c r="D1033" s="2"/>
      <c r="E1033" s="64"/>
      <c r="F1033" s="64"/>
      <c r="G1033" s="64"/>
      <c r="H1033" s="64"/>
      <c r="I1033" s="2"/>
      <c r="J1033" s="2"/>
      <c r="K1033" s="2"/>
      <c r="L1033" s="2"/>
      <c r="M1033" s="2"/>
      <c r="N1033" s="2"/>
      <c r="O1033" s="2"/>
      <c r="P1033" s="66"/>
      <c r="Q1033" s="66"/>
      <c r="R1033" s="2"/>
      <c r="S1033" s="2"/>
      <c r="T1033" s="2"/>
    </row>
    <row r="1034" spans="1:20">
      <c r="A1034" s="3"/>
      <c r="B1034" s="3"/>
      <c r="C1034" s="2"/>
      <c r="D1034" s="2"/>
      <c r="E1034" s="64"/>
      <c r="F1034" s="64"/>
      <c r="G1034" s="64"/>
      <c r="H1034" s="64"/>
      <c r="I1034" s="2"/>
      <c r="J1034" s="2"/>
      <c r="K1034" s="2"/>
      <c r="L1034" s="2"/>
      <c r="M1034" s="2"/>
      <c r="N1034" s="2"/>
      <c r="O1034" s="2"/>
      <c r="P1034" s="66"/>
      <c r="Q1034" s="66"/>
      <c r="R1034" s="2"/>
      <c r="S1034" s="2"/>
      <c r="T1034" s="2"/>
    </row>
    <row r="1035" spans="1:20">
      <c r="A1035" s="3"/>
      <c r="B1035" s="3"/>
      <c r="C1035" s="2"/>
      <c r="D1035" s="2"/>
      <c r="E1035" s="64"/>
      <c r="F1035" s="64"/>
      <c r="G1035" s="64"/>
      <c r="H1035" s="64"/>
      <c r="I1035" s="2"/>
      <c r="J1035" s="2"/>
      <c r="K1035" s="2"/>
      <c r="L1035" s="2"/>
      <c r="M1035" s="2"/>
      <c r="N1035" s="2"/>
      <c r="O1035" s="2"/>
      <c r="P1035" s="66"/>
      <c r="Q1035" s="66"/>
      <c r="R1035" s="2"/>
      <c r="S1035" s="2"/>
      <c r="T1035" s="2"/>
    </row>
    <row r="1036" spans="1:20">
      <c r="A1036" s="3"/>
      <c r="B1036" s="3"/>
      <c r="C1036" s="2"/>
      <c r="D1036" s="2"/>
      <c r="E1036" s="64"/>
      <c r="F1036" s="64"/>
      <c r="G1036" s="64"/>
      <c r="H1036" s="64"/>
      <c r="I1036" s="2"/>
      <c r="J1036" s="2"/>
      <c r="K1036" s="2"/>
      <c r="L1036" s="2"/>
      <c r="M1036" s="2"/>
      <c r="N1036" s="2"/>
      <c r="O1036" s="2"/>
      <c r="P1036" s="66"/>
      <c r="Q1036" s="66"/>
      <c r="R1036" s="2"/>
      <c r="S1036" s="2"/>
      <c r="T1036" s="2"/>
    </row>
    <row r="1037" spans="1:20">
      <c r="A1037" s="3"/>
      <c r="B1037" s="3"/>
      <c r="C1037" s="2"/>
      <c r="D1037" s="2"/>
      <c r="E1037" s="64"/>
      <c r="F1037" s="64"/>
      <c r="G1037" s="64"/>
      <c r="H1037" s="64"/>
      <c r="I1037" s="2"/>
      <c r="J1037" s="2"/>
      <c r="K1037" s="2"/>
      <c r="L1037" s="2"/>
      <c r="M1037" s="2"/>
      <c r="N1037" s="2"/>
      <c r="O1037" s="2"/>
      <c r="P1037" s="66"/>
      <c r="Q1037" s="66"/>
      <c r="R1037" s="2"/>
      <c r="S1037" s="2"/>
      <c r="T1037" s="2"/>
    </row>
    <row r="1038" spans="1:20">
      <c r="A1038" s="3"/>
      <c r="B1038" s="3"/>
      <c r="C1038" s="2"/>
      <c r="D1038" s="2"/>
      <c r="E1038" s="64"/>
      <c r="F1038" s="64"/>
      <c r="G1038" s="64"/>
      <c r="H1038" s="64"/>
      <c r="I1038" s="2"/>
      <c r="J1038" s="2"/>
      <c r="K1038" s="2"/>
      <c r="L1038" s="2"/>
      <c r="M1038" s="2"/>
      <c r="N1038" s="2"/>
      <c r="O1038" s="2"/>
      <c r="P1038" s="66"/>
      <c r="Q1038" s="66"/>
      <c r="R1038" s="2"/>
      <c r="S1038" s="2"/>
      <c r="T1038" s="2"/>
    </row>
    <row r="1039" spans="1:20">
      <c r="A1039" s="3"/>
      <c r="B1039" s="3"/>
      <c r="C1039" s="2"/>
      <c r="D1039" s="2"/>
      <c r="E1039" s="64"/>
      <c r="F1039" s="64"/>
      <c r="G1039" s="64"/>
      <c r="H1039" s="64"/>
      <c r="I1039" s="2"/>
      <c r="J1039" s="2"/>
      <c r="K1039" s="2"/>
      <c r="L1039" s="2"/>
      <c r="M1039" s="2"/>
      <c r="N1039" s="2"/>
      <c r="O1039" s="2"/>
      <c r="P1039" s="66"/>
      <c r="Q1039" s="66"/>
      <c r="R1039" s="2"/>
      <c r="S1039" s="2"/>
      <c r="T1039" s="2"/>
    </row>
    <row r="1040" spans="1:20">
      <c r="A1040" s="3"/>
      <c r="B1040" s="3"/>
      <c r="C1040" s="2"/>
      <c r="D1040" s="2"/>
      <c r="E1040" s="64"/>
      <c r="F1040" s="64"/>
      <c r="G1040" s="64"/>
      <c r="H1040" s="64"/>
      <c r="I1040" s="2"/>
      <c r="J1040" s="2"/>
      <c r="K1040" s="2"/>
      <c r="L1040" s="2"/>
      <c r="M1040" s="2"/>
      <c r="N1040" s="2"/>
      <c r="O1040" s="2"/>
      <c r="P1040" s="66"/>
      <c r="Q1040" s="66"/>
      <c r="R1040" s="2"/>
      <c r="S1040" s="2"/>
      <c r="T1040" s="2"/>
    </row>
    <row r="1041" spans="1:20">
      <c r="A1041" s="3"/>
      <c r="B1041" s="3"/>
      <c r="C1041" s="2"/>
      <c r="D1041" s="2"/>
      <c r="E1041" s="64"/>
      <c r="F1041" s="64"/>
      <c r="G1041" s="64"/>
      <c r="H1041" s="64"/>
      <c r="I1041" s="2"/>
      <c r="J1041" s="2"/>
      <c r="K1041" s="2"/>
      <c r="L1041" s="2"/>
      <c r="M1041" s="2"/>
      <c r="N1041" s="2"/>
      <c r="O1041" s="2"/>
      <c r="P1041" s="66"/>
      <c r="Q1041" s="66"/>
      <c r="R1041" s="2"/>
      <c r="S1041" s="2"/>
      <c r="T1041" s="2"/>
    </row>
    <row r="1042" spans="1:20">
      <c r="A1042" s="3"/>
      <c r="B1042" s="3"/>
      <c r="C1042" s="2"/>
      <c r="D1042" s="2"/>
      <c r="E1042" s="64"/>
      <c r="F1042" s="64"/>
      <c r="G1042" s="64"/>
      <c r="H1042" s="64"/>
      <c r="I1042" s="2"/>
      <c r="J1042" s="2"/>
      <c r="K1042" s="2"/>
      <c r="L1042" s="2"/>
      <c r="M1042" s="2"/>
      <c r="N1042" s="2"/>
      <c r="O1042" s="2"/>
      <c r="P1042" s="66"/>
      <c r="Q1042" s="66"/>
      <c r="R1042" s="2"/>
      <c r="S1042" s="2"/>
      <c r="T1042" s="2"/>
    </row>
    <row r="1043" spans="1:20">
      <c r="A1043" s="3"/>
      <c r="B1043" s="3"/>
      <c r="C1043" s="2"/>
      <c r="D1043" s="2"/>
      <c r="E1043" s="64"/>
      <c r="F1043" s="64"/>
      <c r="G1043" s="64"/>
      <c r="H1043" s="64"/>
      <c r="I1043" s="2"/>
      <c r="J1043" s="2"/>
      <c r="K1043" s="2"/>
      <c r="L1043" s="2"/>
      <c r="M1043" s="2"/>
      <c r="N1043" s="2"/>
      <c r="O1043" s="2"/>
      <c r="P1043" s="66"/>
      <c r="Q1043" s="66"/>
      <c r="R1043" s="2"/>
      <c r="S1043" s="2"/>
      <c r="T1043" s="2"/>
    </row>
    <row r="1044" spans="1:20">
      <c r="A1044" s="3"/>
      <c r="B1044" s="3"/>
      <c r="C1044" s="2"/>
      <c r="D1044" s="2"/>
      <c r="E1044" s="64"/>
      <c r="F1044" s="64"/>
      <c r="G1044" s="64"/>
      <c r="H1044" s="64"/>
      <c r="I1044" s="2"/>
      <c r="J1044" s="2"/>
      <c r="K1044" s="2"/>
      <c r="L1044" s="2"/>
      <c r="M1044" s="2"/>
      <c r="N1044" s="2"/>
      <c r="O1044" s="2"/>
      <c r="P1044" s="66"/>
      <c r="Q1044" s="66"/>
      <c r="R1044" s="2"/>
      <c r="S1044" s="2"/>
      <c r="T1044" s="2"/>
    </row>
    <row r="1045" spans="1:20">
      <c r="A1045" s="3"/>
      <c r="B1045" s="3"/>
      <c r="C1045" s="2"/>
      <c r="D1045" s="2"/>
      <c r="E1045" s="64"/>
      <c r="F1045" s="64"/>
      <c r="G1045" s="64"/>
      <c r="H1045" s="64"/>
      <c r="I1045" s="2"/>
      <c r="J1045" s="2"/>
      <c r="K1045" s="2"/>
      <c r="L1045" s="2"/>
      <c r="M1045" s="2"/>
      <c r="N1045" s="2"/>
      <c r="O1045" s="2"/>
      <c r="P1045" s="66"/>
      <c r="Q1045" s="66"/>
      <c r="R1045" s="2"/>
      <c r="S1045" s="2"/>
      <c r="T1045" s="2"/>
    </row>
    <row r="1046" spans="1:20">
      <c r="A1046" s="3"/>
      <c r="B1046" s="3"/>
      <c r="C1046" s="2"/>
      <c r="D1046" s="2"/>
      <c r="E1046" s="64"/>
      <c r="F1046" s="64"/>
      <c r="G1046" s="64"/>
      <c r="H1046" s="64"/>
      <c r="I1046" s="2"/>
      <c r="J1046" s="2"/>
      <c r="K1046" s="2"/>
      <c r="L1046" s="2"/>
      <c r="M1046" s="2"/>
      <c r="N1046" s="2"/>
      <c r="O1046" s="2"/>
      <c r="P1046" s="66"/>
      <c r="Q1046" s="66"/>
      <c r="R1046" s="2"/>
      <c r="S1046" s="2"/>
      <c r="T1046" s="2"/>
    </row>
    <row r="1047" spans="1:20">
      <c r="A1047" s="3"/>
      <c r="B1047" s="3"/>
      <c r="C1047" s="2"/>
      <c r="D1047" s="2"/>
      <c r="E1047" s="64"/>
      <c r="F1047" s="64"/>
      <c r="G1047" s="64"/>
      <c r="H1047" s="64"/>
      <c r="I1047" s="2"/>
      <c r="J1047" s="2"/>
      <c r="K1047" s="2"/>
      <c r="L1047" s="2"/>
      <c r="M1047" s="2"/>
      <c r="N1047" s="2"/>
      <c r="O1047" s="2"/>
      <c r="P1047" s="66"/>
      <c r="Q1047" s="66"/>
      <c r="R1047" s="2"/>
      <c r="S1047" s="2"/>
      <c r="T1047" s="2"/>
    </row>
    <row r="1048" spans="1:20">
      <c r="A1048" s="3"/>
      <c r="B1048" s="3"/>
      <c r="C1048" s="2"/>
      <c r="D1048" s="2"/>
      <c r="E1048" s="64"/>
      <c r="F1048" s="64"/>
      <c r="G1048" s="64"/>
      <c r="H1048" s="64"/>
      <c r="I1048" s="2"/>
      <c r="J1048" s="2"/>
      <c r="K1048" s="2"/>
      <c r="L1048" s="2"/>
      <c r="M1048" s="2"/>
      <c r="N1048" s="2"/>
      <c r="O1048" s="2"/>
      <c r="P1048" s="66"/>
      <c r="Q1048" s="66"/>
      <c r="R1048" s="2"/>
      <c r="S1048" s="2"/>
      <c r="T1048" s="2"/>
    </row>
    <row r="1049" spans="1:20">
      <c r="A1049" s="3"/>
      <c r="B1049" s="3"/>
      <c r="C1049" s="2"/>
      <c r="D1049" s="2"/>
      <c r="E1049" s="64"/>
      <c r="F1049" s="64"/>
      <c r="G1049" s="64"/>
      <c r="H1049" s="64"/>
      <c r="I1049" s="2"/>
      <c r="J1049" s="2"/>
      <c r="K1049" s="2"/>
      <c r="L1049" s="2"/>
      <c r="M1049" s="2"/>
      <c r="N1049" s="2"/>
      <c r="O1049" s="2"/>
      <c r="P1049" s="66"/>
      <c r="Q1049" s="66"/>
      <c r="R1049" s="2"/>
      <c r="S1049" s="2"/>
      <c r="T1049" s="2"/>
    </row>
    <row r="1050" spans="1:20">
      <c r="A1050" s="3"/>
      <c r="B1050" s="3"/>
      <c r="C1050" s="2"/>
      <c r="D1050" s="2"/>
      <c r="E1050" s="64"/>
      <c r="F1050" s="64"/>
      <c r="G1050" s="64"/>
      <c r="H1050" s="64"/>
      <c r="I1050" s="2"/>
      <c r="J1050" s="2"/>
      <c r="K1050" s="2"/>
      <c r="L1050" s="2"/>
      <c r="M1050" s="2"/>
      <c r="N1050" s="2"/>
      <c r="O1050" s="2"/>
      <c r="P1050" s="66"/>
      <c r="Q1050" s="66"/>
      <c r="R1050" s="2"/>
      <c r="S1050" s="2"/>
      <c r="T1050" s="2"/>
    </row>
    <row r="1051" spans="1:20">
      <c r="A1051" s="3"/>
      <c r="B1051" s="3"/>
      <c r="C1051" s="2"/>
      <c r="D1051" s="2"/>
      <c r="E1051" s="64"/>
      <c r="F1051" s="64"/>
      <c r="G1051" s="64"/>
      <c r="H1051" s="64"/>
      <c r="I1051" s="2"/>
      <c r="J1051" s="2"/>
      <c r="K1051" s="2"/>
      <c r="L1051" s="2"/>
      <c r="M1051" s="2"/>
      <c r="N1051" s="2"/>
      <c r="O1051" s="2"/>
      <c r="P1051" s="66"/>
      <c r="Q1051" s="66"/>
      <c r="R1051" s="2"/>
      <c r="S1051" s="2"/>
      <c r="T1051" s="2"/>
    </row>
    <row r="1052" spans="1:20">
      <c r="A1052" s="3"/>
      <c r="B1052" s="3"/>
      <c r="C1052" s="2"/>
      <c r="D1052" s="2"/>
      <c r="E1052" s="64"/>
      <c r="F1052" s="64"/>
      <c r="G1052" s="64"/>
      <c r="H1052" s="64"/>
      <c r="I1052" s="2"/>
      <c r="J1052" s="2"/>
      <c r="K1052" s="2"/>
      <c r="L1052" s="2"/>
      <c r="M1052" s="2"/>
      <c r="N1052" s="2"/>
      <c r="O1052" s="2"/>
      <c r="P1052" s="66"/>
      <c r="Q1052" s="66"/>
      <c r="R1052" s="2"/>
      <c r="S1052" s="2"/>
      <c r="T1052" s="2"/>
    </row>
    <row r="1053" spans="1:20">
      <c r="A1053" s="3"/>
      <c r="B1053" s="3"/>
      <c r="C1053" s="2"/>
      <c r="D1053" s="2"/>
      <c r="E1053" s="64"/>
      <c r="F1053" s="64"/>
      <c r="G1053" s="64"/>
      <c r="H1053" s="64"/>
      <c r="I1053" s="2"/>
      <c r="J1053" s="2"/>
      <c r="K1053" s="2"/>
      <c r="L1053" s="2"/>
      <c r="M1053" s="2"/>
      <c r="N1053" s="2"/>
      <c r="O1053" s="2"/>
      <c r="P1053" s="66"/>
      <c r="Q1053" s="66"/>
      <c r="R1053" s="2"/>
      <c r="S1053" s="2"/>
      <c r="T1053" s="2"/>
    </row>
    <row r="1054" spans="1:20">
      <c r="A1054" s="3"/>
      <c r="B1054" s="3"/>
      <c r="C1054" s="2"/>
      <c r="D1054" s="2"/>
      <c r="E1054" s="64"/>
      <c r="F1054" s="64"/>
      <c r="G1054" s="64"/>
      <c r="H1054" s="64"/>
      <c r="I1054" s="2"/>
      <c r="J1054" s="2"/>
      <c r="K1054" s="2"/>
      <c r="L1054" s="2"/>
      <c r="M1054" s="2"/>
      <c r="N1054" s="2"/>
      <c r="O1054" s="2"/>
      <c r="P1054" s="66"/>
      <c r="Q1054" s="66"/>
      <c r="R1054" s="2"/>
      <c r="S1054" s="2"/>
      <c r="T1054" s="2"/>
    </row>
    <row r="1055" spans="1:20">
      <c r="A1055" s="3"/>
      <c r="B1055" s="3"/>
      <c r="C1055" s="2"/>
      <c r="D1055" s="2"/>
      <c r="E1055" s="64"/>
      <c r="F1055" s="64"/>
      <c r="G1055" s="64"/>
      <c r="H1055" s="64"/>
      <c r="I1055" s="2"/>
      <c r="J1055" s="2"/>
      <c r="K1055" s="2"/>
      <c r="L1055" s="2"/>
      <c r="M1055" s="2"/>
      <c r="N1055" s="2"/>
      <c r="O1055" s="2"/>
      <c r="P1055" s="66"/>
      <c r="Q1055" s="66"/>
      <c r="R1055" s="2"/>
      <c r="S1055" s="2"/>
      <c r="T1055" s="2"/>
    </row>
    <row r="1056" spans="1:20">
      <c r="A1056" s="3"/>
      <c r="B1056" s="3"/>
      <c r="C1056" s="2"/>
      <c r="D1056" s="2"/>
      <c r="E1056" s="64"/>
      <c r="F1056" s="64"/>
      <c r="G1056" s="64"/>
      <c r="H1056" s="64"/>
      <c r="I1056" s="2"/>
      <c r="J1056" s="2"/>
      <c r="K1056" s="2"/>
      <c r="L1056" s="2"/>
      <c r="M1056" s="2"/>
      <c r="N1056" s="2"/>
      <c r="O1056" s="2"/>
      <c r="P1056" s="66"/>
      <c r="Q1056" s="66"/>
      <c r="R1056" s="2"/>
      <c r="S1056" s="2"/>
      <c r="T1056" s="2"/>
    </row>
    <row r="1057" spans="1:20">
      <c r="A1057" s="3"/>
      <c r="B1057" s="3"/>
      <c r="C1057" s="2"/>
      <c r="D1057" s="2"/>
      <c r="E1057" s="64"/>
      <c r="F1057" s="64"/>
      <c r="G1057" s="64"/>
      <c r="H1057" s="64"/>
      <c r="I1057" s="2"/>
      <c r="J1057" s="2"/>
      <c r="K1057" s="2"/>
      <c r="L1057" s="2"/>
      <c r="M1057" s="2"/>
      <c r="N1057" s="2"/>
      <c r="O1057" s="2"/>
      <c r="P1057" s="66"/>
      <c r="Q1057" s="66"/>
      <c r="R1057" s="2"/>
      <c r="S1057" s="2"/>
      <c r="T1057" s="2"/>
    </row>
    <row r="1058" spans="1:20">
      <c r="A1058" s="3"/>
      <c r="B1058" s="3"/>
      <c r="C1058" s="2"/>
      <c r="D1058" s="2"/>
      <c r="E1058" s="64"/>
      <c r="F1058" s="64"/>
      <c r="G1058" s="64"/>
      <c r="H1058" s="64"/>
      <c r="I1058" s="2"/>
      <c r="J1058" s="2"/>
      <c r="K1058" s="2"/>
      <c r="L1058" s="2"/>
      <c r="M1058" s="2"/>
      <c r="N1058" s="2"/>
      <c r="O1058" s="2"/>
      <c r="P1058" s="66"/>
      <c r="Q1058" s="66"/>
      <c r="R1058" s="2"/>
      <c r="S1058" s="2"/>
      <c r="T1058" s="2"/>
    </row>
    <row r="1059" spans="1:20">
      <c r="A1059" s="3"/>
      <c r="B1059" s="3"/>
      <c r="C1059" s="2"/>
      <c r="D1059" s="2"/>
      <c r="E1059" s="64"/>
      <c r="F1059" s="64"/>
      <c r="G1059" s="64"/>
      <c r="H1059" s="64"/>
      <c r="I1059" s="2"/>
      <c r="J1059" s="2"/>
      <c r="K1059" s="2"/>
      <c r="L1059" s="2"/>
      <c r="M1059" s="2"/>
      <c r="N1059" s="2"/>
      <c r="O1059" s="2"/>
      <c r="P1059" s="66"/>
      <c r="Q1059" s="66"/>
      <c r="R1059" s="2"/>
      <c r="S1059" s="2"/>
      <c r="T1059" s="2"/>
    </row>
    <row r="1060" spans="1:20">
      <c r="A1060" s="3"/>
      <c r="B1060" s="3"/>
      <c r="C1060" s="2"/>
      <c r="D1060" s="2"/>
      <c r="E1060" s="64"/>
      <c r="F1060" s="64"/>
      <c r="G1060" s="64"/>
      <c r="H1060" s="64"/>
      <c r="I1060" s="2"/>
      <c r="J1060" s="2"/>
      <c r="K1060" s="2"/>
      <c r="L1060" s="2"/>
      <c r="M1060" s="2"/>
      <c r="N1060" s="2"/>
      <c r="O1060" s="2"/>
      <c r="P1060" s="66"/>
      <c r="Q1060" s="66"/>
      <c r="R1060" s="2"/>
      <c r="S1060" s="2"/>
      <c r="T1060" s="2"/>
    </row>
    <row r="1061" spans="1:20">
      <c r="A1061" s="3"/>
      <c r="B1061" s="3"/>
      <c r="C1061" s="2"/>
      <c r="D1061" s="2"/>
      <c r="E1061" s="64"/>
      <c r="F1061" s="64"/>
      <c r="G1061" s="64"/>
      <c r="H1061" s="64"/>
      <c r="I1061" s="2"/>
      <c r="J1061" s="2"/>
      <c r="K1061" s="2"/>
      <c r="L1061" s="2"/>
      <c r="M1061" s="2"/>
      <c r="N1061" s="2"/>
      <c r="O1061" s="2"/>
      <c r="P1061" s="66"/>
      <c r="Q1061" s="66"/>
      <c r="R1061" s="2"/>
      <c r="S1061" s="2"/>
      <c r="T1061" s="2"/>
    </row>
    <row r="1062" spans="1:20">
      <c r="A1062" s="3"/>
      <c r="B1062" s="3"/>
      <c r="C1062" s="2"/>
      <c r="D1062" s="2"/>
      <c r="E1062" s="64"/>
      <c r="F1062" s="64"/>
      <c r="G1062" s="64"/>
      <c r="H1062" s="64"/>
      <c r="I1062" s="2"/>
      <c r="J1062" s="2"/>
      <c r="K1062" s="2"/>
      <c r="L1062" s="2"/>
      <c r="M1062" s="2"/>
      <c r="N1062" s="2"/>
      <c r="O1062" s="2"/>
      <c r="P1062" s="66"/>
      <c r="Q1062" s="66"/>
      <c r="R1062" s="2"/>
      <c r="S1062" s="2"/>
      <c r="T1062" s="2"/>
    </row>
    <row r="1063" spans="1:20">
      <c r="A1063" s="3"/>
      <c r="B1063" s="3"/>
      <c r="C1063" s="2"/>
      <c r="D1063" s="2"/>
      <c r="E1063" s="64"/>
      <c r="F1063" s="64"/>
      <c r="G1063" s="64"/>
      <c r="H1063" s="64"/>
      <c r="I1063" s="2"/>
      <c r="J1063" s="2"/>
      <c r="K1063" s="2"/>
      <c r="L1063" s="2"/>
      <c r="M1063" s="2"/>
      <c r="N1063" s="2"/>
      <c r="O1063" s="2"/>
      <c r="P1063" s="66"/>
      <c r="Q1063" s="66"/>
      <c r="R1063" s="2"/>
      <c r="S1063" s="2"/>
      <c r="T1063" s="2"/>
    </row>
    <row r="1064" spans="1:20">
      <c r="A1064" s="3"/>
      <c r="B1064" s="3"/>
      <c r="C1064" s="2"/>
      <c r="D1064" s="2"/>
      <c r="E1064" s="64"/>
      <c r="F1064" s="64"/>
      <c r="G1064" s="64"/>
      <c r="H1064" s="64"/>
      <c r="I1064" s="2"/>
      <c r="J1064" s="2"/>
      <c r="K1064" s="2"/>
      <c r="L1064" s="2"/>
      <c r="M1064" s="2"/>
      <c r="N1064" s="2"/>
      <c r="O1064" s="2"/>
      <c r="P1064" s="66"/>
      <c r="Q1064" s="66"/>
      <c r="R1064" s="2"/>
      <c r="S1064" s="2"/>
      <c r="T1064" s="2"/>
    </row>
    <row r="1065" spans="1:20">
      <c r="A1065" s="3"/>
      <c r="B1065" s="3"/>
      <c r="C1065" s="2"/>
      <c r="D1065" s="2"/>
      <c r="E1065" s="64"/>
      <c r="F1065" s="64"/>
      <c r="G1065" s="64"/>
      <c r="H1065" s="64"/>
      <c r="I1065" s="2"/>
      <c r="J1065" s="2"/>
      <c r="K1065" s="2"/>
      <c r="L1065" s="2"/>
      <c r="M1065" s="2"/>
      <c r="N1065" s="2"/>
      <c r="O1065" s="2"/>
      <c r="P1065" s="66"/>
      <c r="Q1065" s="66"/>
      <c r="R1065" s="2"/>
      <c r="S1065" s="2"/>
      <c r="T1065" s="2"/>
    </row>
    <row r="1066" spans="1:20">
      <c r="A1066" s="3"/>
      <c r="B1066" s="3"/>
      <c r="C1066" s="2"/>
      <c r="D1066" s="2"/>
      <c r="E1066" s="64"/>
      <c r="F1066" s="64"/>
      <c r="G1066" s="64"/>
      <c r="H1066" s="64"/>
      <c r="I1066" s="2"/>
      <c r="J1066" s="2"/>
      <c r="K1066" s="2"/>
      <c r="L1066" s="2"/>
      <c r="M1066" s="2"/>
      <c r="N1066" s="2"/>
      <c r="O1066" s="2"/>
      <c r="P1066" s="66"/>
      <c r="Q1066" s="66"/>
      <c r="R1066" s="2"/>
      <c r="S1066" s="2"/>
      <c r="T1066" s="2"/>
    </row>
    <row r="1067" spans="1:20">
      <c r="A1067" s="3"/>
      <c r="B1067" s="3"/>
      <c r="C1067" s="2"/>
      <c r="D1067" s="2"/>
      <c r="E1067" s="64"/>
      <c r="F1067" s="64"/>
      <c r="G1067" s="64"/>
      <c r="H1067" s="64"/>
      <c r="I1067" s="2"/>
      <c r="J1067" s="2"/>
      <c r="K1067" s="2"/>
      <c r="L1067" s="2"/>
      <c r="M1067" s="2"/>
      <c r="N1067" s="2"/>
      <c r="O1067" s="2"/>
      <c r="P1067" s="66"/>
      <c r="Q1067" s="66"/>
      <c r="R1067" s="2"/>
      <c r="S1067" s="2"/>
      <c r="T1067" s="2"/>
    </row>
    <row r="1068" spans="1:20">
      <c r="A1068" s="3"/>
      <c r="B1068" s="3"/>
      <c r="C1068" s="2"/>
      <c r="D1068" s="2"/>
      <c r="E1068" s="64"/>
      <c r="F1068" s="64"/>
      <c r="G1068" s="64"/>
      <c r="H1068" s="64"/>
      <c r="I1068" s="2"/>
      <c r="J1068" s="2"/>
      <c r="K1068" s="2"/>
      <c r="L1068" s="2"/>
      <c r="M1068" s="2"/>
      <c r="N1068" s="2"/>
      <c r="O1068" s="2"/>
      <c r="P1068" s="66"/>
      <c r="Q1068" s="66"/>
      <c r="R1068" s="2"/>
      <c r="S1068" s="2"/>
      <c r="T1068" s="2"/>
    </row>
    <row r="1069" spans="1:20">
      <c r="A1069" s="3"/>
      <c r="B1069" s="3"/>
      <c r="C1069" s="2"/>
      <c r="D1069" s="2"/>
      <c r="E1069" s="64"/>
      <c r="F1069" s="64"/>
      <c r="G1069" s="64"/>
      <c r="H1069" s="64"/>
      <c r="I1069" s="2"/>
      <c r="J1069" s="2"/>
      <c r="K1069" s="2"/>
      <c r="L1069" s="2"/>
      <c r="M1069" s="2"/>
      <c r="N1069" s="2"/>
      <c r="O1069" s="2"/>
      <c r="P1069" s="66"/>
      <c r="Q1069" s="66"/>
      <c r="R1069" s="2"/>
      <c r="S1069" s="2"/>
      <c r="T1069" s="2"/>
    </row>
    <row r="1070" spans="1:20">
      <c r="A1070" s="3"/>
      <c r="B1070" s="3"/>
      <c r="C1070" s="2"/>
      <c r="D1070" s="2"/>
      <c r="E1070" s="64"/>
      <c r="F1070" s="64"/>
      <c r="G1070" s="64"/>
      <c r="H1070" s="64"/>
      <c r="I1070" s="2"/>
      <c r="J1070" s="2"/>
      <c r="K1070" s="2"/>
      <c r="L1070" s="2"/>
      <c r="M1070" s="2"/>
      <c r="N1070" s="2"/>
      <c r="O1070" s="2"/>
      <c r="P1070" s="66"/>
      <c r="Q1070" s="66"/>
      <c r="R1070" s="2"/>
      <c r="S1070" s="2"/>
      <c r="T1070" s="2"/>
    </row>
    <row r="1071" spans="1:20">
      <c r="A1071" s="3"/>
      <c r="B1071" s="3"/>
      <c r="C1071" s="2"/>
      <c r="D1071" s="2"/>
      <c r="E1071" s="64"/>
      <c r="F1071" s="64"/>
      <c r="G1071" s="64"/>
      <c r="H1071" s="64"/>
      <c r="I1071" s="2"/>
      <c r="J1071" s="2"/>
      <c r="K1071" s="2"/>
      <c r="L1071" s="2"/>
      <c r="M1071" s="2"/>
      <c r="N1071" s="2"/>
      <c r="O1071" s="2"/>
      <c r="P1071" s="66"/>
      <c r="Q1071" s="66"/>
      <c r="R1071" s="2"/>
      <c r="S1071" s="2"/>
      <c r="T1071" s="2"/>
    </row>
    <row r="1072" spans="1:20">
      <c r="A1072" s="3"/>
      <c r="B1072" s="3"/>
      <c r="C1072" s="2"/>
      <c r="D1072" s="2"/>
      <c r="E1072" s="64"/>
      <c r="F1072" s="64"/>
      <c r="G1072" s="64"/>
      <c r="H1072" s="64"/>
      <c r="I1072" s="2"/>
      <c r="J1072" s="2"/>
      <c r="K1072" s="2"/>
      <c r="L1072" s="2"/>
      <c r="M1072" s="2"/>
      <c r="N1072" s="2"/>
      <c r="O1072" s="2"/>
      <c r="P1072" s="66"/>
      <c r="Q1072" s="66"/>
      <c r="R1072" s="2"/>
      <c r="S1072" s="2"/>
      <c r="T1072" s="2"/>
    </row>
    <row r="1073" spans="1:20">
      <c r="A1073" s="3"/>
      <c r="B1073" s="3"/>
      <c r="C1073" s="2"/>
      <c r="D1073" s="2"/>
      <c r="E1073" s="64"/>
      <c r="F1073" s="64"/>
      <c r="G1073" s="64"/>
      <c r="H1073" s="64"/>
      <c r="I1073" s="2"/>
      <c r="J1073" s="2"/>
      <c r="K1073" s="2"/>
      <c r="L1073" s="2"/>
      <c r="M1073" s="2"/>
      <c r="N1073" s="2"/>
      <c r="O1073" s="2"/>
      <c r="P1073" s="66"/>
      <c r="Q1073" s="66"/>
      <c r="R1073" s="2"/>
      <c r="S1073" s="2"/>
      <c r="T1073" s="2"/>
    </row>
    <row r="1074" spans="1:20">
      <c r="A1074" s="3"/>
      <c r="B1074" s="3"/>
      <c r="C1074" s="2"/>
      <c r="D1074" s="2"/>
      <c r="E1074" s="64"/>
      <c r="F1074" s="64"/>
      <c r="G1074" s="64"/>
      <c r="H1074" s="64"/>
      <c r="I1074" s="2"/>
      <c r="J1074" s="2"/>
      <c r="K1074" s="2"/>
      <c r="L1074" s="2"/>
      <c r="M1074" s="2"/>
      <c r="N1074" s="2"/>
      <c r="O1074" s="2"/>
      <c r="P1074" s="66"/>
      <c r="Q1074" s="66"/>
      <c r="R1074" s="2"/>
      <c r="S1074" s="2"/>
      <c r="T1074" s="2"/>
    </row>
    <row r="1075" spans="1:20">
      <c r="A1075" s="3"/>
      <c r="B1075" s="3"/>
      <c r="C1075" s="2"/>
      <c r="D1075" s="2"/>
      <c r="E1075" s="64"/>
      <c r="F1075" s="64"/>
      <c r="G1075" s="64"/>
      <c r="H1075" s="64"/>
      <c r="I1075" s="2"/>
      <c r="J1075" s="2"/>
      <c r="K1075" s="2"/>
      <c r="L1075" s="2"/>
      <c r="M1075" s="2"/>
      <c r="N1075" s="2"/>
      <c r="O1075" s="2"/>
      <c r="P1075" s="66"/>
      <c r="Q1075" s="66"/>
      <c r="R1075" s="2"/>
      <c r="S1075" s="2"/>
      <c r="T1075" s="2"/>
    </row>
    <row r="1076" spans="1:20">
      <c r="A1076" s="3"/>
      <c r="B1076" s="3"/>
      <c r="C1076" s="2"/>
      <c r="D1076" s="2"/>
      <c r="E1076" s="64"/>
      <c r="F1076" s="64"/>
      <c r="G1076" s="64"/>
      <c r="H1076" s="64"/>
      <c r="I1076" s="2"/>
      <c r="J1076" s="2"/>
      <c r="K1076" s="2"/>
      <c r="L1076" s="2"/>
      <c r="M1076" s="2"/>
      <c r="N1076" s="2"/>
      <c r="O1076" s="2"/>
      <c r="P1076" s="66"/>
      <c r="Q1076" s="66"/>
      <c r="R1076" s="2"/>
      <c r="S1076" s="2"/>
      <c r="T1076" s="2"/>
    </row>
    <row r="1077" spans="1:20">
      <c r="A1077" s="3"/>
      <c r="B1077" s="3"/>
      <c r="C1077" s="2"/>
      <c r="D1077" s="2"/>
      <c r="E1077" s="64"/>
      <c r="F1077" s="64"/>
      <c r="G1077" s="64"/>
      <c r="H1077" s="64"/>
      <c r="I1077" s="2"/>
      <c r="J1077" s="2"/>
      <c r="K1077" s="2"/>
      <c r="L1077" s="2"/>
      <c r="M1077" s="2"/>
      <c r="N1077" s="2"/>
      <c r="O1077" s="2"/>
      <c r="P1077" s="66"/>
      <c r="Q1077" s="66"/>
      <c r="R1077" s="2"/>
      <c r="S1077" s="2"/>
      <c r="T1077" s="2"/>
    </row>
    <row r="1078" spans="1:20">
      <c r="A1078" s="3"/>
      <c r="B1078" s="3"/>
      <c r="C1078" s="2"/>
      <c r="D1078" s="2"/>
      <c r="E1078" s="64"/>
      <c r="F1078" s="64"/>
      <c r="G1078" s="64"/>
      <c r="H1078" s="64"/>
      <c r="I1078" s="2"/>
      <c r="J1078" s="2"/>
      <c r="K1078" s="2"/>
      <c r="L1078" s="2"/>
      <c r="M1078" s="2"/>
      <c r="N1078" s="2"/>
      <c r="O1078" s="2"/>
      <c r="P1078" s="66"/>
      <c r="Q1078" s="66"/>
      <c r="R1078" s="2"/>
      <c r="S1078" s="2"/>
      <c r="T1078" s="2"/>
    </row>
    <row r="1079" spans="1:20">
      <c r="A1079" s="3"/>
      <c r="B1079" s="3"/>
      <c r="C1079" s="2"/>
      <c r="D1079" s="2"/>
      <c r="E1079" s="64"/>
      <c r="F1079" s="64"/>
      <c r="G1079" s="64"/>
      <c r="H1079" s="64"/>
      <c r="I1079" s="2"/>
      <c r="J1079" s="2"/>
      <c r="K1079" s="2"/>
      <c r="L1079" s="2"/>
      <c r="M1079" s="2"/>
      <c r="N1079" s="2"/>
      <c r="O1079" s="2"/>
      <c r="P1079" s="66"/>
      <c r="Q1079" s="66"/>
      <c r="R1079" s="2"/>
      <c r="S1079" s="2"/>
      <c r="T1079" s="2"/>
    </row>
    <row r="1080" spans="1:20">
      <c r="A1080" s="3"/>
      <c r="B1080" s="3"/>
      <c r="C1080" s="2"/>
      <c r="D1080" s="2"/>
      <c r="E1080" s="64"/>
      <c r="F1080" s="64"/>
      <c r="G1080" s="64"/>
      <c r="H1080" s="64"/>
      <c r="I1080" s="2"/>
      <c r="J1080" s="2"/>
      <c r="K1080" s="2"/>
      <c r="L1080" s="2"/>
      <c r="M1080" s="2"/>
      <c r="N1080" s="2"/>
      <c r="O1080" s="2"/>
      <c r="P1080" s="66"/>
      <c r="Q1080" s="66"/>
      <c r="R1080" s="2"/>
      <c r="S1080" s="2"/>
      <c r="T1080" s="2"/>
    </row>
    <row r="1081" spans="1:20">
      <c r="A1081" s="3"/>
      <c r="B1081" s="3"/>
      <c r="C1081" s="2"/>
      <c r="D1081" s="2"/>
      <c r="E1081" s="64"/>
      <c r="F1081" s="64"/>
      <c r="G1081" s="64"/>
      <c r="H1081" s="64"/>
      <c r="I1081" s="2"/>
      <c r="J1081" s="2"/>
      <c r="K1081" s="2"/>
      <c r="L1081" s="2"/>
      <c r="M1081" s="2"/>
      <c r="N1081" s="2"/>
      <c r="O1081" s="2"/>
      <c r="P1081" s="66"/>
      <c r="Q1081" s="66"/>
      <c r="R1081" s="2"/>
      <c r="S1081" s="2"/>
      <c r="T1081" s="2"/>
    </row>
    <row r="1082" spans="1:20">
      <c r="A1082" s="3"/>
      <c r="B1082" s="3"/>
      <c r="C1082" s="2"/>
      <c r="D1082" s="2"/>
      <c r="E1082" s="64"/>
      <c r="F1082" s="64"/>
      <c r="G1082" s="64"/>
      <c r="H1082" s="64"/>
      <c r="I1082" s="2"/>
      <c r="J1082" s="2"/>
      <c r="K1082" s="2"/>
      <c r="L1082" s="2"/>
      <c r="M1082" s="2"/>
      <c r="N1082" s="2"/>
      <c r="O1082" s="2"/>
      <c r="P1082" s="66"/>
      <c r="Q1082" s="66"/>
      <c r="R1082" s="2"/>
      <c r="S1082" s="2"/>
      <c r="T1082" s="2"/>
    </row>
    <row r="1083" spans="1:20">
      <c r="A1083" s="3"/>
      <c r="B1083" s="3"/>
      <c r="C1083" s="2"/>
      <c r="D1083" s="2"/>
      <c r="E1083" s="64"/>
      <c r="F1083" s="64"/>
      <c r="G1083" s="64"/>
      <c r="H1083" s="64"/>
      <c r="I1083" s="2"/>
      <c r="J1083" s="2"/>
      <c r="K1083" s="2"/>
      <c r="L1083" s="2"/>
      <c r="M1083" s="2"/>
      <c r="N1083" s="2"/>
      <c r="O1083" s="2"/>
      <c r="P1083" s="66"/>
      <c r="Q1083" s="66"/>
      <c r="R1083" s="2"/>
      <c r="S1083" s="2"/>
      <c r="T1083" s="2"/>
    </row>
    <row r="1084" spans="1:20">
      <c r="A1084" s="3"/>
      <c r="B1084" s="3"/>
      <c r="C1084" s="2"/>
      <c r="D1084" s="2"/>
      <c r="E1084" s="64"/>
      <c r="F1084" s="64"/>
      <c r="G1084" s="64"/>
      <c r="H1084" s="64"/>
      <c r="I1084" s="2"/>
      <c r="J1084" s="2"/>
      <c r="K1084" s="2"/>
      <c r="L1084" s="2"/>
      <c r="M1084" s="2"/>
      <c r="N1084" s="2"/>
      <c r="O1084" s="2"/>
      <c r="P1084" s="66"/>
      <c r="Q1084" s="66"/>
      <c r="R1084" s="2"/>
      <c r="S1084" s="2"/>
      <c r="T1084" s="2"/>
    </row>
    <row r="1085" spans="1:20">
      <c r="A1085" s="3"/>
      <c r="B1085" s="3"/>
      <c r="C1085" s="2"/>
      <c r="D1085" s="2"/>
      <c r="E1085" s="64"/>
      <c r="F1085" s="64"/>
      <c r="G1085" s="64"/>
      <c r="H1085" s="64"/>
      <c r="I1085" s="2"/>
      <c r="J1085" s="2"/>
      <c r="K1085" s="2"/>
      <c r="L1085" s="2"/>
      <c r="M1085" s="2"/>
      <c r="N1085" s="2"/>
      <c r="O1085" s="2"/>
      <c r="P1085" s="66"/>
      <c r="Q1085" s="66"/>
      <c r="R1085" s="2"/>
      <c r="S1085" s="2"/>
      <c r="T1085" s="2"/>
    </row>
    <row r="1086" spans="1:20">
      <c r="A1086" s="3"/>
      <c r="B1086" s="3"/>
      <c r="C1086" s="2"/>
      <c r="D1086" s="2"/>
      <c r="E1086" s="64"/>
      <c r="F1086" s="64"/>
      <c r="G1086" s="64"/>
      <c r="H1086" s="64"/>
      <c r="I1086" s="2"/>
      <c r="J1086" s="2"/>
      <c r="K1086" s="2"/>
      <c r="L1086" s="2"/>
      <c r="M1086" s="2"/>
      <c r="N1086" s="2"/>
      <c r="O1086" s="2"/>
      <c r="P1086" s="66"/>
      <c r="Q1086" s="66"/>
      <c r="R1086" s="2"/>
      <c r="S1086" s="2"/>
      <c r="T1086" s="2"/>
    </row>
    <row r="1087" spans="1:20">
      <c r="A1087" s="3"/>
      <c r="B1087" s="3"/>
      <c r="C1087" s="2"/>
      <c r="D1087" s="2"/>
      <c r="E1087" s="64"/>
      <c r="F1087" s="64"/>
      <c r="G1087" s="64"/>
      <c r="H1087" s="64"/>
      <c r="I1087" s="2"/>
      <c r="J1087" s="2"/>
      <c r="K1087" s="2"/>
      <c r="L1087" s="2"/>
      <c r="M1087" s="2"/>
      <c r="N1087" s="2"/>
      <c r="O1087" s="2"/>
      <c r="P1087" s="66"/>
      <c r="Q1087" s="66"/>
      <c r="R1087" s="2"/>
      <c r="S1087" s="2"/>
      <c r="T1087" s="2"/>
    </row>
    <row r="1088" spans="1:20">
      <c r="A1088" s="3"/>
      <c r="B1088" s="3"/>
      <c r="C1088" s="2"/>
      <c r="D1088" s="2"/>
      <c r="E1088" s="64"/>
      <c r="F1088" s="64"/>
      <c r="G1088" s="64"/>
      <c r="H1088" s="64"/>
      <c r="I1088" s="2"/>
      <c r="J1088" s="2"/>
      <c r="K1088" s="2"/>
      <c r="L1088" s="2"/>
      <c r="M1088" s="2"/>
      <c r="N1088" s="2"/>
      <c r="O1088" s="2"/>
      <c r="P1088" s="66"/>
      <c r="Q1088" s="66"/>
      <c r="R1088" s="2"/>
      <c r="S1088" s="2"/>
      <c r="T1088" s="2"/>
    </row>
    <row r="1089" spans="1:20">
      <c r="A1089" s="3"/>
      <c r="B1089" s="3"/>
      <c r="C1089" s="2"/>
      <c r="D1089" s="2"/>
      <c r="E1089" s="64"/>
      <c r="F1089" s="64"/>
      <c r="G1089" s="64"/>
      <c r="H1089" s="64"/>
      <c r="I1089" s="2"/>
      <c r="J1089" s="2"/>
      <c r="K1089" s="2"/>
      <c r="L1089" s="2"/>
      <c r="M1089" s="2"/>
      <c r="N1089" s="2"/>
      <c r="O1089" s="2"/>
      <c r="P1089" s="66"/>
      <c r="Q1089" s="66"/>
      <c r="R1089" s="2"/>
      <c r="S1089" s="2"/>
      <c r="T1089" s="2"/>
    </row>
    <row r="1090" spans="1:20">
      <c r="A1090" s="3"/>
      <c r="B1090" s="3"/>
      <c r="C1090" s="2"/>
      <c r="D1090" s="2"/>
      <c r="E1090" s="64"/>
      <c r="F1090" s="64"/>
      <c r="G1090" s="64"/>
      <c r="H1090" s="64"/>
      <c r="I1090" s="2"/>
      <c r="J1090" s="2"/>
      <c r="K1090" s="2"/>
      <c r="L1090" s="2"/>
      <c r="M1090" s="2"/>
      <c r="N1090" s="2"/>
      <c r="O1090" s="2"/>
      <c r="P1090" s="66"/>
      <c r="Q1090" s="66"/>
      <c r="R1090" s="2"/>
      <c r="S1090" s="2"/>
      <c r="T1090" s="2"/>
    </row>
    <row r="1091" spans="1:20">
      <c r="A1091" s="3"/>
      <c r="B1091" s="3"/>
      <c r="C1091" s="2"/>
      <c r="D1091" s="2"/>
      <c r="E1091" s="64"/>
      <c r="F1091" s="64"/>
      <c r="G1091" s="64"/>
      <c r="H1091" s="64"/>
      <c r="I1091" s="2"/>
      <c r="J1091" s="2"/>
      <c r="K1091" s="2"/>
      <c r="L1091" s="2"/>
      <c r="M1091" s="2"/>
      <c r="N1091" s="2"/>
      <c r="O1091" s="2"/>
      <c r="P1091" s="66"/>
      <c r="Q1091" s="66"/>
      <c r="R1091" s="2"/>
      <c r="S1091" s="2"/>
      <c r="T1091" s="2"/>
    </row>
    <row r="1092" spans="1:20">
      <c r="A1092" s="3"/>
      <c r="B1092" s="3"/>
      <c r="C1092" s="2"/>
      <c r="D1092" s="2"/>
      <c r="E1092" s="64"/>
      <c r="F1092" s="64"/>
      <c r="G1092" s="64"/>
      <c r="H1092" s="64"/>
      <c r="I1092" s="2"/>
      <c r="J1092" s="2"/>
      <c r="K1092" s="2"/>
      <c r="L1092" s="2"/>
      <c r="M1092" s="2"/>
      <c r="N1092" s="2"/>
      <c r="O1092" s="2"/>
      <c r="P1092" s="66"/>
      <c r="Q1092" s="66"/>
      <c r="R1092" s="2"/>
      <c r="S1092" s="2"/>
      <c r="T1092" s="2"/>
    </row>
    <row r="1093" spans="1:20">
      <c r="A1093" s="3"/>
      <c r="B1093" s="3"/>
      <c r="C1093" s="2"/>
      <c r="D1093" s="2"/>
      <c r="E1093" s="64"/>
      <c r="F1093" s="64"/>
      <c r="G1093" s="64"/>
      <c r="H1093" s="64"/>
      <c r="I1093" s="2"/>
      <c r="J1093" s="2"/>
      <c r="K1093" s="2"/>
      <c r="L1093" s="2"/>
      <c r="M1093" s="2"/>
      <c r="N1093" s="2"/>
      <c r="O1093" s="2"/>
      <c r="P1093" s="66"/>
      <c r="Q1093" s="66"/>
      <c r="R1093" s="2"/>
      <c r="S1093" s="2"/>
      <c r="T1093" s="2"/>
    </row>
    <row r="1094" spans="1:20">
      <c r="A1094" s="3"/>
      <c r="B1094" s="3"/>
      <c r="C1094" s="2"/>
      <c r="D1094" s="2"/>
      <c r="E1094" s="64"/>
      <c r="F1094" s="64"/>
      <c r="G1094" s="64"/>
      <c r="H1094" s="64"/>
      <c r="I1094" s="2"/>
      <c r="J1094" s="2"/>
      <c r="K1094" s="2"/>
      <c r="L1094" s="2"/>
      <c r="M1094" s="2"/>
      <c r="N1094" s="2"/>
      <c r="O1094" s="2"/>
      <c r="P1094" s="66"/>
      <c r="Q1094" s="66"/>
      <c r="R1094" s="2"/>
      <c r="S1094" s="2"/>
      <c r="T1094" s="2"/>
    </row>
    <row r="1095" spans="1:20">
      <c r="A1095" s="3"/>
      <c r="B1095" s="3"/>
      <c r="C1095" s="2"/>
      <c r="D1095" s="2"/>
      <c r="E1095" s="64"/>
      <c r="F1095" s="64"/>
      <c r="G1095" s="64"/>
      <c r="H1095" s="64"/>
      <c r="I1095" s="2"/>
      <c r="J1095" s="2"/>
      <c r="K1095" s="2"/>
      <c r="L1095" s="2"/>
      <c r="M1095" s="2"/>
      <c r="N1095" s="2"/>
      <c r="O1095" s="2"/>
      <c r="P1095" s="66"/>
      <c r="Q1095" s="66"/>
      <c r="R1095" s="2"/>
      <c r="S1095" s="2"/>
      <c r="T1095" s="2"/>
    </row>
    <row r="1096" spans="1:20">
      <c r="A1096" s="3"/>
      <c r="B1096" s="3"/>
      <c r="C1096" s="2"/>
      <c r="D1096" s="2"/>
      <c r="E1096" s="64"/>
      <c r="F1096" s="64"/>
      <c r="G1096" s="64"/>
      <c r="H1096" s="64"/>
      <c r="I1096" s="2"/>
      <c r="J1096" s="2"/>
      <c r="K1096" s="2"/>
      <c r="L1096" s="2"/>
      <c r="M1096" s="2"/>
      <c r="N1096" s="2"/>
      <c r="O1096" s="2"/>
      <c r="P1096" s="66"/>
      <c r="Q1096" s="66"/>
      <c r="R1096" s="2"/>
      <c r="S1096" s="2"/>
      <c r="T1096" s="2"/>
    </row>
    <row r="1097" spans="1:20">
      <c r="A1097" s="3"/>
      <c r="B1097" s="3"/>
      <c r="C1097" s="2"/>
      <c r="D1097" s="2"/>
      <c r="E1097" s="64"/>
      <c r="F1097" s="64"/>
      <c r="G1097" s="64"/>
      <c r="H1097" s="64"/>
      <c r="I1097" s="2"/>
      <c r="J1097" s="2"/>
      <c r="K1097" s="2"/>
      <c r="L1097" s="2"/>
      <c r="M1097" s="2"/>
      <c r="N1097" s="2"/>
      <c r="O1097" s="2"/>
      <c r="P1097" s="66"/>
      <c r="Q1097" s="66"/>
      <c r="R1097" s="2"/>
      <c r="S1097" s="2"/>
      <c r="T1097" s="2"/>
    </row>
    <row r="1098" spans="1:20">
      <c r="A1098" s="3"/>
      <c r="B1098" s="3"/>
      <c r="C1098" s="2"/>
      <c r="D1098" s="2"/>
      <c r="E1098" s="64"/>
      <c r="F1098" s="64"/>
      <c r="G1098" s="64"/>
      <c r="H1098" s="64"/>
      <c r="I1098" s="2"/>
      <c r="J1098" s="2"/>
      <c r="K1098" s="2"/>
      <c r="L1098" s="2"/>
      <c r="M1098" s="2"/>
      <c r="N1098" s="2"/>
      <c r="O1098" s="2"/>
      <c r="P1098" s="66"/>
      <c r="Q1098" s="66"/>
      <c r="R1098" s="2"/>
      <c r="S1098" s="2"/>
      <c r="T1098" s="2"/>
    </row>
    <row r="1099" spans="1:20">
      <c r="A1099" s="3"/>
      <c r="B1099" s="3"/>
      <c r="C1099" s="2"/>
      <c r="D1099" s="2"/>
      <c r="E1099" s="64"/>
      <c r="F1099" s="64"/>
      <c r="G1099" s="64"/>
      <c r="H1099" s="64"/>
      <c r="I1099" s="2"/>
      <c r="J1099" s="2"/>
      <c r="K1099" s="2"/>
      <c r="L1099" s="2"/>
      <c r="M1099" s="2"/>
      <c r="N1099" s="2"/>
      <c r="O1099" s="2"/>
      <c r="P1099" s="66"/>
      <c r="Q1099" s="66"/>
      <c r="R1099" s="2"/>
      <c r="S1099" s="2"/>
      <c r="T1099" s="2"/>
    </row>
    <row r="1100" spans="1:20">
      <c r="A1100" s="3"/>
      <c r="B1100" s="3"/>
      <c r="C1100" s="2"/>
      <c r="D1100" s="2"/>
      <c r="E1100" s="64"/>
      <c r="F1100" s="64"/>
      <c r="G1100" s="64"/>
      <c r="H1100" s="64"/>
      <c r="I1100" s="2"/>
      <c r="J1100" s="2"/>
      <c r="K1100" s="2"/>
      <c r="L1100" s="2"/>
      <c r="M1100" s="2"/>
      <c r="N1100" s="2"/>
      <c r="O1100" s="2"/>
      <c r="P1100" s="66"/>
      <c r="Q1100" s="66"/>
      <c r="R1100" s="2"/>
      <c r="S1100" s="2"/>
      <c r="T1100" s="2"/>
    </row>
    <row r="1101" spans="1:20">
      <c r="A1101" s="3"/>
      <c r="B1101" s="3"/>
      <c r="C1101" s="2"/>
      <c r="D1101" s="2"/>
      <c r="E1101" s="64"/>
      <c r="F1101" s="64"/>
      <c r="G1101" s="64"/>
      <c r="H1101" s="64"/>
      <c r="I1101" s="2"/>
      <c r="J1101" s="2"/>
      <c r="K1101" s="2"/>
      <c r="L1101" s="2"/>
      <c r="M1101" s="2"/>
      <c r="N1101" s="2"/>
      <c r="O1101" s="2"/>
      <c r="P1101" s="66"/>
      <c r="Q1101" s="66"/>
      <c r="R1101" s="2"/>
      <c r="S1101" s="2"/>
      <c r="T1101" s="2"/>
    </row>
    <row r="1102" spans="1:20">
      <c r="A1102" s="3"/>
      <c r="B1102" s="3"/>
      <c r="C1102" s="2"/>
      <c r="D1102" s="2"/>
      <c r="E1102" s="64"/>
      <c r="F1102" s="64"/>
      <c r="G1102" s="64"/>
      <c r="H1102" s="64"/>
      <c r="I1102" s="2"/>
      <c r="J1102" s="2"/>
      <c r="K1102" s="2"/>
      <c r="L1102" s="2"/>
      <c r="M1102" s="2"/>
      <c r="N1102" s="2"/>
      <c r="O1102" s="2"/>
      <c r="P1102" s="66"/>
      <c r="Q1102" s="66"/>
      <c r="R1102" s="2"/>
      <c r="S1102" s="2"/>
      <c r="T1102" s="2"/>
    </row>
    <row r="1103" spans="1:20">
      <c r="A1103" s="3"/>
      <c r="B1103" s="3"/>
      <c r="C1103" s="2"/>
      <c r="D1103" s="2"/>
      <c r="E1103" s="64"/>
      <c r="F1103" s="64"/>
      <c r="G1103" s="64"/>
      <c r="H1103" s="64"/>
      <c r="I1103" s="2"/>
      <c r="J1103" s="2"/>
      <c r="K1103" s="2"/>
      <c r="L1103" s="2"/>
      <c r="M1103" s="2"/>
      <c r="N1103" s="2"/>
      <c r="O1103" s="2"/>
      <c r="P1103" s="66"/>
      <c r="Q1103" s="66"/>
      <c r="R1103" s="2"/>
      <c r="S1103" s="2"/>
      <c r="T1103" s="2"/>
    </row>
    <row r="1104" spans="1:20">
      <c r="A1104" s="3"/>
      <c r="B1104" s="3"/>
      <c r="C1104" s="2"/>
      <c r="D1104" s="2"/>
      <c r="E1104" s="64"/>
      <c r="F1104" s="64"/>
      <c r="G1104" s="64"/>
      <c r="H1104" s="64"/>
      <c r="I1104" s="2"/>
      <c r="J1104" s="2"/>
      <c r="K1104" s="2"/>
      <c r="L1104" s="2"/>
      <c r="M1104" s="2"/>
      <c r="N1104" s="2"/>
      <c r="O1104" s="2"/>
      <c r="P1104" s="66"/>
      <c r="Q1104" s="66"/>
      <c r="R1104" s="2"/>
      <c r="S1104" s="2"/>
      <c r="T1104" s="2"/>
    </row>
    <row r="1105" spans="1:20">
      <c r="A1105" s="3"/>
      <c r="B1105" s="3"/>
      <c r="C1105" s="2"/>
      <c r="D1105" s="2"/>
      <c r="E1105" s="64"/>
      <c r="F1105" s="64"/>
      <c r="G1105" s="64"/>
      <c r="H1105" s="64"/>
      <c r="I1105" s="2"/>
      <c r="J1105" s="2"/>
      <c r="K1105" s="2"/>
      <c r="L1105" s="2"/>
      <c r="M1105" s="2"/>
      <c r="N1105" s="2"/>
      <c r="O1105" s="2"/>
      <c r="P1105" s="66"/>
      <c r="Q1105" s="66"/>
      <c r="R1105" s="2"/>
      <c r="S1105" s="2"/>
      <c r="T1105" s="2"/>
    </row>
    <row r="1106" spans="1:20">
      <c r="A1106" s="3"/>
      <c r="B1106" s="3"/>
      <c r="C1106" s="2"/>
      <c r="D1106" s="2"/>
      <c r="E1106" s="64"/>
      <c r="F1106" s="64"/>
      <c r="G1106" s="64"/>
      <c r="H1106" s="64"/>
      <c r="I1106" s="2"/>
      <c r="J1106" s="2"/>
      <c r="K1106" s="2"/>
      <c r="L1106" s="2"/>
      <c r="M1106" s="2"/>
      <c r="N1106" s="2"/>
      <c r="O1106" s="2"/>
      <c r="P1106" s="66"/>
      <c r="Q1106" s="66"/>
      <c r="R1106" s="2"/>
      <c r="S1106" s="2"/>
      <c r="T1106" s="2"/>
    </row>
    <row r="1107" spans="1:20">
      <c r="A1107" s="3"/>
      <c r="B1107" s="3"/>
      <c r="C1107" s="2"/>
      <c r="D1107" s="2"/>
      <c r="E1107" s="64"/>
      <c r="F1107" s="64"/>
      <c r="G1107" s="64"/>
      <c r="H1107" s="64"/>
      <c r="I1107" s="2"/>
      <c r="J1107" s="2"/>
      <c r="K1107" s="2"/>
      <c r="L1107" s="2"/>
      <c r="M1107" s="2"/>
      <c r="N1107" s="2"/>
      <c r="O1107" s="2"/>
      <c r="P1107" s="66"/>
      <c r="Q1107" s="66"/>
      <c r="R1107" s="2"/>
      <c r="S1107" s="2"/>
      <c r="T1107" s="2"/>
    </row>
    <row r="1108" spans="1:20">
      <c r="A1108" s="3"/>
      <c r="B1108" s="3"/>
      <c r="C1108" s="2"/>
      <c r="D1108" s="2"/>
      <c r="E1108" s="64"/>
      <c r="F1108" s="64"/>
      <c r="G1108" s="64"/>
      <c r="H1108" s="64"/>
      <c r="I1108" s="2"/>
      <c r="J1108" s="2"/>
      <c r="K1108" s="2"/>
      <c r="L1108" s="2"/>
      <c r="M1108" s="2"/>
      <c r="N1108" s="2"/>
      <c r="O1108" s="2"/>
      <c r="P1108" s="66"/>
      <c r="Q1108" s="66"/>
      <c r="R1108" s="2"/>
      <c r="S1108" s="2"/>
      <c r="T1108" s="2"/>
    </row>
    <row r="1109" spans="1:20">
      <c r="A1109" s="3"/>
      <c r="B1109" s="3"/>
      <c r="C1109" s="2"/>
      <c r="D1109" s="2"/>
      <c r="E1109" s="64"/>
      <c r="F1109" s="64"/>
      <c r="G1109" s="64"/>
      <c r="H1109" s="64"/>
      <c r="I1109" s="2"/>
      <c r="J1109" s="2"/>
      <c r="K1109" s="2"/>
      <c r="L1109" s="2"/>
      <c r="M1109" s="2"/>
      <c r="N1109" s="2"/>
      <c r="O1109" s="2"/>
      <c r="P1109" s="66"/>
      <c r="Q1109" s="66"/>
      <c r="R1109" s="2"/>
      <c r="S1109" s="2"/>
      <c r="T1109" s="2"/>
    </row>
    <row r="1110" spans="1:20">
      <c r="A1110" s="3"/>
      <c r="B1110" s="3"/>
      <c r="C1110" s="2"/>
      <c r="D1110" s="2"/>
      <c r="E1110" s="64"/>
      <c r="F1110" s="64"/>
      <c r="G1110" s="64"/>
      <c r="H1110" s="64"/>
      <c r="I1110" s="2"/>
      <c r="J1110" s="2"/>
      <c r="K1110" s="2"/>
      <c r="L1110" s="2"/>
      <c r="M1110" s="2"/>
      <c r="N1110" s="2"/>
      <c r="O1110" s="2"/>
      <c r="P1110" s="66"/>
      <c r="Q1110" s="66"/>
      <c r="R1110" s="2"/>
      <c r="S1110" s="2"/>
      <c r="T1110" s="2"/>
    </row>
    <row r="1111" spans="1:20">
      <c r="A1111" s="3"/>
      <c r="B1111" s="3"/>
      <c r="C1111" s="2"/>
      <c r="D1111" s="2"/>
      <c r="E1111" s="64"/>
      <c r="F1111" s="64"/>
      <c r="G1111" s="64"/>
      <c r="H1111" s="64"/>
      <c r="I1111" s="2"/>
      <c r="J1111" s="2"/>
      <c r="K1111" s="2"/>
      <c r="L1111" s="2"/>
      <c r="M1111" s="2"/>
      <c r="N1111" s="2"/>
      <c r="O1111" s="2"/>
      <c r="P1111" s="66"/>
      <c r="Q1111" s="66"/>
      <c r="R1111" s="2"/>
      <c r="S1111" s="2"/>
      <c r="T1111" s="2"/>
    </row>
    <row r="1112" spans="1:20">
      <c r="A1112" s="3"/>
      <c r="B1112" s="3"/>
      <c r="C1112" s="2"/>
      <c r="D1112" s="2"/>
      <c r="E1112" s="64"/>
      <c r="F1112" s="64"/>
      <c r="G1112" s="64"/>
      <c r="H1112" s="64"/>
      <c r="I1112" s="2"/>
      <c r="J1112" s="2"/>
      <c r="K1112" s="2"/>
      <c r="L1112" s="2"/>
      <c r="M1112" s="2"/>
      <c r="N1112" s="2"/>
      <c r="O1112" s="2"/>
      <c r="P1112" s="66"/>
      <c r="Q1112" s="66"/>
      <c r="R1112" s="2"/>
      <c r="S1112" s="2"/>
      <c r="T1112" s="2"/>
    </row>
    <row r="1113" spans="1:20">
      <c r="A1113" s="3"/>
      <c r="B1113" s="3"/>
      <c r="C1113" s="2"/>
      <c r="D1113" s="2"/>
      <c r="E1113" s="64"/>
      <c r="F1113" s="64"/>
      <c r="G1113" s="64"/>
      <c r="H1113" s="64"/>
      <c r="I1113" s="2"/>
      <c r="J1113" s="2"/>
      <c r="K1113" s="2"/>
      <c r="L1113" s="2"/>
      <c r="M1113" s="2"/>
      <c r="N1113" s="2"/>
      <c r="O1113" s="2"/>
      <c r="P1113" s="66"/>
      <c r="Q1113" s="66"/>
      <c r="R1113" s="2"/>
      <c r="S1113" s="2"/>
      <c r="T1113" s="2"/>
    </row>
    <row r="1114" spans="1:20">
      <c r="A1114" s="3"/>
      <c r="B1114" s="3"/>
      <c r="C1114" s="2"/>
      <c r="D1114" s="2"/>
      <c r="E1114" s="64"/>
      <c r="F1114" s="64"/>
      <c r="G1114" s="64"/>
      <c r="H1114" s="64"/>
      <c r="I1114" s="2"/>
      <c r="J1114" s="2"/>
      <c r="K1114" s="2"/>
      <c r="L1114" s="2"/>
      <c r="M1114" s="2"/>
      <c r="N1114" s="2"/>
      <c r="O1114" s="2"/>
      <c r="P1114" s="66"/>
      <c r="Q1114" s="66"/>
      <c r="R1114" s="2"/>
      <c r="S1114" s="2"/>
      <c r="T1114" s="2"/>
    </row>
    <row r="1115" spans="1:20">
      <c r="A1115" s="3"/>
      <c r="B1115" s="3"/>
      <c r="C1115" s="2"/>
      <c r="D1115" s="2"/>
      <c r="E1115" s="64"/>
      <c r="F1115" s="64"/>
      <c r="G1115" s="64"/>
      <c r="H1115" s="64"/>
      <c r="I1115" s="2"/>
      <c r="J1115" s="2"/>
      <c r="K1115" s="2"/>
      <c r="L1115" s="2"/>
      <c r="M1115" s="2"/>
      <c r="N1115" s="2"/>
      <c r="O1115" s="2"/>
      <c r="P1115" s="66"/>
      <c r="Q1115" s="66"/>
      <c r="R1115" s="2"/>
      <c r="S1115" s="2"/>
      <c r="T1115" s="2"/>
    </row>
    <row r="1116" spans="1:20">
      <c r="A1116" s="3"/>
      <c r="B1116" s="3"/>
      <c r="C1116" s="2"/>
      <c r="D1116" s="2"/>
      <c r="E1116" s="64"/>
      <c r="F1116" s="64"/>
      <c r="G1116" s="64"/>
      <c r="H1116" s="64"/>
      <c r="I1116" s="2"/>
      <c r="J1116" s="2"/>
      <c r="K1116" s="2"/>
      <c r="L1116" s="2"/>
      <c r="M1116" s="2"/>
      <c r="N1116" s="2"/>
      <c r="O1116" s="2"/>
      <c r="P1116" s="66"/>
      <c r="Q1116" s="66"/>
      <c r="R1116" s="2"/>
      <c r="S1116" s="2"/>
      <c r="T1116" s="2"/>
    </row>
    <row r="1117" spans="1:20">
      <c r="A1117" s="3"/>
      <c r="B1117" s="3"/>
      <c r="C1117" s="2"/>
      <c r="D1117" s="2"/>
      <c r="E1117" s="64"/>
      <c r="F1117" s="64"/>
      <c r="G1117" s="64"/>
      <c r="H1117" s="64"/>
      <c r="I1117" s="2"/>
      <c r="J1117" s="2"/>
      <c r="K1117" s="2"/>
      <c r="L1117" s="2"/>
      <c r="M1117" s="2"/>
      <c r="N1117" s="2"/>
      <c r="O1117" s="2"/>
      <c r="P1117" s="66"/>
      <c r="Q1117" s="66"/>
      <c r="R1117" s="2"/>
      <c r="S1117" s="2"/>
      <c r="T1117" s="2"/>
    </row>
    <row r="1118" spans="1:20">
      <c r="A1118" s="3"/>
      <c r="B1118" s="3"/>
      <c r="C1118" s="2"/>
      <c r="D1118" s="2"/>
      <c r="E1118" s="64"/>
      <c r="F1118" s="64"/>
      <c r="G1118" s="64"/>
      <c r="H1118" s="64"/>
      <c r="I1118" s="2"/>
      <c r="J1118" s="2"/>
      <c r="K1118" s="2"/>
      <c r="L1118" s="2"/>
      <c r="M1118" s="2"/>
      <c r="N1118" s="2"/>
      <c r="O1118" s="2"/>
      <c r="P1118" s="66"/>
      <c r="Q1118" s="66"/>
      <c r="R1118" s="2"/>
      <c r="S1118" s="2"/>
      <c r="T1118" s="2"/>
    </row>
    <row r="1119" spans="1:20">
      <c r="A1119" s="3"/>
      <c r="B1119" s="3"/>
      <c r="C1119" s="2"/>
      <c r="D1119" s="2"/>
      <c r="E1119" s="64"/>
      <c r="F1119" s="64"/>
      <c r="G1119" s="64"/>
      <c r="H1119" s="64"/>
      <c r="I1119" s="2"/>
      <c r="J1119" s="2"/>
      <c r="K1119" s="2"/>
      <c r="L1119" s="2"/>
      <c r="M1119" s="2"/>
      <c r="N1119" s="2"/>
      <c r="O1119" s="2"/>
      <c r="P1119" s="66"/>
      <c r="Q1119" s="66"/>
      <c r="R1119" s="2"/>
      <c r="S1119" s="2"/>
      <c r="T1119" s="2"/>
    </row>
    <row r="1120" spans="1:20">
      <c r="A1120" s="3"/>
      <c r="B1120" s="3"/>
      <c r="C1120" s="2"/>
      <c r="D1120" s="2"/>
      <c r="E1120" s="64"/>
      <c r="F1120" s="64"/>
      <c r="G1120" s="64"/>
      <c r="H1120" s="64"/>
      <c r="I1120" s="2"/>
      <c r="J1120" s="2"/>
      <c r="K1120" s="2"/>
      <c r="L1120" s="2"/>
      <c r="M1120" s="2"/>
      <c r="N1120" s="2"/>
      <c r="O1120" s="2"/>
      <c r="P1120" s="66"/>
      <c r="Q1120" s="66"/>
      <c r="R1120" s="2"/>
      <c r="S1120" s="2"/>
      <c r="T1120" s="2"/>
    </row>
    <row r="1121" spans="1:20">
      <c r="A1121" s="3"/>
      <c r="B1121" s="3"/>
      <c r="C1121" s="2"/>
      <c r="D1121" s="2"/>
      <c r="E1121" s="64"/>
      <c r="F1121" s="64"/>
      <c r="G1121" s="64"/>
      <c r="H1121" s="64"/>
      <c r="I1121" s="2"/>
      <c r="J1121" s="2"/>
      <c r="K1121" s="2"/>
      <c r="L1121" s="2"/>
      <c r="M1121" s="2"/>
      <c r="N1121" s="2"/>
      <c r="O1121" s="2"/>
      <c r="P1121" s="66"/>
      <c r="Q1121" s="66"/>
      <c r="R1121" s="2"/>
      <c r="S1121" s="2"/>
      <c r="T1121" s="2"/>
    </row>
    <row r="1122" spans="1:20">
      <c r="A1122" s="3"/>
      <c r="B1122" s="3"/>
      <c r="C1122" s="2"/>
      <c r="D1122" s="2"/>
      <c r="E1122" s="64"/>
      <c r="F1122" s="64"/>
      <c r="G1122" s="64"/>
      <c r="H1122" s="64"/>
      <c r="I1122" s="2"/>
      <c r="J1122" s="2"/>
      <c r="K1122" s="2"/>
      <c r="L1122" s="2"/>
      <c r="M1122" s="2"/>
      <c r="N1122" s="2"/>
      <c r="O1122" s="2"/>
      <c r="P1122" s="66"/>
      <c r="Q1122" s="66"/>
      <c r="R1122" s="2"/>
      <c r="S1122" s="2"/>
      <c r="T1122" s="2"/>
    </row>
    <row r="1123" spans="1:20">
      <c r="A1123" s="3"/>
      <c r="B1123" s="3"/>
      <c r="C1123" s="2"/>
      <c r="D1123" s="2"/>
      <c r="E1123" s="64"/>
      <c r="F1123" s="64"/>
      <c r="G1123" s="64"/>
      <c r="H1123" s="64"/>
      <c r="I1123" s="2"/>
      <c r="J1123" s="2"/>
      <c r="K1123" s="2"/>
      <c r="L1123" s="2"/>
      <c r="M1123" s="2"/>
      <c r="N1123" s="2"/>
      <c r="O1123" s="2"/>
      <c r="P1123" s="66"/>
      <c r="Q1123" s="66"/>
      <c r="R1123" s="2"/>
      <c r="S1123" s="2"/>
      <c r="T1123" s="2"/>
    </row>
    <row r="1124" spans="1:20">
      <c r="A1124" s="3"/>
      <c r="B1124" s="3"/>
      <c r="C1124" s="2"/>
      <c r="D1124" s="2"/>
      <c r="E1124" s="64"/>
      <c r="F1124" s="64"/>
      <c r="G1124" s="64"/>
      <c r="H1124" s="64"/>
      <c r="I1124" s="2"/>
      <c r="J1124" s="2"/>
      <c r="K1124" s="2"/>
      <c r="L1124" s="2"/>
      <c r="M1124" s="2"/>
      <c r="N1124" s="2"/>
      <c r="O1124" s="2"/>
      <c r="P1124" s="66"/>
      <c r="Q1124" s="66"/>
      <c r="R1124" s="2"/>
      <c r="S1124" s="2"/>
      <c r="T1124" s="2"/>
    </row>
    <row r="1125" spans="1:20">
      <c r="A1125" s="3"/>
      <c r="B1125" s="3"/>
      <c r="C1125" s="2"/>
      <c r="D1125" s="2"/>
      <c r="E1125" s="64"/>
      <c r="F1125" s="64"/>
      <c r="G1125" s="64"/>
      <c r="H1125" s="64"/>
      <c r="I1125" s="2"/>
      <c r="J1125" s="2"/>
      <c r="K1125" s="2"/>
      <c r="L1125" s="2"/>
      <c r="M1125" s="2"/>
      <c r="N1125" s="2"/>
      <c r="O1125" s="2"/>
      <c r="P1125" s="66"/>
      <c r="Q1125" s="66"/>
      <c r="R1125" s="2"/>
      <c r="S1125" s="2"/>
      <c r="T1125" s="2"/>
    </row>
    <row r="1126" spans="1:20">
      <c r="A1126" s="3"/>
      <c r="B1126" s="3"/>
      <c r="C1126" s="2"/>
      <c r="D1126" s="2"/>
      <c r="E1126" s="64"/>
      <c r="F1126" s="64"/>
      <c r="G1126" s="64"/>
      <c r="H1126" s="64"/>
      <c r="I1126" s="2"/>
      <c r="J1126" s="2"/>
      <c r="K1126" s="2"/>
      <c r="L1126" s="2"/>
      <c r="M1126" s="2"/>
      <c r="N1126" s="2"/>
      <c r="O1126" s="2"/>
      <c r="P1126" s="66"/>
      <c r="Q1126" s="66"/>
      <c r="R1126" s="2"/>
      <c r="S1126" s="2"/>
      <c r="T1126" s="2"/>
    </row>
    <row r="1127" spans="1:20">
      <c r="A1127" s="3"/>
      <c r="B1127" s="3"/>
      <c r="C1127" s="2"/>
      <c r="D1127" s="2"/>
      <c r="E1127" s="64"/>
      <c r="F1127" s="64"/>
      <c r="G1127" s="64"/>
      <c r="H1127" s="64"/>
      <c r="I1127" s="2"/>
      <c r="J1127" s="2"/>
      <c r="K1127" s="2"/>
      <c r="L1127" s="2"/>
      <c r="M1127" s="2"/>
      <c r="N1127" s="2"/>
      <c r="O1127" s="2"/>
      <c r="P1127" s="66"/>
      <c r="Q1127" s="66"/>
      <c r="R1127" s="2"/>
      <c r="S1127" s="2"/>
      <c r="T1127" s="2"/>
    </row>
    <row r="1128" spans="1:20">
      <c r="A1128" s="3"/>
      <c r="B1128" s="3"/>
      <c r="C1128" s="2"/>
      <c r="D1128" s="2"/>
      <c r="E1128" s="64"/>
      <c r="F1128" s="64"/>
      <c r="G1128" s="64"/>
      <c r="H1128" s="64"/>
      <c r="I1128" s="2"/>
      <c r="J1128" s="2"/>
      <c r="K1128" s="2"/>
      <c r="L1128" s="2"/>
      <c r="M1128" s="2"/>
      <c r="N1128" s="2"/>
      <c r="O1128" s="2"/>
      <c r="P1128" s="66"/>
      <c r="Q1128" s="66"/>
      <c r="R1128" s="2"/>
      <c r="S1128" s="2"/>
      <c r="T1128" s="2"/>
    </row>
    <row r="1129" spans="1:20">
      <c r="A1129" s="3"/>
      <c r="B1129" s="3"/>
      <c r="C1129" s="2"/>
      <c r="D1129" s="2"/>
      <c r="E1129" s="64"/>
      <c r="F1129" s="64"/>
      <c r="G1129" s="64"/>
      <c r="H1129" s="64"/>
      <c r="I1129" s="2"/>
      <c r="J1129" s="2"/>
      <c r="K1129" s="2"/>
      <c r="L1129" s="2"/>
      <c r="M1129" s="2"/>
      <c r="N1129" s="2"/>
      <c r="O1129" s="2"/>
      <c r="P1129" s="66"/>
      <c r="Q1129" s="66"/>
      <c r="R1129" s="2"/>
      <c r="S1129" s="2"/>
      <c r="T1129" s="2"/>
    </row>
    <row r="1130" spans="1:20">
      <c r="A1130" s="3"/>
      <c r="B1130" s="3"/>
      <c r="C1130" s="2"/>
      <c r="D1130" s="2"/>
      <c r="E1130" s="64"/>
      <c r="F1130" s="64"/>
      <c r="G1130" s="64"/>
      <c r="H1130" s="64"/>
      <c r="I1130" s="2"/>
      <c r="J1130" s="2"/>
      <c r="K1130" s="2"/>
      <c r="L1130" s="2"/>
      <c r="M1130" s="2"/>
      <c r="N1130" s="2"/>
      <c r="O1130" s="2"/>
      <c r="P1130" s="66"/>
      <c r="Q1130" s="66"/>
      <c r="R1130" s="2"/>
      <c r="S1130" s="2"/>
      <c r="T1130" s="2"/>
    </row>
    <row r="1131" spans="1:20">
      <c r="A1131" s="3"/>
      <c r="B1131" s="3"/>
      <c r="C1131" s="2"/>
      <c r="D1131" s="2"/>
      <c r="E1131" s="64"/>
      <c r="F1131" s="64"/>
      <c r="G1131" s="64"/>
      <c r="H1131" s="64"/>
      <c r="I1131" s="2"/>
      <c r="J1131" s="2"/>
      <c r="K1131" s="2"/>
      <c r="L1131" s="2"/>
      <c r="M1131" s="2"/>
      <c r="N1131" s="2"/>
      <c r="O1131" s="2"/>
      <c r="P1131" s="66"/>
      <c r="Q1131" s="66"/>
      <c r="R1131" s="2"/>
      <c r="S1131" s="2"/>
      <c r="T1131" s="2"/>
    </row>
    <row r="1132" spans="1:20">
      <c r="A1132" s="3"/>
      <c r="B1132" s="3"/>
      <c r="C1132" s="2"/>
      <c r="D1132" s="2"/>
      <c r="E1132" s="64"/>
      <c r="F1132" s="64"/>
      <c r="G1132" s="64"/>
      <c r="H1132" s="64"/>
      <c r="I1132" s="2"/>
      <c r="J1132" s="2"/>
      <c r="K1132" s="2"/>
      <c r="L1132" s="2"/>
      <c r="M1132" s="2"/>
      <c r="N1132" s="2"/>
      <c r="O1132" s="2"/>
      <c r="P1132" s="66"/>
      <c r="Q1132" s="66"/>
      <c r="R1132" s="2"/>
      <c r="S1132" s="2"/>
      <c r="T1132" s="2"/>
    </row>
    <row r="1133" spans="1:20">
      <c r="A1133" s="3"/>
      <c r="B1133" s="3"/>
      <c r="C1133" s="2"/>
      <c r="D1133" s="2"/>
      <c r="E1133" s="64"/>
      <c r="F1133" s="64"/>
      <c r="G1133" s="64"/>
      <c r="H1133" s="64"/>
      <c r="I1133" s="2"/>
      <c r="J1133" s="2"/>
      <c r="K1133" s="2"/>
      <c r="L1133" s="2"/>
      <c r="M1133" s="2"/>
      <c r="N1133" s="2"/>
      <c r="O1133" s="2"/>
      <c r="P1133" s="66"/>
      <c r="Q1133" s="66"/>
      <c r="R1133" s="2"/>
      <c r="S1133" s="2"/>
      <c r="T1133" s="2"/>
    </row>
    <row r="1134" spans="1:20">
      <c r="A1134" s="3"/>
      <c r="B1134" s="3"/>
      <c r="C1134" s="2"/>
      <c r="D1134" s="2"/>
      <c r="E1134" s="64"/>
      <c r="F1134" s="64"/>
      <c r="G1134" s="64"/>
      <c r="H1134" s="64"/>
      <c r="I1134" s="2"/>
      <c r="J1134" s="2"/>
      <c r="K1134" s="2"/>
      <c r="L1134" s="2"/>
      <c r="M1134" s="2"/>
      <c r="N1134" s="2"/>
      <c r="O1134" s="2"/>
      <c r="P1134" s="66"/>
      <c r="Q1134" s="66"/>
      <c r="R1134" s="2"/>
    </row>
    <row r="1135" spans="1:20">
      <c r="A1135" s="3"/>
      <c r="B1135" s="3"/>
      <c r="C1135" s="2"/>
      <c r="D1135" s="2"/>
      <c r="E1135" s="64"/>
      <c r="F1135" s="64"/>
      <c r="G1135" s="64"/>
      <c r="H1135" s="64"/>
      <c r="I1135" s="2"/>
      <c r="J1135" s="2"/>
      <c r="K1135" s="2"/>
      <c r="L1135" s="2"/>
      <c r="M1135" s="2"/>
      <c r="N1135" s="2"/>
      <c r="O1135" s="2"/>
      <c r="P1135" s="66"/>
      <c r="Q1135" s="66"/>
      <c r="R1135" s="2"/>
    </row>
    <row r="1136" spans="1:20">
      <c r="A1136" s="3"/>
      <c r="B1136" s="3"/>
      <c r="C1136" s="2"/>
      <c r="D1136" s="2"/>
      <c r="E1136" s="64"/>
      <c r="F1136" s="64"/>
      <c r="G1136" s="64"/>
      <c r="H1136" s="64"/>
      <c r="I1136" s="2"/>
      <c r="J1136" s="2"/>
      <c r="K1136" s="2"/>
      <c r="L1136" s="2"/>
      <c r="M1136" s="2"/>
      <c r="N1136" s="2"/>
      <c r="O1136" s="2"/>
      <c r="P1136" s="66"/>
      <c r="Q1136" s="66"/>
      <c r="R1136" s="2"/>
    </row>
    <row r="1137" spans="1:18">
      <c r="A1137" s="3"/>
      <c r="B1137" s="3"/>
      <c r="C1137" s="2"/>
      <c r="D1137" s="2"/>
      <c r="E1137" s="64"/>
      <c r="F1137" s="64"/>
      <c r="G1137" s="64"/>
      <c r="H1137" s="64"/>
      <c r="I1137" s="2"/>
      <c r="J1137" s="2"/>
      <c r="K1137" s="2"/>
      <c r="L1137" s="2"/>
      <c r="M1137" s="2"/>
      <c r="N1137" s="2"/>
      <c r="O1137" s="2"/>
      <c r="P1137" s="66"/>
      <c r="Q1137" s="66"/>
      <c r="R1137" s="2"/>
    </row>
    <row r="1138" spans="1:18">
      <c r="A1138" s="3"/>
      <c r="B1138" s="3"/>
      <c r="C1138" s="2"/>
      <c r="D1138" s="2"/>
      <c r="E1138" s="64"/>
      <c r="F1138" s="64"/>
      <c r="G1138" s="64"/>
      <c r="H1138" s="64"/>
      <c r="I1138" s="2"/>
      <c r="J1138" s="2"/>
      <c r="K1138" s="2"/>
      <c r="L1138" s="2"/>
      <c r="M1138" s="2"/>
      <c r="N1138" s="2"/>
      <c r="O1138" s="2"/>
      <c r="P1138" s="66"/>
      <c r="Q1138" s="66"/>
      <c r="R1138" s="2"/>
    </row>
    <row r="1139" spans="1:18">
      <c r="A1139" s="3"/>
      <c r="B1139" s="3"/>
      <c r="C1139" s="2"/>
      <c r="D1139" s="2"/>
      <c r="E1139" s="64"/>
      <c r="F1139" s="64"/>
      <c r="G1139" s="64"/>
      <c r="H1139" s="64"/>
      <c r="I1139" s="2"/>
      <c r="J1139" s="2"/>
      <c r="K1139" s="2"/>
      <c r="L1139" s="2"/>
      <c r="M1139" s="2"/>
      <c r="N1139" s="2"/>
      <c r="O1139" s="2"/>
      <c r="P1139" s="66"/>
      <c r="Q1139" s="66"/>
      <c r="R1139" s="2"/>
    </row>
    <row r="1140" spans="1:18">
      <c r="A1140" s="3"/>
      <c r="B1140" s="3"/>
      <c r="C1140" s="2"/>
      <c r="D1140" s="2"/>
      <c r="E1140" s="64"/>
      <c r="F1140" s="64"/>
      <c r="G1140" s="64"/>
      <c r="H1140" s="64"/>
      <c r="I1140" s="2"/>
      <c r="J1140" s="2"/>
      <c r="K1140" s="2"/>
      <c r="L1140" s="2"/>
      <c r="M1140" s="2"/>
      <c r="N1140" s="2"/>
      <c r="O1140" s="2"/>
      <c r="P1140" s="66"/>
      <c r="Q1140" s="66"/>
      <c r="R1140" s="2"/>
    </row>
    <row r="1141" spans="1:18">
      <c r="A1141" s="3"/>
      <c r="B1141" s="3"/>
      <c r="C1141" s="2"/>
      <c r="D1141" s="2"/>
      <c r="E1141" s="64"/>
      <c r="F1141" s="64"/>
      <c r="G1141" s="64"/>
      <c r="H1141" s="64"/>
      <c r="I1141" s="2"/>
      <c r="J1141" s="2"/>
      <c r="K1141" s="2"/>
      <c r="L1141" s="2"/>
      <c r="M1141" s="2"/>
      <c r="N1141" s="2"/>
      <c r="O1141" s="2"/>
      <c r="P1141" s="66"/>
      <c r="Q1141" s="66"/>
      <c r="R1141" s="2"/>
    </row>
    <row r="1142" spans="1:18">
      <c r="A1142" s="3"/>
      <c r="B1142" s="3"/>
      <c r="C1142" s="2"/>
      <c r="D1142" s="2"/>
      <c r="E1142" s="64"/>
      <c r="F1142" s="64"/>
      <c r="G1142" s="64"/>
      <c r="H1142" s="64"/>
      <c r="I1142" s="2"/>
      <c r="J1142" s="2"/>
      <c r="K1142" s="2"/>
      <c r="L1142" s="2"/>
      <c r="M1142" s="2"/>
      <c r="N1142" s="2"/>
      <c r="O1142" s="2"/>
      <c r="P1142" s="66"/>
      <c r="Q1142" s="66"/>
      <c r="R1142" s="2"/>
    </row>
    <row r="1143" spans="1:18">
      <c r="A1143" s="3"/>
      <c r="B1143" s="3"/>
      <c r="C1143" s="2"/>
      <c r="D1143" s="2"/>
      <c r="E1143" s="64"/>
      <c r="F1143" s="64"/>
      <c r="G1143" s="64"/>
      <c r="H1143" s="64"/>
      <c r="I1143" s="2"/>
      <c r="J1143" s="2"/>
      <c r="K1143" s="2"/>
      <c r="L1143" s="2"/>
      <c r="M1143" s="2"/>
      <c r="N1143" s="2"/>
      <c r="O1143" s="2"/>
      <c r="P1143" s="66"/>
      <c r="Q1143" s="66"/>
      <c r="R1143" s="2"/>
    </row>
    <row r="1144" spans="1:18">
      <c r="A1144" s="3"/>
      <c r="B1144" s="3"/>
      <c r="C1144" s="2"/>
      <c r="D1144" s="2"/>
      <c r="E1144" s="64"/>
      <c r="F1144" s="64"/>
      <c r="G1144" s="64"/>
      <c r="H1144" s="64"/>
      <c r="I1144" s="2"/>
      <c r="J1144" s="2"/>
      <c r="K1144" s="2"/>
      <c r="L1144" s="2"/>
      <c r="M1144" s="2"/>
      <c r="N1144" s="2"/>
      <c r="O1144" s="2"/>
      <c r="P1144" s="66"/>
      <c r="Q1144" s="66"/>
      <c r="R1144" s="2"/>
    </row>
    <row r="1145" spans="1:18">
      <c r="A1145" s="3"/>
      <c r="B1145" s="3"/>
      <c r="C1145" s="2"/>
      <c r="D1145" s="2"/>
      <c r="E1145" s="64"/>
      <c r="F1145" s="64"/>
      <c r="G1145" s="64"/>
      <c r="H1145" s="64"/>
      <c r="I1145" s="2"/>
      <c r="J1145" s="2"/>
      <c r="K1145" s="2"/>
      <c r="L1145" s="2"/>
      <c r="M1145" s="2"/>
      <c r="N1145" s="2"/>
      <c r="O1145" s="2"/>
      <c r="P1145" s="66"/>
      <c r="Q1145" s="66"/>
      <c r="R1145" s="2"/>
    </row>
    <row r="1146" spans="1:18">
      <c r="A1146" s="3"/>
      <c r="B1146" s="3"/>
      <c r="C1146" s="2"/>
      <c r="D1146" s="2"/>
      <c r="E1146" s="64"/>
      <c r="F1146" s="64"/>
      <c r="G1146" s="64"/>
      <c r="H1146" s="64"/>
      <c r="I1146" s="2"/>
      <c r="J1146" s="2"/>
      <c r="K1146" s="2"/>
      <c r="L1146" s="2"/>
      <c r="M1146" s="2"/>
      <c r="N1146" s="2"/>
      <c r="O1146" s="2"/>
      <c r="P1146" s="66"/>
      <c r="Q1146" s="66"/>
      <c r="R1146" s="2"/>
    </row>
    <row r="1147" spans="1:18">
      <c r="A1147" s="3"/>
      <c r="B1147" s="3"/>
      <c r="C1147" s="2"/>
      <c r="D1147" s="2"/>
      <c r="E1147" s="64"/>
      <c r="F1147" s="64"/>
      <c r="G1147" s="64"/>
      <c r="H1147" s="64"/>
      <c r="I1147" s="2"/>
      <c r="J1147" s="2"/>
      <c r="K1147" s="2"/>
      <c r="L1147" s="2"/>
      <c r="M1147" s="2"/>
      <c r="N1147" s="2"/>
      <c r="O1147" s="2"/>
      <c r="P1147" s="66"/>
      <c r="Q1147" s="66"/>
      <c r="R1147" s="2"/>
    </row>
    <row r="1148" spans="1:18">
      <c r="A1148" s="3"/>
      <c r="B1148" s="3"/>
      <c r="C1148" s="2"/>
      <c r="D1148" s="2"/>
      <c r="E1148" s="64"/>
      <c r="F1148" s="64"/>
      <c r="G1148" s="64"/>
      <c r="H1148" s="64"/>
      <c r="I1148" s="2"/>
      <c r="J1148" s="2"/>
      <c r="K1148" s="2"/>
      <c r="L1148" s="2"/>
      <c r="M1148" s="2"/>
      <c r="N1148" s="2"/>
      <c r="O1148" s="2"/>
      <c r="P1148" s="66"/>
      <c r="Q1148" s="66"/>
      <c r="R1148" s="2"/>
    </row>
    <row r="1149" spans="1:18">
      <c r="A1149" s="3"/>
      <c r="B1149" s="3"/>
      <c r="C1149" s="2"/>
      <c r="D1149" s="2"/>
      <c r="E1149" s="64"/>
      <c r="F1149" s="64"/>
      <c r="G1149" s="64"/>
      <c r="H1149" s="64"/>
      <c r="I1149" s="2"/>
      <c r="J1149" s="2"/>
      <c r="K1149" s="2"/>
      <c r="L1149" s="2"/>
      <c r="M1149" s="2"/>
      <c r="N1149" s="2"/>
      <c r="O1149" s="2"/>
      <c r="P1149" s="66"/>
      <c r="Q1149" s="66"/>
      <c r="R1149" s="2"/>
    </row>
    <row r="1150" spans="1:18">
      <c r="A1150" s="3"/>
      <c r="B1150" s="3"/>
      <c r="C1150" s="2"/>
      <c r="D1150" s="2"/>
      <c r="E1150" s="64"/>
      <c r="F1150" s="64"/>
      <c r="G1150" s="64"/>
      <c r="H1150" s="64"/>
      <c r="I1150" s="2"/>
      <c r="J1150" s="2"/>
      <c r="K1150" s="2"/>
      <c r="L1150" s="2"/>
      <c r="M1150" s="2"/>
      <c r="N1150" s="2"/>
      <c r="O1150" s="2"/>
      <c r="P1150" s="66"/>
      <c r="Q1150" s="66"/>
      <c r="R1150" s="2"/>
    </row>
    <row r="1151" spans="1:18">
      <c r="A1151" s="3"/>
      <c r="B1151" s="3"/>
      <c r="C1151" s="2"/>
      <c r="D1151" s="2"/>
      <c r="E1151" s="64"/>
      <c r="F1151" s="64"/>
      <c r="G1151" s="64"/>
      <c r="H1151" s="64"/>
      <c r="I1151" s="2"/>
      <c r="J1151" s="2"/>
      <c r="K1151" s="2"/>
      <c r="L1151" s="2"/>
      <c r="M1151" s="2"/>
      <c r="N1151" s="2"/>
      <c r="O1151" s="2"/>
      <c r="P1151" s="66"/>
      <c r="Q1151" s="66"/>
      <c r="R1151" s="2"/>
    </row>
    <row r="1152" spans="1:18">
      <c r="A1152" s="3"/>
      <c r="B1152" s="3"/>
      <c r="C1152" s="2"/>
      <c r="D1152" s="2"/>
      <c r="E1152" s="64"/>
      <c r="F1152" s="64"/>
      <c r="G1152" s="64"/>
      <c r="H1152" s="64"/>
      <c r="I1152" s="2"/>
      <c r="J1152" s="2"/>
      <c r="K1152" s="2"/>
      <c r="L1152" s="2"/>
      <c r="M1152" s="2"/>
      <c r="N1152" s="2"/>
      <c r="O1152" s="2"/>
      <c r="P1152" s="66"/>
      <c r="Q1152" s="66"/>
      <c r="R1152" s="2"/>
    </row>
    <row r="1153" spans="1:18">
      <c r="A1153" s="3"/>
      <c r="B1153" s="3"/>
      <c r="C1153" s="2"/>
      <c r="D1153" s="2"/>
      <c r="E1153" s="64"/>
      <c r="F1153" s="64"/>
      <c r="G1153" s="64"/>
      <c r="H1153" s="64"/>
      <c r="I1153" s="2"/>
      <c r="J1153" s="2"/>
      <c r="K1153" s="2"/>
      <c r="L1153" s="2"/>
      <c r="M1153" s="2"/>
      <c r="N1153" s="2"/>
      <c r="O1153" s="2"/>
      <c r="P1153" s="66"/>
      <c r="Q1153" s="66"/>
      <c r="R1153" s="2"/>
    </row>
    <row r="1154" spans="1:18">
      <c r="A1154" s="3"/>
      <c r="B1154" s="3"/>
      <c r="C1154" s="2"/>
      <c r="D1154" s="2"/>
      <c r="E1154" s="64"/>
      <c r="F1154" s="64"/>
      <c r="G1154" s="64"/>
      <c r="H1154" s="64"/>
      <c r="I1154" s="2"/>
      <c r="J1154" s="2"/>
      <c r="K1154" s="2"/>
      <c r="L1154" s="2"/>
      <c r="M1154" s="2"/>
      <c r="N1154" s="2"/>
      <c r="O1154" s="2"/>
      <c r="P1154" s="66"/>
      <c r="Q1154" s="66"/>
      <c r="R1154" s="2"/>
    </row>
    <row r="1155" spans="1:18">
      <c r="A1155" s="3"/>
      <c r="B1155" s="3"/>
      <c r="C1155" s="2"/>
      <c r="D1155" s="2"/>
      <c r="E1155" s="64"/>
      <c r="F1155" s="64"/>
      <c r="G1155" s="64"/>
      <c r="H1155" s="64"/>
      <c r="I1155" s="2"/>
      <c r="J1155" s="2"/>
      <c r="K1155" s="2"/>
      <c r="L1155" s="2"/>
      <c r="M1155" s="2"/>
      <c r="N1155" s="2"/>
      <c r="O1155" s="2"/>
      <c r="P1155" s="66"/>
      <c r="Q1155" s="66"/>
      <c r="R1155" s="2"/>
    </row>
    <row r="1156" spans="1:18">
      <c r="A1156" s="3"/>
      <c r="B1156" s="3"/>
      <c r="C1156" s="2"/>
      <c r="D1156" s="2"/>
      <c r="E1156" s="64"/>
      <c r="F1156" s="64"/>
      <c r="G1156" s="64"/>
      <c r="H1156" s="64"/>
      <c r="I1156" s="2"/>
      <c r="J1156" s="2"/>
      <c r="K1156" s="2"/>
      <c r="L1156" s="2"/>
      <c r="M1156" s="2"/>
      <c r="N1156" s="2"/>
      <c r="O1156" s="2"/>
      <c r="P1156" s="66"/>
      <c r="Q1156" s="66"/>
      <c r="R1156" s="2"/>
    </row>
    <row r="1157" spans="1:18">
      <c r="A1157" s="3"/>
      <c r="B1157" s="3"/>
      <c r="C1157" s="2"/>
      <c r="D1157" s="2"/>
      <c r="E1157" s="64"/>
      <c r="F1157" s="64"/>
      <c r="G1157" s="64"/>
      <c r="H1157" s="64"/>
      <c r="I1157" s="2"/>
      <c r="J1157" s="2"/>
      <c r="K1157" s="2"/>
      <c r="L1157" s="2"/>
      <c r="M1157" s="2"/>
      <c r="N1157" s="2"/>
      <c r="O1157" s="2"/>
      <c r="P1157" s="66"/>
      <c r="Q1157" s="66"/>
      <c r="R1157" s="2"/>
    </row>
    <row r="1158" spans="1:18">
      <c r="A1158" s="3"/>
      <c r="B1158" s="3"/>
      <c r="C1158" s="2"/>
      <c r="D1158" s="2"/>
      <c r="E1158" s="64"/>
      <c r="F1158" s="64"/>
      <c r="G1158" s="64"/>
      <c r="H1158" s="64"/>
      <c r="I1158" s="2"/>
      <c r="J1158" s="2"/>
      <c r="K1158" s="2"/>
      <c r="L1158" s="2"/>
      <c r="M1158" s="2"/>
      <c r="N1158" s="2"/>
      <c r="O1158" s="2"/>
      <c r="P1158" s="66"/>
      <c r="Q1158" s="66"/>
      <c r="R1158" s="2"/>
    </row>
    <row r="1159" spans="1:18">
      <c r="A1159" s="3"/>
      <c r="B1159" s="3"/>
      <c r="C1159" s="2"/>
      <c r="D1159" s="2"/>
      <c r="E1159" s="64"/>
      <c r="F1159" s="64"/>
      <c r="G1159" s="64"/>
      <c r="H1159" s="64"/>
      <c r="I1159" s="2"/>
      <c r="J1159" s="2"/>
      <c r="K1159" s="2"/>
      <c r="L1159" s="2"/>
      <c r="M1159" s="2"/>
      <c r="N1159" s="2"/>
      <c r="O1159" s="2"/>
      <c r="P1159" s="66"/>
      <c r="Q1159" s="66"/>
      <c r="R1159" s="2"/>
    </row>
    <row r="1160" spans="1:18">
      <c r="A1160" s="3"/>
      <c r="B1160" s="3"/>
      <c r="C1160" s="2"/>
      <c r="D1160" s="2"/>
      <c r="E1160" s="64"/>
      <c r="F1160" s="64"/>
      <c r="G1160" s="64"/>
      <c r="H1160" s="64"/>
      <c r="I1160" s="2"/>
      <c r="J1160" s="2"/>
      <c r="K1160" s="2"/>
      <c r="L1160" s="2"/>
      <c r="M1160" s="2"/>
      <c r="N1160" s="2"/>
      <c r="O1160" s="2"/>
      <c r="P1160" s="66"/>
      <c r="Q1160" s="66"/>
      <c r="R1160" s="2"/>
    </row>
    <row r="1161" spans="1:18">
      <c r="A1161" s="3"/>
      <c r="B1161" s="3"/>
      <c r="C1161" s="2"/>
      <c r="D1161" s="2"/>
      <c r="E1161" s="64"/>
      <c r="F1161" s="64"/>
      <c r="G1161" s="64"/>
      <c r="H1161" s="64"/>
      <c r="I1161" s="2"/>
      <c r="J1161" s="2"/>
      <c r="K1161" s="2"/>
      <c r="L1161" s="2"/>
      <c r="M1161" s="2"/>
      <c r="N1161" s="2"/>
      <c r="O1161" s="2"/>
      <c r="P1161" s="66"/>
      <c r="Q1161" s="66"/>
      <c r="R1161" s="2"/>
    </row>
    <row r="1162" spans="1:18">
      <c r="A1162" s="3"/>
      <c r="B1162" s="3"/>
      <c r="C1162" s="2"/>
      <c r="D1162" s="2"/>
      <c r="E1162" s="64"/>
      <c r="F1162" s="64"/>
      <c r="G1162" s="64"/>
      <c r="H1162" s="64"/>
      <c r="I1162" s="2"/>
      <c r="J1162" s="2"/>
      <c r="K1162" s="2"/>
      <c r="L1162" s="2"/>
      <c r="M1162" s="2"/>
      <c r="N1162" s="2"/>
      <c r="O1162" s="2"/>
      <c r="P1162" s="66"/>
      <c r="Q1162" s="66"/>
      <c r="R1162" s="2"/>
    </row>
    <row r="1163" spans="1:18">
      <c r="A1163" s="3"/>
      <c r="B1163" s="3"/>
      <c r="C1163" s="2"/>
      <c r="D1163" s="2"/>
      <c r="E1163" s="64"/>
      <c r="F1163" s="64"/>
      <c r="G1163" s="64"/>
      <c r="H1163" s="64"/>
      <c r="I1163" s="2"/>
      <c r="J1163" s="2"/>
      <c r="K1163" s="2"/>
      <c r="L1163" s="2"/>
      <c r="M1163" s="2"/>
      <c r="N1163" s="2"/>
      <c r="O1163" s="2"/>
      <c r="P1163" s="66"/>
      <c r="Q1163" s="66"/>
      <c r="R1163" s="2"/>
    </row>
    <row r="1164" spans="1:18">
      <c r="A1164" s="3"/>
      <c r="B1164" s="3"/>
      <c r="C1164" s="2"/>
      <c r="D1164" s="2"/>
      <c r="E1164" s="64"/>
      <c r="F1164" s="64"/>
      <c r="G1164" s="64"/>
      <c r="H1164" s="64"/>
      <c r="I1164" s="2"/>
      <c r="J1164" s="2"/>
      <c r="K1164" s="2"/>
      <c r="L1164" s="2"/>
      <c r="M1164" s="2"/>
      <c r="N1164" s="2"/>
      <c r="O1164" s="2"/>
      <c r="P1164" s="66"/>
      <c r="Q1164" s="66"/>
      <c r="R1164" s="2"/>
    </row>
    <row r="1165" spans="1:18">
      <c r="A1165" s="3"/>
      <c r="B1165" s="3"/>
      <c r="C1165" s="2"/>
      <c r="D1165" s="2"/>
      <c r="E1165" s="64"/>
      <c r="F1165" s="64"/>
      <c r="G1165" s="64"/>
      <c r="H1165" s="64"/>
      <c r="I1165" s="2"/>
      <c r="J1165" s="2"/>
      <c r="K1165" s="2"/>
      <c r="L1165" s="2"/>
      <c r="M1165" s="2"/>
      <c r="N1165" s="2"/>
      <c r="O1165" s="2"/>
      <c r="P1165" s="66"/>
      <c r="Q1165" s="66"/>
      <c r="R1165" s="2"/>
    </row>
    <row r="1166" spans="1:18">
      <c r="A1166" s="3"/>
      <c r="B1166" s="3"/>
      <c r="C1166" s="2"/>
      <c r="D1166" s="2"/>
      <c r="E1166" s="64"/>
      <c r="F1166" s="64"/>
      <c r="G1166" s="64"/>
      <c r="H1166" s="64"/>
      <c r="I1166" s="2"/>
      <c r="J1166" s="2"/>
      <c r="K1166" s="2"/>
      <c r="L1166" s="2"/>
      <c r="M1166" s="2"/>
      <c r="N1166" s="2"/>
      <c r="O1166" s="2"/>
      <c r="P1166" s="66"/>
      <c r="Q1166" s="66"/>
      <c r="R1166" s="2"/>
    </row>
    <row r="1167" spans="1:18">
      <c r="A1167" s="3"/>
      <c r="B1167" s="3"/>
      <c r="C1167" s="2"/>
      <c r="D1167" s="2"/>
      <c r="E1167" s="64"/>
      <c r="F1167" s="64"/>
      <c r="G1167" s="64"/>
      <c r="H1167" s="64"/>
      <c r="I1167" s="2"/>
      <c r="J1167" s="2"/>
      <c r="K1167" s="2"/>
      <c r="L1167" s="2"/>
      <c r="M1167" s="2"/>
      <c r="N1167" s="2"/>
      <c r="O1167" s="2"/>
      <c r="P1167" s="66"/>
      <c r="Q1167" s="66"/>
      <c r="R1167" s="2"/>
    </row>
    <row r="1168" spans="1:18">
      <c r="A1168" s="3"/>
      <c r="B1168" s="3"/>
      <c r="C1168" s="2"/>
      <c r="D1168" s="2"/>
      <c r="E1168" s="64"/>
      <c r="F1168" s="64"/>
      <c r="G1168" s="64"/>
      <c r="H1168" s="64"/>
      <c r="I1168" s="2"/>
      <c r="J1168" s="2"/>
      <c r="K1168" s="2"/>
      <c r="L1168" s="2"/>
      <c r="M1168" s="2"/>
      <c r="N1168" s="2"/>
      <c r="O1168" s="2"/>
      <c r="P1168" s="66"/>
      <c r="Q1168" s="66"/>
      <c r="R1168" s="2"/>
    </row>
    <row r="1169" spans="1:18">
      <c r="A1169" s="3"/>
      <c r="B1169" s="3"/>
      <c r="C1169" s="2"/>
      <c r="D1169" s="2"/>
      <c r="E1169" s="64"/>
      <c r="F1169" s="64"/>
      <c r="G1169" s="64"/>
      <c r="H1169" s="64"/>
      <c r="I1169" s="2"/>
      <c r="J1169" s="2"/>
      <c r="K1169" s="2"/>
      <c r="L1169" s="2"/>
      <c r="M1169" s="2"/>
      <c r="N1169" s="2"/>
      <c r="O1169" s="2"/>
      <c r="P1169" s="66"/>
      <c r="Q1169" s="66"/>
      <c r="R1169" s="2"/>
    </row>
    <row r="1170" spans="1:18">
      <c r="A1170" s="3"/>
      <c r="B1170" s="3"/>
      <c r="C1170" s="2"/>
      <c r="D1170" s="2"/>
      <c r="E1170" s="64"/>
      <c r="F1170" s="64"/>
      <c r="G1170" s="64"/>
      <c r="H1170" s="64"/>
      <c r="I1170" s="2"/>
      <c r="J1170" s="2"/>
      <c r="K1170" s="2"/>
      <c r="L1170" s="2"/>
      <c r="M1170" s="2"/>
      <c r="N1170" s="2"/>
      <c r="O1170" s="2"/>
      <c r="P1170" s="66"/>
      <c r="Q1170" s="66"/>
      <c r="R1170" s="2"/>
    </row>
    <row r="1171" spans="1:18">
      <c r="A1171" s="3"/>
      <c r="B1171" s="3"/>
      <c r="C1171" s="2"/>
      <c r="D1171" s="2"/>
      <c r="E1171" s="64"/>
      <c r="F1171" s="64"/>
      <c r="G1171" s="64"/>
      <c r="H1171" s="64"/>
      <c r="I1171" s="2"/>
      <c r="J1171" s="2"/>
      <c r="K1171" s="2"/>
      <c r="L1171" s="2"/>
      <c r="M1171" s="2"/>
      <c r="N1171" s="2"/>
      <c r="O1171" s="2"/>
      <c r="P1171" s="66"/>
      <c r="Q1171" s="66"/>
      <c r="R1171" s="2"/>
    </row>
    <row r="1172" spans="1:18">
      <c r="A1172" s="3"/>
      <c r="B1172" s="3"/>
      <c r="C1172" s="2"/>
      <c r="D1172" s="2"/>
      <c r="E1172" s="64"/>
      <c r="F1172" s="64"/>
      <c r="G1172" s="64"/>
      <c r="H1172" s="64"/>
      <c r="I1172" s="2"/>
      <c r="J1172" s="2"/>
      <c r="K1172" s="2"/>
      <c r="L1172" s="2"/>
      <c r="M1172" s="2"/>
      <c r="N1172" s="2"/>
      <c r="O1172" s="2"/>
      <c r="P1172" s="66"/>
      <c r="Q1172" s="66"/>
      <c r="R1172" s="2"/>
    </row>
    <row r="1173" spans="1:18">
      <c r="A1173" s="3"/>
      <c r="B1173" s="3"/>
      <c r="C1173" s="2"/>
      <c r="D1173" s="2"/>
      <c r="E1173" s="64"/>
      <c r="F1173" s="64"/>
      <c r="G1173" s="64"/>
      <c r="H1173" s="64"/>
      <c r="I1173" s="2"/>
      <c r="J1173" s="2"/>
      <c r="K1173" s="2"/>
      <c r="L1173" s="2"/>
      <c r="M1173" s="2"/>
      <c r="N1173" s="2"/>
      <c r="O1173" s="2"/>
      <c r="P1173" s="66"/>
      <c r="Q1173" s="66"/>
      <c r="R1173" s="2"/>
    </row>
    <row r="1174" spans="1:18">
      <c r="A1174" s="3"/>
      <c r="B1174" s="3"/>
      <c r="C1174" s="2"/>
      <c r="D1174" s="2"/>
      <c r="E1174" s="64"/>
      <c r="F1174" s="64"/>
      <c r="G1174" s="64"/>
      <c r="H1174" s="64"/>
      <c r="I1174" s="2"/>
      <c r="J1174" s="2"/>
      <c r="K1174" s="2"/>
      <c r="L1174" s="2"/>
      <c r="M1174" s="2"/>
      <c r="N1174" s="2"/>
      <c r="O1174" s="2"/>
      <c r="P1174" s="66"/>
      <c r="Q1174" s="66"/>
      <c r="R1174" s="2"/>
    </row>
    <row r="1175" spans="1:18">
      <c r="A1175" s="3"/>
      <c r="B1175" s="3"/>
      <c r="C1175" s="2"/>
      <c r="D1175" s="2"/>
      <c r="E1175" s="64"/>
      <c r="F1175" s="64"/>
      <c r="G1175" s="64"/>
      <c r="H1175" s="64"/>
      <c r="I1175" s="2"/>
      <c r="J1175" s="2"/>
      <c r="K1175" s="2"/>
      <c r="L1175" s="2"/>
      <c r="M1175" s="2"/>
      <c r="N1175" s="2"/>
      <c r="O1175" s="2"/>
      <c r="P1175" s="66"/>
      <c r="Q1175" s="66"/>
      <c r="R1175" s="2"/>
    </row>
    <row r="1176" spans="1:18">
      <c r="A1176" s="3"/>
      <c r="B1176" s="3"/>
      <c r="C1176" s="2"/>
      <c r="D1176" s="2"/>
      <c r="E1176" s="64"/>
      <c r="F1176" s="64"/>
      <c r="G1176" s="64"/>
      <c r="H1176" s="64"/>
      <c r="I1176" s="2"/>
      <c r="J1176" s="2"/>
      <c r="K1176" s="2"/>
      <c r="L1176" s="2"/>
      <c r="M1176" s="2"/>
      <c r="N1176" s="2"/>
      <c r="O1176" s="2"/>
      <c r="P1176" s="66"/>
      <c r="Q1176" s="66"/>
      <c r="R1176" s="2"/>
    </row>
    <row r="1177" spans="1:18">
      <c r="A1177" s="3"/>
      <c r="B1177" s="3"/>
      <c r="C1177" s="2"/>
      <c r="D1177" s="2"/>
      <c r="E1177" s="64"/>
      <c r="F1177" s="64"/>
      <c r="G1177" s="64"/>
      <c r="H1177" s="64"/>
      <c r="I1177" s="2"/>
      <c r="J1177" s="2"/>
      <c r="K1177" s="2"/>
      <c r="L1177" s="2"/>
      <c r="M1177" s="2"/>
      <c r="N1177" s="2"/>
      <c r="O1177" s="2"/>
      <c r="P1177" s="66"/>
      <c r="Q1177" s="66"/>
      <c r="R1177" s="2"/>
    </row>
    <row r="1178" spans="1:18">
      <c r="A1178" s="3"/>
      <c r="B1178" s="3"/>
      <c r="C1178" s="2"/>
      <c r="D1178" s="2"/>
      <c r="E1178" s="64"/>
      <c r="F1178" s="64"/>
      <c r="G1178" s="64"/>
      <c r="H1178" s="64"/>
      <c r="I1178" s="2"/>
      <c r="J1178" s="2"/>
      <c r="K1178" s="2"/>
      <c r="L1178" s="2"/>
      <c r="M1178" s="2"/>
      <c r="N1178" s="2"/>
      <c r="O1178" s="2"/>
      <c r="P1178" s="66"/>
      <c r="Q1178" s="66"/>
      <c r="R1178" s="2"/>
    </row>
    <row r="1179" spans="1:18">
      <c r="A1179" s="3"/>
      <c r="B1179" s="3"/>
      <c r="C1179" s="2"/>
      <c r="D1179" s="2"/>
      <c r="E1179" s="64"/>
      <c r="F1179" s="64"/>
      <c r="G1179" s="64"/>
      <c r="H1179" s="64"/>
      <c r="I1179" s="2"/>
      <c r="J1179" s="2"/>
      <c r="K1179" s="2"/>
      <c r="L1179" s="2"/>
      <c r="M1179" s="2"/>
      <c r="N1179" s="2"/>
      <c r="O1179" s="2"/>
      <c r="P1179" s="66"/>
      <c r="Q1179" s="66"/>
      <c r="R1179" s="2"/>
    </row>
    <row r="1180" spans="1:18">
      <c r="A1180" s="3"/>
      <c r="B1180" s="3"/>
      <c r="C1180" s="2"/>
      <c r="D1180" s="2"/>
      <c r="E1180" s="64"/>
      <c r="F1180" s="64"/>
      <c r="G1180" s="64"/>
      <c r="H1180" s="64"/>
      <c r="I1180" s="2"/>
      <c r="J1180" s="2"/>
      <c r="K1180" s="2"/>
      <c r="L1180" s="2"/>
      <c r="M1180" s="2"/>
      <c r="N1180" s="2"/>
      <c r="O1180" s="2"/>
      <c r="P1180" s="66"/>
      <c r="Q1180" s="66"/>
      <c r="R1180" s="2"/>
    </row>
    <row r="1181" spans="1:18">
      <c r="A1181" s="3"/>
      <c r="B1181" s="3"/>
      <c r="C1181" s="2"/>
      <c r="D1181" s="2"/>
      <c r="E1181" s="64"/>
      <c r="F1181" s="64"/>
      <c r="G1181" s="64"/>
      <c r="H1181" s="64"/>
      <c r="I1181" s="2"/>
      <c r="J1181" s="2"/>
      <c r="K1181" s="2"/>
      <c r="L1181" s="2"/>
      <c r="M1181" s="2"/>
      <c r="N1181" s="2"/>
      <c r="O1181" s="2"/>
      <c r="P1181" s="66"/>
      <c r="Q1181" s="66"/>
      <c r="R1181" s="2"/>
    </row>
    <row r="1182" spans="1:18">
      <c r="A1182" s="3"/>
      <c r="B1182" s="3"/>
      <c r="C1182" s="2"/>
      <c r="D1182" s="2"/>
      <c r="E1182" s="64"/>
      <c r="F1182" s="64"/>
      <c r="G1182" s="64"/>
      <c r="H1182" s="64"/>
      <c r="I1182" s="2"/>
      <c r="J1182" s="2"/>
      <c r="K1182" s="2"/>
      <c r="L1182" s="2"/>
      <c r="M1182" s="2"/>
      <c r="N1182" s="2"/>
      <c r="O1182" s="2"/>
      <c r="P1182" s="66"/>
      <c r="Q1182" s="66"/>
      <c r="R1182" s="2"/>
    </row>
    <row r="1183" spans="1:18">
      <c r="A1183" s="3"/>
      <c r="B1183" s="3"/>
      <c r="C1183" s="2"/>
      <c r="D1183" s="2"/>
      <c r="E1183" s="64"/>
      <c r="F1183" s="64"/>
      <c r="G1183" s="64"/>
      <c r="H1183" s="64"/>
      <c r="I1183" s="2"/>
      <c r="J1183" s="2"/>
      <c r="K1183" s="2"/>
      <c r="L1183" s="2"/>
      <c r="M1183" s="2"/>
      <c r="N1183" s="2"/>
      <c r="O1183" s="2"/>
      <c r="P1183" s="66"/>
      <c r="Q1183" s="66"/>
      <c r="R1183" s="2"/>
    </row>
    <row r="1184" spans="1:18">
      <c r="A1184" s="3"/>
      <c r="B1184" s="3"/>
      <c r="C1184" s="2"/>
      <c r="D1184" s="2"/>
      <c r="E1184" s="64"/>
      <c r="F1184" s="64"/>
      <c r="G1184" s="64"/>
      <c r="H1184" s="64"/>
      <c r="I1184" s="2"/>
      <c r="J1184" s="2"/>
      <c r="K1184" s="2"/>
      <c r="L1184" s="2"/>
      <c r="M1184" s="2"/>
      <c r="N1184" s="2"/>
      <c r="O1184" s="2"/>
      <c r="P1184" s="66"/>
      <c r="Q1184" s="66"/>
      <c r="R1184" s="2"/>
    </row>
    <row r="1185" spans="1:18">
      <c r="A1185" s="3"/>
      <c r="B1185" s="3"/>
      <c r="C1185" s="2"/>
      <c r="D1185" s="2"/>
      <c r="E1185" s="64"/>
      <c r="F1185" s="64"/>
      <c r="G1185" s="64"/>
      <c r="H1185" s="64"/>
      <c r="I1185" s="2"/>
      <c r="J1185" s="2"/>
      <c r="K1185" s="2"/>
      <c r="L1185" s="2"/>
      <c r="M1185" s="2"/>
      <c r="N1185" s="2"/>
      <c r="O1185" s="2"/>
      <c r="P1185" s="66"/>
      <c r="Q1185" s="66"/>
      <c r="R1185" s="2"/>
    </row>
    <row r="1186" spans="1:18">
      <c r="A1186" s="3"/>
      <c r="B1186" s="3"/>
      <c r="C1186" s="2"/>
      <c r="D1186" s="2"/>
      <c r="E1186" s="64"/>
      <c r="F1186" s="64"/>
      <c r="G1186" s="64"/>
      <c r="H1186" s="64"/>
      <c r="I1186" s="2"/>
      <c r="J1186" s="2"/>
      <c r="K1186" s="2"/>
      <c r="L1186" s="2"/>
      <c r="M1186" s="2"/>
      <c r="N1186" s="2"/>
      <c r="O1186" s="2"/>
      <c r="P1186" s="66"/>
      <c r="Q1186" s="66"/>
      <c r="R1186" s="2"/>
    </row>
    <row r="1187" spans="1:18">
      <c r="A1187" s="3"/>
      <c r="B1187" s="3"/>
      <c r="C1187" s="2"/>
      <c r="D1187" s="2"/>
      <c r="E1187" s="64"/>
      <c r="F1187" s="64"/>
      <c r="G1187" s="64"/>
      <c r="H1187" s="64"/>
      <c r="I1187" s="2"/>
      <c r="J1187" s="2"/>
      <c r="K1187" s="2"/>
      <c r="L1187" s="2"/>
      <c r="M1187" s="2"/>
      <c r="N1187" s="2"/>
      <c r="O1187" s="2"/>
      <c r="P1187" s="66"/>
      <c r="Q1187" s="66"/>
      <c r="R1187" s="2"/>
    </row>
    <row r="1188" spans="1:18">
      <c r="A1188" s="3"/>
      <c r="B1188" s="3"/>
      <c r="C1188" s="2"/>
      <c r="D1188" s="2"/>
      <c r="E1188" s="64"/>
      <c r="F1188" s="64"/>
      <c r="G1188" s="64"/>
      <c r="H1188" s="64"/>
      <c r="I1188" s="2"/>
      <c r="J1188" s="2"/>
      <c r="K1188" s="2"/>
      <c r="L1188" s="2"/>
      <c r="M1188" s="2"/>
      <c r="N1188" s="2"/>
      <c r="O1188" s="2"/>
      <c r="P1188" s="66"/>
      <c r="Q1188" s="66"/>
      <c r="R1188" s="2"/>
    </row>
    <row r="1189" spans="1:18">
      <c r="A1189" s="3"/>
      <c r="B1189" s="3"/>
      <c r="C1189" s="2"/>
      <c r="D1189" s="2"/>
      <c r="E1189" s="64"/>
      <c r="F1189" s="64"/>
      <c r="G1189" s="64"/>
      <c r="H1189" s="64"/>
      <c r="I1189" s="2"/>
      <c r="J1189" s="2"/>
      <c r="K1189" s="2"/>
      <c r="L1189" s="2"/>
      <c r="M1189" s="2"/>
      <c r="N1189" s="2"/>
      <c r="O1189" s="2"/>
      <c r="P1189" s="66"/>
      <c r="Q1189" s="66"/>
      <c r="R1189" s="2"/>
    </row>
    <row r="1190" spans="1:18">
      <c r="A1190" s="3"/>
      <c r="B1190" s="3"/>
      <c r="C1190" s="2"/>
      <c r="D1190" s="2"/>
      <c r="E1190" s="64"/>
      <c r="F1190" s="64"/>
      <c r="G1190" s="64"/>
      <c r="H1190" s="64"/>
      <c r="I1190" s="2"/>
      <c r="J1190" s="2"/>
      <c r="K1190" s="2"/>
      <c r="L1190" s="2"/>
      <c r="M1190" s="2"/>
      <c r="N1190" s="2"/>
      <c r="O1190" s="2"/>
      <c r="P1190" s="66"/>
      <c r="Q1190" s="66"/>
      <c r="R1190" s="2"/>
    </row>
    <row r="1191" spans="1:18">
      <c r="A1191" s="3"/>
      <c r="B1191" s="3"/>
      <c r="C1191" s="2"/>
      <c r="D1191" s="2"/>
      <c r="E1191" s="64"/>
      <c r="F1191" s="64"/>
      <c r="G1191" s="64"/>
      <c r="H1191" s="64"/>
      <c r="I1191" s="2"/>
      <c r="J1191" s="2"/>
      <c r="K1191" s="2"/>
      <c r="L1191" s="2"/>
      <c r="M1191" s="2"/>
      <c r="N1191" s="2"/>
      <c r="O1191" s="2"/>
      <c r="P1191" s="66"/>
      <c r="Q1191" s="66"/>
      <c r="R1191" s="2"/>
    </row>
    <row r="1192" spans="1:18">
      <c r="A1192" s="3"/>
      <c r="B1192" s="3"/>
      <c r="C1192" s="2"/>
      <c r="D1192" s="2"/>
      <c r="E1192" s="64"/>
      <c r="F1192" s="64"/>
      <c r="G1192" s="64"/>
      <c r="H1192" s="64"/>
      <c r="I1192" s="2"/>
      <c r="J1192" s="2"/>
      <c r="K1192" s="2"/>
      <c r="L1192" s="2"/>
      <c r="M1192" s="2"/>
      <c r="N1192" s="2"/>
      <c r="O1192" s="2"/>
      <c r="P1192" s="66"/>
      <c r="Q1192" s="66"/>
      <c r="R1192" s="2"/>
    </row>
    <row r="1193" spans="1:18">
      <c r="A1193" s="3"/>
      <c r="B1193" s="3"/>
      <c r="C1193" s="2"/>
      <c r="D1193" s="2"/>
      <c r="E1193" s="64"/>
      <c r="F1193" s="64"/>
      <c r="G1193" s="64"/>
      <c r="H1193" s="64"/>
      <c r="I1193" s="2"/>
      <c r="J1193" s="2"/>
      <c r="K1193" s="2"/>
      <c r="L1193" s="2"/>
      <c r="M1193" s="2"/>
      <c r="N1193" s="2"/>
      <c r="O1193" s="2"/>
      <c r="P1193" s="66"/>
      <c r="Q1193" s="66"/>
      <c r="R1193" s="2"/>
    </row>
    <row r="1194" spans="1:18">
      <c r="A1194" s="3"/>
      <c r="B1194" s="3"/>
      <c r="C1194" s="2"/>
      <c r="D1194" s="2"/>
      <c r="E1194" s="64"/>
      <c r="F1194" s="64"/>
      <c r="G1194" s="64"/>
      <c r="H1194" s="64"/>
      <c r="I1194" s="2"/>
      <c r="J1194" s="2"/>
      <c r="K1194" s="2"/>
      <c r="L1194" s="2"/>
      <c r="M1194" s="2"/>
      <c r="N1194" s="2"/>
      <c r="O1194" s="2"/>
      <c r="P1194" s="66"/>
      <c r="Q1194" s="66"/>
      <c r="R1194" s="2"/>
    </row>
    <row r="1195" spans="1:18">
      <c r="A1195" s="3"/>
      <c r="B1195" s="3"/>
      <c r="C1195" s="2"/>
      <c r="D1195" s="2"/>
      <c r="E1195" s="64"/>
      <c r="F1195" s="64"/>
      <c r="G1195" s="64"/>
      <c r="H1195" s="64"/>
      <c r="I1195" s="2"/>
      <c r="J1195" s="2"/>
      <c r="K1195" s="2"/>
      <c r="L1195" s="2"/>
      <c r="M1195" s="2"/>
      <c r="N1195" s="2"/>
      <c r="O1195" s="2"/>
      <c r="P1195" s="66"/>
      <c r="Q1195" s="66"/>
      <c r="R1195" s="2"/>
    </row>
    <row r="1196" spans="1:18">
      <c r="A1196" s="3"/>
      <c r="B1196" s="3"/>
      <c r="C1196" s="2"/>
      <c r="D1196" s="2"/>
      <c r="E1196" s="64"/>
      <c r="F1196" s="64"/>
      <c r="G1196" s="64"/>
      <c r="H1196" s="64"/>
      <c r="I1196" s="2"/>
      <c r="J1196" s="2"/>
      <c r="K1196" s="2"/>
      <c r="L1196" s="2"/>
      <c r="M1196" s="2"/>
      <c r="N1196" s="2"/>
      <c r="O1196" s="2"/>
      <c r="P1196" s="66"/>
      <c r="Q1196" s="66"/>
      <c r="R1196" s="2"/>
    </row>
    <row r="1197" spans="1:18">
      <c r="A1197" s="3"/>
      <c r="B1197" s="3"/>
      <c r="C1197" s="2"/>
      <c r="D1197" s="2"/>
      <c r="E1197" s="64"/>
      <c r="F1197" s="64"/>
      <c r="G1197" s="64"/>
      <c r="H1197" s="64"/>
      <c r="I1197" s="2"/>
      <c r="J1197" s="2"/>
      <c r="K1197" s="2"/>
      <c r="L1197" s="2"/>
      <c r="M1197" s="2"/>
      <c r="N1197" s="2"/>
      <c r="O1197" s="2"/>
      <c r="P1197" s="66"/>
      <c r="Q1197" s="66"/>
      <c r="R1197" s="2"/>
    </row>
    <row r="1198" spans="1:18">
      <c r="A1198" s="3"/>
      <c r="B1198" s="3"/>
      <c r="C1198" s="2"/>
      <c r="D1198" s="2"/>
      <c r="E1198" s="64"/>
      <c r="F1198" s="64"/>
      <c r="G1198" s="64"/>
      <c r="H1198" s="64"/>
      <c r="I1198" s="2"/>
      <c r="J1198" s="2"/>
      <c r="K1198" s="2"/>
      <c r="L1198" s="2"/>
      <c r="M1198" s="2"/>
      <c r="N1198" s="2"/>
      <c r="O1198" s="2"/>
      <c r="P1198" s="66"/>
      <c r="Q1198" s="66"/>
      <c r="R1198" s="2"/>
    </row>
    <row r="1199" spans="1:18">
      <c r="A1199" s="3"/>
      <c r="B1199" s="3"/>
      <c r="C1199" s="2"/>
      <c r="D1199" s="2"/>
      <c r="E1199" s="64"/>
      <c r="F1199" s="64"/>
      <c r="G1199" s="64"/>
      <c r="H1199" s="64"/>
      <c r="I1199" s="2"/>
      <c r="J1199" s="2"/>
      <c r="K1199" s="2"/>
      <c r="L1199" s="2"/>
      <c r="M1199" s="2"/>
      <c r="N1199" s="2"/>
      <c r="O1199" s="2"/>
      <c r="P1199" s="66"/>
      <c r="Q1199" s="66"/>
      <c r="R1199" s="2"/>
    </row>
    <row r="1200" spans="1:18">
      <c r="A1200" s="3"/>
      <c r="B1200" s="3"/>
      <c r="C1200" s="2"/>
      <c r="D1200" s="2"/>
      <c r="E1200" s="64"/>
      <c r="F1200" s="64"/>
      <c r="G1200" s="64"/>
      <c r="H1200" s="64"/>
      <c r="I1200" s="2"/>
      <c r="J1200" s="2"/>
      <c r="K1200" s="2"/>
      <c r="L1200" s="2"/>
      <c r="M1200" s="2"/>
      <c r="N1200" s="2"/>
      <c r="O1200" s="2"/>
      <c r="P1200" s="66"/>
      <c r="Q1200" s="66"/>
      <c r="R1200" s="2"/>
    </row>
    <row r="1201" spans="1:18">
      <c r="A1201" s="3"/>
      <c r="B1201" s="3"/>
      <c r="C1201" s="2"/>
      <c r="D1201" s="2"/>
      <c r="E1201" s="64"/>
      <c r="F1201" s="64"/>
      <c r="G1201" s="64"/>
      <c r="H1201" s="64"/>
      <c r="I1201" s="2"/>
      <c r="J1201" s="2"/>
      <c r="K1201" s="2"/>
      <c r="L1201" s="2"/>
      <c r="M1201" s="2"/>
      <c r="N1201" s="2"/>
      <c r="O1201" s="2"/>
      <c r="P1201" s="66"/>
      <c r="Q1201" s="66"/>
      <c r="R1201" s="2"/>
    </row>
    <row r="1202" spans="1:18">
      <c r="A1202" s="3"/>
      <c r="B1202" s="3"/>
      <c r="C1202" s="2"/>
      <c r="D1202" s="2"/>
      <c r="E1202" s="64"/>
      <c r="F1202" s="64"/>
      <c r="G1202" s="64"/>
      <c r="H1202" s="64"/>
      <c r="I1202" s="2"/>
      <c r="J1202" s="2"/>
      <c r="K1202" s="2"/>
      <c r="L1202" s="2"/>
      <c r="M1202" s="2"/>
      <c r="N1202" s="2"/>
      <c r="O1202" s="2"/>
      <c r="P1202" s="66"/>
      <c r="Q1202" s="66"/>
      <c r="R1202" s="2"/>
    </row>
    <row r="1203" spans="1:18">
      <c r="A1203" s="3"/>
      <c r="B1203" s="3"/>
      <c r="C1203" s="2"/>
      <c r="D1203" s="2"/>
      <c r="E1203" s="64"/>
      <c r="F1203" s="64"/>
      <c r="G1203" s="64"/>
      <c r="H1203" s="64"/>
      <c r="I1203" s="2"/>
      <c r="J1203" s="2"/>
      <c r="K1203" s="2"/>
      <c r="L1203" s="2"/>
      <c r="M1203" s="2"/>
      <c r="N1203" s="2"/>
      <c r="O1203" s="2"/>
      <c r="P1203" s="66"/>
      <c r="Q1203" s="66"/>
      <c r="R1203" s="2"/>
    </row>
    <row r="1204" spans="1:18">
      <c r="A1204" s="3"/>
      <c r="B1204" s="3"/>
      <c r="C1204" s="2"/>
      <c r="D1204" s="2"/>
      <c r="E1204" s="64"/>
      <c r="F1204" s="64"/>
      <c r="G1204" s="64"/>
      <c r="H1204" s="64"/>
      <c r="I1204" s="2"/>
      <c r="J1204" s="2"/>
      <c r="K1204" s="2"/>
      <c r="L1204" s="2"/>
      <c r="M1204" s="2"/>
      <c r="N1204" s="2"/>
      <c r="O1204" s="2"/>
      <c r="P1204" s="66"/>
      <c r="Q1204" s="66"/>
      <c r="R1204" s="2"/>
    </row>
    <row r="1205" spans="1:18">
      <c r="A1205" s="3"/>
      <c r="B1205" s="3"/>
      <c r="C1205" s="2"/>
      <c r="D1205" s="2"/>
      <c r="E1205" s="64"/>
      <c r="F1205" s="64"/>
      <c r="G1205" s="64"/>
      <c r="H1205" s="64"/>
      <c r="I1205" s="2"/>
      <c r="J1205" s="2"/>
      <c r="K1205" s="2"/>
      <c r="L1205" s="2"/>
      <c r="M1205" s="2"/>
      <c r="N1205" s="2"/>
      <c r="O1205" s="2"/>
      <c r="P1205" s="66"/>
      <c r="Q1205" s="66"/>
      <c r="R1205" s="2"/>
    </row>
    <row r="1206" spans="1:18">
      <c r="A1206" s="3"/>
      <c r="B1206" s="3"/>
      <c r="C1206" s="2"/>
      <c r="D1206" s="2"/>
      <c r="E1206" s="64"/>
      <c r="F1206" s="64"/>
      <c r="G1206" s="64"/>
      <c r="H1206" s="64"/>
      <c r="I1206" s="2"/>
      <c r="J1206" s="2"/>
      <c r="K1206" s="2"/>
      <c r="L1206" s="2"/>
      <c r="M1206" s="2"/>
      <c r="N1206" s="2"/>
      <c r="O1206" s="2"/>
      <c r="P1206" s="66"/>
      <c r="Q1206" s="66"/>
      <c r="R1206" s="2"/>
    </row>
    <row r="1207" spans="1:18">
      <c r="A1207" s="3"/>
      <c r="B1207" s="3"/>
      <c r="C1207" s="2"/>
      <c r="D1207" s="2"/>
      <c r="E1207" s="64"/>
      <c r="F1207" s="64"/>
      <c r="G1207" s="64"/>
      <c r="H1207" s="64"/>
      <c r="I1207" s="2"/>
      <c r="J1207" s="2"/>
      <c r="K1207" s="2"/>
      <c r="L1207" s="2"/>
      <c r="M1207" s="2"/>
      <c r="N1207" s="2"/>
      <c r="O1207" s="2"/>
      <c r="P1207" s="66"/>
      <c r="Q1207" s="66"/>
      <c r="R1207" s="2"/>
    </row>
    <row r="1208" spans="1:18">
      <c r="A1208" s="3"/>
      <c r="B1208" s="3"/>
      <c r="C1208" s="2"/>
      <c r="D1208" s="2"/>
      <c r="E1208" s="64"/>
      <c r="F1208" s="64"/>
      <c r="G1208" s="64"/>
      <c r="H1208" s="64"/>
      <c r="I1208" s="2"/>
      <c r="J1208" s="2"/>
      <c r="K1208" s="2"/>
      <c r="L1208" s="2"/>
      <c r="M1208" s="2"/>
      <c r="N1208" s="2"/>
      <c r="O1208" s="2"/>
      <c r="P1208" s="66"/>
      <c r="Q1208" s="66"/>
      <c r="R1208" s="2"/>
    </row>
    <row r="1209" spans="1:18">
      <c r="A1209" s="3"/>
      <c r="B1209" s="3"/>
      <c r="C1209" s="2"/>
      <c r="D1209" s="2"/>
      <c r="E1209" s="64"/>
      <c r="F1209" s="64"/>
      <c r="G1209" s="64"/>
      <c r="H1209" s="64"/>
      <c r="I1209" s="2"/>
      <c r="J1209" s="2"/>
      <c r="K1209" s="2"/>
      <c r="L1209" s="2"/>
      <c r="M1209" s="2"/>
      <c r="N1209" s="2"/>
      <c r="O1209" s="2"/>
      <c r="P1209" s="66"/>
      <c r="Q1209" s="66"/>
      <c r="R1209" s="2"/>
    </row>
    <row r="1210" spans="1:18">
      <c r="A1210" s="3"/>
      <c r="B1210" s="3"/>
      <c r="C1210" s="2"/>
      <c r="D1210" s="2"/>
      <c r="E1210" s="64"/>
      <c r="F1210" s="64"/>
      <c r="G1210" s="64"/>
      <c r="H1210" s="64"/>
      <c r="I1210" s="2"/>
      <c r="J1210" s="2"/>
      <c r="K1210" s="2"/>
      <c r="L1210" s="2"/>
      <c r="M1210" s="2"/>
      <c r="N1210" s="2"/>
      <c r="O1210" s="2"/>
      <c r="P1210" s="66"/>
      <c r="Q1210" s="66"/>
      <c r="R1210" s="2"/>
    </row>
    <row r="1211" spans="1:18">
      <c r="A1211" s="3"/>
      <c r="B1211" s="3"/>
      <c r="C1211" s="2"/>
      <c r="D1211" s="2"/>
      <c r="E1211" s="64"/>
      <c r="F1211" s="64"/>
      <c r="G1211" s="64"/>
      <c r="H1211" s="64"/>
      <c r="I1211" s="2"/>
      <c r="J1211" s="2"/>
      <c r="K1211" s="2"/>
      <c r="L1211" s="2"/>
      <c r="M1211" s="2"/>
      <c r="N1211" s="2"/>
      <c r="O1211" s="2"/>
      <c r="P1211" s="66"/>
      <c r="Q1211" s="66"/>
      <c r="R1211" s="2"/>
    </row>
    <row r="1212" spans="1:18">
      <c r="A1212" s="3"/>
      <c r="B1212" s="3"/>
      <c r="C1212" s="2"/>
      <c r="D1212" s="2"/>
      <c r="E1212" s="64"/>
      <c r="F1212" s="64"/>
      <c r="G1212" s="64"/>
      <c r="H1212" s="64"/>
      <c r="I1212" s="2"/>
      <c r="J1212" s="2"/>
      <c r="K1212" s="2"/>
      <c r="L1212" s="2"/>
      <c r="M1212" s="2"/>
      <c r="N1212" s="2"/>
      <c r="O1212" s="2"/>
      <c r="P1212" s="66"/>
      <c r="Q1212" s="66"/>
      <c r="R1212" s="2"/>
    </row>
    <row r="1213" spans="1:18">
      <c r="A1213" s="3"/>
      <c r="B1213" s="3"/>
      <c r="C1213" s="2"/>
      <c r="D1213" s="2"/>
      <c r="E1213" s="64"/>
      <c r="F1213" s="64"/>
      <c r="G1213" s="64"/>
      <c r="H1213" s="64"/>
      <c r="I1213" s="2"/>
      <c r="J1213" s="2"/>
      <c r="K1213" s="2"/>
      <c r="L1213" s="2"/>
      <c r="M1213" s="2"/>
      <c r="N1213" s="2"/>
      <c r="O1213" s="2"/>
      <c r="P1213" s="66"/>
      <c r="Q1213" s="66"/>
      <c r="R1213" s="2"/>
    </row>
    <row r="1214" spans="1:18">
      <c r="A1214" s="3"/>
      <c r="B1214" s="3"/>
      <c r="C1214" s="2"/>
      <c r="D1214" s="2"/>
      <c r="E1214" s="64"/>
      <c r="F1214" s="64"/>
      <c r="G1214" s="64"/>
      <c r="H1214" s="64"/>
      <c r="I1214" s="2"/>
      <c r="J1214" s="2"/>
      <c r="K1214" s="2"/>
      <c r="L1214" s="2"/>
      <c r="M1214" s="2"/>
      <c r="N1214" s="2"/>
      <c r="O1214" s="2"/>
      <c r="P1214" s="66"/>
      <c r="Q1214" s="66"/>
      <c r="R1214" s="2"/>
    </row>
    <row r="1215" spans="1:18">
      <c r="A1215" s="3"/>
      <c r="B1215" s="3"/>
      <c r="C1215" s="2"/>
      <c r="D1215" s="2"/>
      <c r="E1215" s="64"/>
      <c r="F1215" s="64"/>
      <c r="G1215" s="64"/>
      <c r="H1215" s="64"/>
      <c r="I1215" s="2"/>
      <c r="J1215" s="2"/>
      <c r="K1215" s="2"/>
      <c r="L1215" s="2"/>
      <c r="M1215" s="2"/>
      <c r="N1215" s="2"/>
      <c r="O1215" s="2"/>
      <c r="P1215" s="66"/>
      <c r="Q1215" s="66"/>
      <c r="R1215" s="2"/>
    </row>
    <row r="1216" spans="1:18">
      <c r="A1216" s="3"/>
      <c r="B1216" s="3"/>
      <c r="C1216" s="2"/>
      <c r="D1216" s="2"/>
      <c r="E1216" s="64"/>
      <c r="F1216" s="64"/>
      <c r="G1216" s="64"/>
      <c r="H1216" s="64"/>
      <c r="I1216" s="2"/>
      <c r="J1216" s="2"/>
      <c r="K1216" s="2"/>
      <c r="L1216" s="2"/>
      <c r="M1216" s="2"/>
      <c r="N1216" s="2"/>
      <c r="O1216" s="2"/>
      <c r="P1216" s="66"/>
      <c r="Q1216" s="66"/>
      <c r="R1216" s="2"/>
    </row>
    <row r="1217" spans="1:18">
      <c r="A1217" s="3"/>
      <c r="B1217" s="3"/>
      <c r="C1217" s="2"/>
      <c r="D1217" s="2"/>
      <c r="E1217" s="64"/>
      <c r="F1217" s="64"/>
      <c r="G1217" s="64"/>
      <c r="H1217" s="64"/>
      <c r="I1217" s="2"/>
      <c r="J1217" s="2"/>
      <c r="K1217" s="2"/>
      <c r="L1217" s="2"/>
      <c r="M1217" s="2"/>
      <c r="N1217" s="2"/>
      <c r="O1217" s="2"/>
      <c r="P1217" s="66"/>
      <c r="Q1217" s="66"/>
      <c r="R1217" s="2"/>
    </row>
    <row r="1218" spans="1:18">
      <c r="A1218" s="3"/>
      <c r="B1218" s="3"/>
      <c r="C1218" s="2"/>
      <c r="D1218" s="2"/>
      <c r="E1218" s="64"/>
      <c r="F1218" s="64"/>
      <c r="G1218" s="64"/>
      <c r="H1218" s="64"/>
      <c r="I1218" s="2"/>
      <c r="J1218" s="2"/>
      <c r="K1218" s="2"/>
      <c r="L1218" s="2"/>
      <c r="M1218" s="2"/>
      <c r="N1218" s="2"/>
      <c r="O1218" s="2"/>
      <c r="P1218" s="66"/>
      <c r="Q1218" s="66"/>
      <c r="R1218" s="2"/>
    </row>
    <row r="1219" spans="1:18">
      <c r="A1219" s="3"/>
      <c r="B1219" s="3"/>
      <c r="C1219" s="2"/>
      <c r="D1219" s="2"/>
      <c r="E1219" s="64"/>
      <c r="F1219" s="64"/>
      <c r="G1219" s="64"/>
      <c r="H1219" s="64"/>
      <c r="I1219" s="2"/>
      <c r="J1219" s="2"/>
      <c r="K1219" s="2"/>
      <c r="L1219" s="2"/>
      <c r="M1219" s="2"/>
      <c r="N1219" s="2"/>
      <c r="O1219" s="2"/>
      <c r="P1219" s="66"/>
      <c r="Q1219" s="66"/>
      <c r="R1219" s="2"/>
    </row>
    <row r="1220" spans="1:18">
      <c r="A1220" s="3"/>
      <c r="B1220" s="3"/>
      <c r="C1220" s="2"/>
      <c r="D1220" s="2"/>
      <c r="E1220" s="64"/>
      <c r="F1220" s="64"/>
      <c r="G1220" s="64"/>
      <c r="H1220" s="64"/>
      <c r="I1220" s="2"/>
      <c r="J1220" s="2"/>
      <c r="K1220" s="2"/>
      <c r="L1220" s="2"/>
      <c r="M1220" s="2"/>
      <c r="N1220" s="2"/>
      <c r="O1220" s="2"/>
      <c r="P1220" s="66"/>
      <c r="Q1220" s="66"/>
      <c r="R1220" s="2"/>
    </row>
    <row r="1221" spans="1:18">
      <c r="A1221" s="3"/>
      <c r="B1221" s="3"/>
      <c r="C1221" s="2"/>
      <c r="D1221" s="2"/>
      <c r="E1221" s="64"/>
      <c r="F1221" s="64"/>
      <c r="G1221" s="64"/>
      <c r="H1221" s="64"/>
      <c r="I1221" s="2"/>
      <c r="J1221" s="2"/>
      <c r="K1221" s="2"/>
      <c r="L1221" s="2"/>
      <c r="M1221" s="2"/>
      <c r="N1221" s="2"/>
      <c r="O1221" s="2"/>
      <c r="P1221" s="66"/>
      <c r="Q1221" s="66"/>
      <c r="R1221" s="2"/>
    </row>
    <row r="1222" spans="1:18">
      <c r="A1222" s="3"/>
      <c r="B1222" s="3"/>
      <c r="C1222" s="2"/>
      <c r="D1222" s="2"/>
      <c r="E1222" s="64"/>
      <c r="F1222" s="64"/>
      <c r="G1222" s="64"/>
      <c r="H1222" s="64"/>
      <c r="I1222" s="2"/>
      <c r="J1222" s="2"/>
      <c r="K1222" s="2"/>
      <c r="L1222" s="2"/>
      <c r="M1222" s="2"/>
      <c r="N1222" s="2"/>
      <c r="O1222" s="2"/>
      <c r="P1222" s="66"/>
      <c r="Q1222" s="66"/>
      <c r="R1222" s="2"/>
    </row>
    <row r="1223" spans="1:18">
      <c r="A1223" s="3"/>
      <c r="B1223" s="3"/>
      <c r="C1223" s="2"/>
      <c r="D1223" s="2"/>
      <c r="E1223" s="64"/>
      <c r="F1223" s="64"/>
      <c r="G1223" s="64"/>
      <c r="H1223" s="64"/>
      <c r="I1223" s="2"/>
      <c r="J1223" s="2"/>
      <c r="K1223" s="2"/>
      <c r="L1223" s="2"/>
      <c r="M1223" s="2"/>
      <c r="N1223" s="2"/>
      <c r="O1223" s="2"/>
      <c r="P1223" s="66"/>
      <c r="Q1223" s="66"/>
      <c r="R1223" s="2"/>
    </row>
    <row r="1224" spans="1:18">
      <c r="A1224" s="3"/>
      <c r="B1224" s="3"/>
      <c r="C1224" s="2"/>
      <c r="D1224" s="2"/>
      <c r="E1224" s="64"/>
      <c r="F1224" s="64"/>
      <c r="G1224" s="64"/>
      <c r="H1224" s="64"/>
      <c r="I1224" s="2"/>
      <c r="J1224" s="2"/>
      <c r="K1224" s="2"/>
      <c r="L1224" s="2"/>
      <c r="M1224" s="2"/>
      <c r="N1224" s="2"/>
      <c r="O1224" s="2"/>
      <c r="P1224" s="66"/>
      <c r="Q1224" s="66"/>
      <c r="R1224" s="2"/>
    </row>
    <row r="1225" spans="1:18">
      <c r="A1225" s="3"/>
      <c r="B1225" s="3"/>
      <c r="C1225" s="2"/>
      <c r="D1225" s="2"/>
      <c r="E1225" s="64"/>
      <c r="F1225" s="64"/>
      <c r="G1225" s="64"/>
      <c r="H1225" s="64"/>
      <c r="I1225" s="2"/>
      <c r="J1225" s="2"/>
      <c r="K1225" s="2"/>
      <c r="L1225" s="2"/>
      <c r="M1225" s="2"/>
      <c r="N1225" s="2"/>
      <c r="O1225" s="2"/>
      <c r="P1225" s="66"/>
      <c r="Q1225" s="66"/>
      <c r="R1225" s="2"/>
    </row>
    <row r="1226" spans="1:18">
      <c r="A1226" s="3"/>
      <c r="B1226" s="3"/>
      <c r="C1226" s="2"/>
      <c r="D1226" s="2"/>
      <c r="E1226" s="64"/>
      <c r="F1226" s="64"/>
      <c r="G1226" s="64"/>
      <c r="H1226" s="64"/>
      <c r="I1226" s="2"/>
      <c r="J1226" s="2"/>
      <c r="K1226" s="2"/>
      <c r="L1226" s="2"/>
      <c r="M1226" s="2"/>
      <c r="N1226" s="2"/>
      <c r="O1226" s="2"/>
      <c r="P1226" s="66"/>
      <c r="Q1226" s="66"/>
      <c r="R1226" s="2"/>
    </row>
    <row r="1227" spans="1:18">
      <c r="A1227" s="3"/>
      <c r="B1227" s="3"/>
      <c r="C1227" s="2"/>
      <c r="D1227" s="2"/>
      <c r="E1227" s="64"/>
      <c r="F1227" s="64"/>
      <c r="G1227" s="64"/>
      <c r="H1227" s="64"/>
      <c r="I1227" s="2"/>
      <c r="J1227" s="2"/>
      <c r="K1227" s="2"/>
      <c r="L1227" s="2"/>
      <c r="M1227" s="2"/>
      <c r="N1227" s="2"/>
      <c r="O1227" s="2"/>
      <c r="P1227" s="66"/>
      <c r="Q1227" s="66"/>
      <c r="R1227" s="2"/>
    </row>
    <row r="1228" spans="1:18">
      <c r="A1228" s="3"/>
      <c r="B1228" s="3"/>
      <c r="C1228" s="2"/>
      <c r="D1228" s="2"/>
      <c r="E1228" s="64"/>
      <c r="F1228" s="64"/>
      <c r="G1228" s="64"/>
      <c r="H1228" s="64"/>
      <c r="I1228" s="2"/>
      <c r="J1228" s="2"/>
      <c r="K1228" s="2"/>
      <c r="L1228" s="2"/>
      <c r="M1228" s="2"/>
      <c r="N1228" s="2"/>
      <c r="O1228" s="2"/>
      <c r="P1228" s="66"/>
      <c r="Q1228" s="66"/>
      <c r="R1228" s="2"/>
    </row>
    <row r="1229" spans="1:18">
      <c r="A1229" s="3"/>
      <c r="B1229" s="3"/>
      <c r="C1229" s="2"/>
      <c r="D1229" s="2"/>
      <c r="E1229" s="64"/>
      <c r="F1229" s="64"/>
      <c r="G1229" s="64"/>
      <c r="H1229" s="64"/>
      <c r="I1229" s="2"/>
      <c r="J1229" s="2"/>
      <c r="K1229" s="2"/>
      <c r="L1229" s="2"/>
      <c r="M1229" s="2"/>
      <c r="N1229" s="2"/>
      <c r="O1229" s="2"/>
      <c r="P1229" s="66"/>
      <c r="Q1229" s="66"/>
      <c r="R1229" s="2"/>
    </row>
    <row r="1230" spans="1:18">
      <c r="A1230" s="3"/>
      <c r="B1230" s="3"/>
      <c r="C1230" s="2"/>
      <c r="D1230" s="2"/>
      <c r="E1230" s="64"/>
      <c r="F1230" s="64"/>
      <c r="G1230" s="64"/>
      <c r="H1230" s="64"/>
      <c r="I1230" s="2"/>
      <c r="J1230" s="2"/>
      <c r="K1230" s="2"/>
      <c r="L1230" s="2"/>
      <c r="M1230" s="2"/>
      <c r="N1230" s="2"/>
      <c r="O1230" s="2"/>
      <c r="P1230" s="66"/>
      <c r="Q1230" s="66"/>
      <c r="R1230" s="2"/>
    </row>
    <row r="1231" spans="1:18">
      <c r="A1231" s="3"/>
      <c r="B1231" s="3"/>
      <c r="C1231" s="2"/>
      <c r="D1231" s="2"/>
      <c r="E1231" s="64"/>
      <c r="F1231" s="64"/>
      <c r="G1231" s="64"/>
      <c r="H1231" s="64"/>
      <c r="I1231" s="2"/>
      <c r="J1231" s="2"/>
      <c r="K1231" s="2"/>
      <c r="L1231" s="2"/>
      <c r="M1231" s="2"/>
      <c r="N1231" s="2"/>
      <c r="O1231" s="2"/>
      <c r="P1231" s="66"/>
      <c r="Q1231" s="66"/>
      <c r="R1231" s="2"/>
    </row>
    <row r="1232" spans="1:18">
      <c r="A1232" s="3"/>
      <c r="B1232" s="3"/>
      <c r="C1232" s="2"/>
      <c r="D1232" s="2"/>
      <c r="E1232" s="64"/>
      <c r="F1232" s="64"/>
      <c r="G1232" s="64"/>
      <c r="H1232" s="64"/>
      <c r="I1232" s="2"/>
      <c r="J1232" s="2"/>
      <c r="K1232" s="2"/>
      <c r="L1232" s="2"/>
      <c r="M1232" s="2"/>
      <c r="N1232" s="2"/>
      <c r="O1232" s="2"/>
      <c r="P1232" s="66"/>
      <c r="Q1232" s="66"/>
      <c r="R1232" s="2"/>
    </row>
    <row r="1233" spans="1:18">
      <c r="A1233" s="3"/>
      <c r="B1233" s="3"/>
      <c r="C1233" s="2"/>
      <c r="D1233" s="2"/>
      <c r="E1233" s="64"/>
      <c r="F1233" s="64"/>
      <c r="G1233" s="64"/>
      <c r="H1233" s="64"/>
      <c r="I1233" s="2"/>
      <c r="J1233" s="2"/>
      <c r="K1233" s="2"/>
      <c r="L1233" s="2"/>
      <c r="M1233" s="2"/>
      <c r="N1233" s="2"/>
      <c r="O1233" s="2"/>
      <c r="P1233" s="66"/>
      <c r="Q1233" s="66"/>
      <c r="R1233" s="2"/>
    </row>
    <row r="1234" spans="1:18">
      <c r="A1234" s="3"/>
      <c r="B1234" s="3"/>
      <c r="C1234" s="2"/>
      <c r="D1234" s="2"/>
      <c r="E1234" s="64"/>
      <c r="F1234" s="64"/>
      <c r="G1234" s="64"/>
      <c r="H1234" s="64"/>
      <c r="I1234" s="2"/>
      <c r="J1234" s="2"/>
      <c r="K1234" s="2"/>
      <c r="L1234" s="2"/>
      <c r="M1234" s="2"/>
      <c r="N1234" s="2"/>
      <c r="O1234" s="2"/>
      <c r="P1234" s="66"/>
      <c r="Q1234" s="66"/>
      <c r="R1234" s="2"/>
    </row>
    <row r="1235" spans="1:18">
      <c r="A1235" s="3"/>
      <c r="B1235" s="3"/>
      <c r="C1235" s="2"/>
      <c r="D1235" s="2"/>
      <c r="E1235" s="64"/>
      <c r="F1235" s="64"/>
      <c r="G1235" s="64"/>
      <c r="H1235" s="64"/>
      <c r="I1235" s="2"/>
      <c r="J1235" s="2"/>
      <c r="K1235" s="2"/>
      <c r="L1235" s="2"/>
      <c r="M1235" s="2"/>
      <c r="N1235" s="2"/>
      <c r="O1235" s="2"/>
      <c r="P1235" s="66"/>
      <c r="Q1235" s="66"/>
      <c r="R1235" s="2"/>
    </row>
    <row r="1236" spans="1:18">
      <c r="A1236" s="3"/>
      <c r="B1236" s="3"/>
      <c r="C1236" s="2"/>
      <c r="D1236" s="2"/>
      <c r="E1236" s="64"/>
      <c r="F1236" s="64"/>
      <c r="G1236" s="64"/>
      <c r="H1236" s="64"/>
      <c r="I1236" s="2"/>
      <c r="J1236" s="2"/>
      <c r="K1236" s="2"/>
      <c r="L1236" s="2"/>
      <c r="M1236" s="2"/>
      <c r="N1236" s="2"/>
      <c r="O1236" s="2"/>
      <c r="P1236" s="66"/>
      <c r="Q1236" s="66"/>
      <c r="R1236" s="2"/>
    </row>
    <row r="1237" spans="1:18">
      <c r="A1237" s="3"/>
      <c r="B1237" s="3"/>
      <c r="C1237" s="2"/>
      <c r="D1237" s="2"/>
      <c r="E1237" s="64"/>
      <c r="F1237" s="64"/>
      <c r="G1237" s="64"/>
      <c r="H1237" s="64"/>
      <c r="I1237" s="2"/>
      <c r="J1237" s="2"/>
      <c r="K1237" s="2"/>
      <c r="L1237" s="2"/>
      <c r="M1237" s="2"/>
      <c r="N1237" s="2"/>
      <c r="O1237" s="2"/>
      <c r="P1237" s="66"/>
      <c r="Q1237" s="66"/>
      <c r="R1237" s="2"/>
    </row>
    <row r="1238" spans="1:18">
      <c r="A1238" s="3"/>
      <c r="B1238" s="3"/>
      <c r="C1238" s="2"/>
      <c r="D1238" s="2"/>
      <c r="E1238" s="64"/>
      <c r="F1238" s="64"/>
      <c r="G1238" s="64"/>
      <c r="H1238" s="64"/>
      <c r="I1238" s="2"/>
      <c r="J1238" s="2"/>
      <c r="K1238" s="2"/>
      <c r="L1238" s="2"/>
      <c r="M1238" s="2"/>
      <c r="N1238" s="2"/>
      <c r="O1238" s="2"/>
      <c r="P1238" s="66"/>
      <c r="Q1238" s="66"/>
      <c r="R1238" s="2"/>
    </row>
    <row r="1239" spans="1:18">
      <c r="A1239" s="3"/>
      <c r="B1239" s="3"/>
      <c r="C1239" s="2"/>
      <c r="D1239" s="2"/>
      <c r="E1239" s="64"/>
      <c r="F1239" s="64"/>
      <c r="G1239" s="64"/>
      <c r="H1239" s="64"/>
      <c r="I1239" s="2"/>
      <c r="J1239" s="2"/>
      <c r="K1239" s="2"/>
      <c r="L1239" s="2"/>
      <c r="M1239" s="2"/>
      <c r="N1239" s="2"/>
      <c r="O1239" s="2"/>
      <c r="P1239" s="66"/>
      <c r="Q1239" s="66"/>
      <c r="R1239" s="2"/>
    </row>
    <row r="1240" spans="1:18">
      <c r="A1240" s="3"/>
      <c r="B1240" s="3"/>
      <c r="C1240" s="2"/>
      <c r="D1240" s="2"/>
      <c r="E1240" s="64"/>
      <c r="F1240" s="64"/>
      <c r="G1240" s="64"/>
      <c r="H1240" s="64"/>
      <c r="I1240" s="2"/>
      <c r="J1240" s="2"/>
      <c r="K1240" s="2"/>
      <c r="L1240" s="2"/>
      <c r="M1240" s="2"/>
      <c r="N1240" s="2"/>
      <c r="O1240" s="2"/>
      <c r="P1240" s="66"/>
      <c r="Q1240" s="66"/>
      <c r="R1240" s="2"/>
    </row>
    <row r="1241" spans="1:18">
      <c r="A1241" s="3"/>
      <c r="B1241" s="3"/>
      <c r="C1241" s="2"/>
      <c r="D1241" s="2"/>
      <c r="E1241" s="64"/>
      <c r="F1241" s="64"/>
      <c r="G1241" s="64"/>
      <c r="H1241" s="64"/>
      <c r="I1241" s="2"/>
      <c r="J1241" s="2"/>
      <c r="K1241" s="2"/>
      <c r="L1241" s="2"/>
      <c r="M1241" s="2"/>
      <c r="N1241" s="2"/>
      <c r="O1241" s="2"/>
      <c r="P1241" s="66"/>
      <c r="Q1241" s="66"/>
      <c r="R1241" s="2"/>
    </row>
    <row r="1242" spans="1:18">
      <c r="A1242" s="3"/>
      <c r="B1242" s="3"/>
      <c r="C1242" s="2"/>
      <c r="D1242" s="2"/>
      <c r="E1242" s="64"/>
      <c r="F1242" s="64"/>
      <c r="G1242" s="64"/>
      <c r="H1242" s="64"/>
      <c r="I1242" s="2"/>
      <c r="J1242" s="2"/>
      <c r="K1242" s="2"/>
      <c r="L1242" s="2"/>
      <c r="M1242" s="2"/>
      <c r="N1242" s="2"/>
      <c r="O1242" s="2"/>
      <c r="P1242" s="66"/>
      <c r="Q1242" s="66"/>
      <c r="R1242" s="2"/>
    </row>
    <row r="1243" spans="1:18">
      <c r="A1243" s="3"/>
      <c r="B1243" s="3"/>
      <c r="C1243" s="2"/>
      <c r="D1243" s="2"/>
      <c r="E1243" s="64"/>
      <c r="F1243" s="64"/>
      <c r="G1243" s="64"/>
      <c r="H1243" s="64"/>
      <c r="I1243" s="2"/>
      <c r="J1243" s="2"/>
      <c r="K1243" s="2"/>
      <c r="L1243" s="2"/>
      <c r="M1243" s="2"/>
      <c r="N1243" s="2"/>
      <c r="O1243" s="2"/>
      <c r="P1243" s="66"/>
      <c r="Q1243" s="66"/>
      <c r="R1243" s="2"/>
    </row>
    <row r="1244" spans="1:18">
      <c r="A1244" s="3"/>
      <c r="B1244" s="3"/>
      <c r="C1244" s="2"/>
      <c r="D1244" s="2"/>
      <c r="E1244" s="64"/>
      <c r="F1244" s="64"/>
      <c r="G1244" s="64"/>
      <c r="H1244" s="64"/>
      <c r="I1244" s="2"/>
      <c r="J1244" s="2"/>
      <c r="K1244" s="2"/>
      <c r="L1244" s="2"/>
      <c r="M1244" s="2"/>
      <c r="N1244" s="2"/>
      <c r="O1244" s="2"/>
      <c r="P1244" s="66"/>
      <c r="Q1244" s="66"/>
      <c r="R1244" s="2"/>
    </row>
    <row r="1245" spans="1:18">
      <c r="A1245" s="3"/>
      <c r="B1245" s="3"/>
      <c r="C1245" s="2"/>
      <c r="D1245" s="2"/>
      <c r="E1245" s="64"/>
      <c r="F1245" s="64"/>
      <c r="G1245" s="64"/>
      <c r="H1245" s="64"/>
      <c r="I1245" s="2"/>
      <c r="J1245" s="2"/>
      <c r="K1245" s="2"/>
      <c r="L1245" s="2"/>
      <c r="M1245" s="2"/>
      <c r="N1245" s="2"/>
      <c r="O1245" s="2"/>
      <c r="P1245" s="66"/>
      <c r="Q1245" s="66"/>
      <c r="R1245" s="2"/>
    </row>
    <row r="1246" spans="1:18">
      <c r="A1246" s="3"/>
      <c r="B1246" s="3"/>
      <c r="C1246" s="2"/>
      <c r="D1246" s="2"/>
      <c r="E1246" s="64"/>
      <c r="F1246" s="64"/>
      <c r="G1246" s="64"/>
      <c r="H1246" s="64"/>
      <c r="I1246" s="2"/>
      <c r="J1246" s="2"/>
      <c r="K1246" s="2"/>
      <c r="L1246" s="2"/>
      <c r="M1246" s="2"/>
      <c r="N1246" s="2"/>
      <c r="O1246" s="2"/>
      <c r="P1246" s="66"/>
      <c r="Q1246" s="66"/>
      <c r="R1246" s="2"/>
    </row>
    <row r="1247" spans="1:18">
      <c r="A1247" s="3"/>
      <c r="B1247" s="3"/>
      <c r="C1247" s="2"/>
      <c r="D1247" s="2"/>
      <c r="E1247" s="64"/>
      <c r="F1247" s="64"/>
      <c r="G1247" s="64"/>
      <c r="H1247" s="64"/>
      <c r="I1247" s="2"/>
      <c r="J1247" s="2"/>
      <c r="K1247" s="2"/>
      <c r="L1247" s="2"/>
      <c r="M1247" s="2"/>
      <c r="N1247" s="2"/>
      <c r="O1247" s="2"/>
      <c r="P1247" s="66"/>
      <c r="Q1247" s="66"/>
      <c r="R1247" s="2"/>
    </row>
    <row r="1248" spans="1:18">
      <c r="A1248" s="3"/>
      <c r="B1248" s="3"/>
      <c r="C1248" s="2"/>
      <c r="D1248" s="2"/>
      <c r="E1248" s="64"/>
      <c r="F1248" s="64"/>
      <c r="G1248" s="64"/>
      <c r="H1248" s="64"/>
      <c r="I1248" s="2"/>
      <c r="J1248" s="2"/>
      <c r="K1248" s="2"/>
      <c r="L1248" s="2"/>
      <c r="M1248" s="2"/>
      <c r="N1248" s="2"/>
      <c r="O1248" s="2"/>
      <c r="P1248" s="66"/>
      <c r="Q1248" s="66"/>
      <c r="R1248" s="2"/>
    </row>
    <row r="1249" spans="1:18">
      <c r="A1249" s="3"/>
      <c r="B1249" s="3"/>
      <c r="C1249" s="2"/>
      <c r="D1249" s="2"/>
      <c r="E1249" s="64"/>
      <c r="F1249" s="64"/>
      <c r="G1249" s="64"/>
      <c r="H1249" s="64"/>
      <c r="I1249" s="2"/>
      <c r="J1249" s="2"/>
      <c r="K1249" s="2"/>
      <c r="L1249" s="2"/>
      <c r="M1249" s="2"/>
      <c r="N1249" s="2"/>
      <c r="O1249" s="2"/>
      <c r="P1249" s="66"/>
      <c r="Q1249" s="66"/>
      <c r="R1249" s="2"/>
    </row>
    <row r="1250" spans="1:18">
      <c r="A1250" s="3"/>
      <c r="B1250" s="3"/>
      <c r="C1250" s="2"/>
      <c r="D1250" s="2"/>
      <c r="E1250" s="64"/>
      <c r="F1250" s="64"/>
      <c r="G1250" s="64"/>
      <c r="H1250" s="64"/>
      <c r="I1250" s="2"/>
      <c r="J1250" s="2"/>
      <c r="K1250" s="2"/>
      <c r="L1250" s="2"/>
      <c r="M1250" s="2"/>
      <c r="N1250" s="2"/>
      <c r="O1250" s="2"/>
      <c r="P1250" s="66"/>
      <c r="Q1250" s="66"/>
      <c r="R1250" s="2"/>
    </row>
    <row r="1251" spans="1:18">
      <c r="A1251" s="3"/>
      <c r="B1251" s="3"/>
      <c r="C1251" s="2"/>
      <c r="D1251" s="2"/>
      <c r="E1251" s="64"/>
      <c r="F1251" s="64"/>
      <c r="G1251" s="64"/>
      <c r="H1251" s="64"/>
      <c r="I1251" s="2"/>
      <c r="J1251" s="2"/>
      <c r="K1251" s="2"/>
      <c r="L1251" s="2"/>
      <c r="M1251" s="2"/>
      <c r="N1251" s="2"/>
      <c r="O1251" s="2"/>
      <c r="P1251" s="66"/>
      <c r="Q1251" s="66"/>
      <c r="R1251" s="2"/>
    </row>
    <row r="1252" spans="1:18">
      <c r="A1252" s="3"/>
      <c r="B1252" s="3"/>
      <c r="C1252" s="2"/>
      <c r="D1252" s="2"/>
      <c r="E1252" s="64"/>
      <c r="F1252" s="64"/>
      <c r="G1252" s="64"/>
      <c r="H1252" s="64"/>
      <c r="I1252" s="2"/>
      <c r="J1252" s="2"/>
      <c r="K1252" s="2"/>
      <c r="L1252" s="2"/>
      <c r="M1252" s="2"/>
      <c r="N1252" s="2"/>
      <c r="O1252" s="2"/>
      <c r="P1252" s="66"/>
      <c r="Q1252" s="66"/>
      <c r="R1252" s="2"/>
    </row>
    <row r="1253" spans="1:18">
      <c r="A1253" s="3"/>
      <c r="B1253" s="3"/>
      <c r="C1253" s="2"/>
      <c r="D1253" s="2"/>
      <c r="E1253" s="64"/>
      <c r="F1253" s="64"/>
      <c r="G1253" s="64"/>
      <c r="H1253" s="64"/>
      <c r="I1253" s="2"/>
      <c r="J1253" s="2"/>
      <c r="K1253" s="2"/>
      <c r="L1253" s="2"/>
      <c r="M1253" s="2"/>
      <c r="N1253" s="2"/>
      <c r="O1253" s="2"/>
      <c r="P1253" s="66"/>
      <c r="Q1253" s="66"/>
      <c r="R1253" s="2"/>
    </row>
    <row r="1254" spans="1:18">
      <c r="A1254" s="3"/>
      <c r="B1254" s="3"/>
      <c r="C1254" s="2"/>
      <c r="D1254" s="2"/>
      <c r="E1254" s="64"/>
      <c r="F1254" s="64"/>
      <c r="G1254" s="64"/>
      <c r="H1254" s="64"/>
      <c r="I1254" s="2"/>
      <c r="J1254" s="2"/>
      <c r="K1254" s="2"/>
      <c r="L1254" s="2"/>
      <c r="M1254" s="2"/>
      <c r="N1254" s="2"/>
      <c r="O1254" s="2"/>
      <c r="P1254" s="66"/>
      <c r="Q1254" s="66"/>
      <c r="R1254" s="2"/>
    </row>
    <row r="1255" spans="1:18">
      <c r="A1255" s="3"/>
      <c r="B1255" s="3"/>
      <c r="C1255" s="2"/>
      <c r="D1255" s="2"/>
      <c r="E1255" s="64"/>
      <c r="F1255" s="64"/>
      <c r="G1255" s="64"/>
      <c r="H1255" s="64"/>
      <c r="I1255" s="2"/>
      <c r="J1255" s="2"/>
      <c r="K1255" s="2"/>
      <c r="L1255" s="2"/>
      <c r="M1255" s="2"/>
      <c r="N1255" s="2"/>
      <c r="O1255" s="2"/>
      <c r="P1255" s="66"/>
      <c r="Q1255" s="66"/>
      <c r="R1255" s="2"/>
    </row>
    <row r="1256" spans="1:18">
      <c r="A1256" s="3"/>
      <c r="B1256" s="3"/>
      <c r="C1256" s="2"/>
      <c r="D1256" s="2"/>
      <c r="E1256" s="64"/>
      <c r="F1256" s="64"/>
      <c r="G1256" s="64"/>
      <c r="H1256" s="64"/>
      <c r="I1256" s="2"/>
      <c r="J1256" s="2"/>
      <c r="K1256" s="2"/>
      <c r="L1256" s="2"/>
      <c r="M1256" s="2"/>
      <c r="N1256" s="2"/>
      <c r="O1256" s="2"/>
      <c r="P1256" s="66"/>
      <c r="Q1256" s="66"/>
      <c r="R1256" s="2"/>
    </row>
    <row r="1257" spans="1:18">
      <c r="A1257" s="3"/>
      <c r="B1257" s="3"/>
      <c r="C1257" s="2"/>
      <c r="D1257" s="2"/>
      <c r="E1257" s="64"/>
      <c r="F1257" s="64"/>
      <c r="G1257" s="64"/>
      <c r="H1257" s="64"/>
      <c r="I1257" s="2"/>
      <c r="J1257" s="2"/>
      <c r="K1257" s="2"/>
      <c r="L1257" s="2"/>
      <c r="M1257" s="2"/>
      <c r="N1257" s="2"/>
      <c r="O1257" s="2"/>
      <c r="P1257" s="66"/>
      <c r="Q1257" s="66"/>
      <c r="R1257" s="2"/>
    </row>
    <row r="1258" spans="1:18">
      <c r="A1258" s="3"/>
      <c r="B1258" s="3"/>
      <c r="C1258" s="2"/>
      <c r="D1258" s="2"/>
      <c r="E1258" s="64"/>
      <c r="F1258" s="64"/>
      <c r="G1258" s="64"/>
      <c r="H1258" s="64"/>
      <c r="I1258" s="2"/>
      <c r="J1258" s="2"/>
      <c r="K1258" s="2"/>
      <c r="L1258" s="2"/>
      <c r="M1258" s="2"/>
      <c r="N1258" s="2"/>
      <c r="O1258" s="2"/>
      <c r="P1258" s="66"/>
      <c r="Q1258" s="66"/>
      <c r="R1258" s="2"/>
    </row>
    <row r="1259" spans="1:18">
      <c r="A1259" s="3"/>
      <c r="B1259" s="3"/>
      <c r="C1259" s="2"/>
      <c r="D1259" s="2"/>
      <c r="E1259" s="64"/>
      <c r="F1259" s="64"/>
      <c r="G1259" s="64"/>
      <c r="H1259" s="64"/>
      <c r="I1259" s="2"/>
      <c r="J1259" s="2"/>
      <c r="K1259" s="2"/>
      <c r="L1259" s="2"/>
      <c r="M1259" s="2"/>
      <c r="N1259" s="2"/>
      <c r="O1259" s="2"/>
      <c r="P1259" s="66"/>
      <c r="Q1259" s="66"/>
      <c r="R1259" s="2"/>
    </row>
    <row r="1260" spans="1:18">
      <c r="A1260" s="3"/>
      <c r="B1260" s="3"/>
      <c r="C1260" s="2"/>
      <c r="D1260" s="2"/>
      <c r="E1260" s="64"/>
      <c r="F1260" s="64"/>
      <c r="G1260" s="64"/>
      <c r="H1260" s="64"/>
      <c r="I1260" s="2"/>
      <c r="J1260" s="2"/>
      <c r="K1260" s="2"/>
      <c r="L1260" s="2"/>
      <c r="M1260" s="2"/>
      <c r="N1260" s="2"/>
      <c r="O1260" s="2"/>
      <c r="P1260" s="66"/>
      <c r="Q1260" s="66"/>
      <c r="R1260" s="2"/>
    </row>
    <row r="1261" spans="1:18">
      <c r="A1261" s="3"/>
      <c r="B1261" s="3"/>
      <c r="C1261" s="2"/>
      <c r="D1261" s="2"/>
      <c r="E1261" s="64"/>
      <c r="F1261" s="64"/>
      <c r="G1261" s="64"/>
      <c r="H1261" s="64"/>
      <c r="I1261" s="2"/>
      <c r="J1261" s="2"/>
      <c r="K1261" s="2"/>
      <c r="L1261" s="2"/>
      <c r="M1261" s="2"/>
      <c r="N1261" s="2"/>
      <c r="O1261" s="2"/>
      <c r="P1261" s="66"/>
      <c r="Q1261" s="66"/>
      <c r="R1261" s="2"/>
    </row>
    <row r="1262" spans="1:18">
      <c r="A1262" s="3"/>
      <c r="B1262" s="3"/>
      <c r="C1262" s="2"/>
      <c r="D1262" s="2"/>
      <c r="E1262" s="64"/>
      <c r="F1262" s="64"/>
      <c r="G1262" s="64"/>
      <c r="H1262" s="64"/>
      <c r="I1262" s="2"/>
      <c r="J1262" s="2"/>
      <c r="K1262" s="2"/>
      <c r="L1262" s="2"/>
      <c r="M1262" s="2"/>
      <c r="N1262" s="2"/>
      <c r="O1262" s="2"/>
      <c r="P1262" s="66"/>
      <c r="Q1262" s="66"/>
      <c r="R1262" s="2"/>
    </row>
    <row r="1263" spans="1:18">
      <c r="A1263" s="3"/>
      <c r="B1263" s="3"/>
      <c r="C1263" s="2"/>
      <c r="D1263" s="2"/>
      <c r="E1263" s="64"/>
      <c r="F1263" s="64"/>
      <c r="G1263" s="64"/>
      <c r="H1263" s="64"/>
      <c r="I1263" s="2"/>
      <c r="J1263" s="2"/>
      <c r="K1263" s="2"/>
      <c r="L1263" s="2"/>
      <c r="M1263" s="2"/>
      <c r="N1263" s="2"/>
      <c r="O1263" s="2"/>
      <c r="P1263" s="66"/>
      <c r="Q1263" s="66"/>
      <c r="R1263" s="2"/>
    </row>
    <row r="1264" spans="1:18">
      <c r="A1264" s="3"/>
      <c r="B1264" s="3"/>
      <c r="C1264" s="2"/>
      <c r="D1264" s="2"/>
      <c r="E1264" s="64"/>
      <c r="F1264" s="64"/>
      <c r="G1264" s="64"/>
      <c r="H1264" s="64"/>
      <c r="I1264" s="2"/>
      <c r="J1264" s="2"/>
      <c r="K1264" s="2"/>
      <c r="L1264" s="2"/>
      <c r="M1264" s="2"/>
      <c r="N1264" s="2"/>
      <c r="O1264" s="2"/>
      <c r="P1264" s="66"/>
      <c r="Q1264" s="66"/>
      <c r="R1264" s="2"/>
    </row>
    <row r="1265" spans="1:18">
      <c r="A1265" s="3"/>
      <c r="B1265" s="3"/>
      <c r="C1265" s="2"/>
      <c r="D1265" s="2"/>
      <c r="E1265" s="64"/>
      <c r="F1265" s="64"/>
      <c r="G1265" s="64"/>
      <c r="H1265" s="64"/>
      <c r="I1265" s="2"/>
      <c r="J1265" s="2"/>
      <c r="K1265" s="2"/>
      <c r="L1265" s="2"/>
      <c r="M1265" s="2"/>
      <c r="N1265" s="2"/>
      <c r="O1265" s="2"/>
      <c r="P1265" s="66"/>
      <c r="Q1265" s="66"/>
      <c r="R1265" s="2"/>
    </row>
    <row r="1266" spans="1:18">
      <c r="A1266" s="3"/>
      <c r="B1266" s="3"/>
      <c r="C1266" s="2"/>
      <c r="D1266" s="2"/>
      <c r="E1266" s="64"/>
      <c r="F1266" s="64"/>
      <c r="G1266" s="64"/>
      <c r="H1266" s="64"/>
      <c r="I1266" s="2"/>
      <c r="J1266" s="2"/>
      <c r="K1266" s="2"/>
      <c r="L1266" s="2"/>
      <c r="M1266" s="2"/>
      <c r="N1266" s="2"/>
      <c r="O1266" s="2"/>
      <c r="P1266" s="66"/>
      <c r="Q1266" s="66"/>
      <c r="R1266" s="2"/>
    </row>
    <row r="1267" spans="1:18">
      <c r="A1267" s="3"/>
      <c r="B1267" s="3"/>
      <c r="C1267" s="2"/>
      <c r="D1267" s="2"/>
      <c r="E1267" s="64"/>
      <c r="F1267" s="64"/>
      <c r="G1267" s="64"/>
      <c r="H1267" s="64"/>
      <c r="I1267" s="2"/>
      <c r="J1267" s="2"/>
      <c r="K1267" s="2"/>
      <c r="L1267" s="2"/>
      <c r="M1267" s="2"/>
      <c r="N1267" s="2"/>
      <c r="O1267" s="2"/>
      <c r="P1267" s="66"/>
      <c r="Q1267" s="66"/>
      <c r="R1267" s="2"/>
    </row>
    <row r="1268" spans="1:18">
      <c r="A1268" s="3"/>
      <c r="B1268" s="3"/>
      <c r="C1268" s="2"/>
      <c r="D1268" s="2"/>
      <c r="E1268" s="64"/>
      <c r="F1268" s="64"/>
      <c r="G1268" s="64"/>
      <c r="H1268" s="64"/>
      <c r="I1268" s="2"/>
      <c r="J1268" s="2"/>
      <c r="K1268" s="2"/>
      <c r="L1268" s="2"/>
      <c r="M1268" s="2"/>
      <c r="N1268" s="2"/>
      <c r="O1268" s="2"/>
      <c r="P1268" s="66"/>
      <c r="Q1268" s="66"/>
      <c r="R1268" s="2"/>
    </row>
    <row r="1269" spans="1:18">
      <c r="A1269" s="3"/>
      <c r="B1269" s="3"/>
      <c r="C1269" s="2"/>
      <c r="D1269" s="2"/>
      <c r="E1269" s="64"/>
      <c r="F1269" s="64"/>
      <c r="G1269" s="64"/>
      <c r="H1269" s="64"/>
      <c r="I1269" s="2"/>
      <c r="J1269" s="2"/>
      <c r="K1269" s="2"/>
      <c r="L1269" s="2"/>
      <c r="M1269" s="2"/>
      <c r="N1269" s="2"/>
      <c r="O1269" s="2"/>
      <c r="P1269" s="66"/>
      <c r="Q1269" s="66"/>
      <c r="R1269" s="2"/>
    </row>
    <row r="1270" spans="1:18">
      <c r="A1270" s="3"/>
      <c r="B1270" s="3"/>
      <c r="C1270" s="2"/>
      <c r="D1270" s="2"/>
      <c r="E1270" s="64"/>
      <c r="F1270" s="64"/>
      <c r="G1270" s="64"/>
      <c r="H1270" s="64"/>
      <c r="I1270" s="2"/>
      <c r="J1270" s="2"/>
      <c r="K1270" s="2"/>
      <c r="L1270" s="2"/>
      <c r="M1270" s="2"/>
      <c r="N1270" s="2"/>
      <c r="O1270" s="2"/>
      <c r="P1270" s="66"/>
      <c r="Q1270" s="66"/>
      <c r="R1270" s="2"/>
    </row>
    <row r="1271" spans="1:18">
      <c r="A1271" s="3"/>
      <c r="B1271" s="3"/>
      <c r="C1271" s="2"/>
      <c r="D1271" s="2"/>
      <c r="E1271" s="64"/>
      <c r="F1271" s="64"/>
      <c r="G1271" s="64"/>
      <c r="H1271" s="64"/>
      <c r="I1271" s="2"/>
      <c r="J1271" s="2"/>
      <c r="K1271" s="2"/>
      <c r="L1271" s="2"/>
      <c r="M1271" s="2"/>
      <c r="N1271" s="2"/>
      <c r="O1271" s="2"/>
      <c r="P1271" s="66"/>
      <c r="Q1271" s="66"/>
      <c r="R1271" s="2"/>
    </row>
    <row r="1272" spans="1:18">
      <c r="A1272" s="3"/>
      <c r="B1272" s="3"/>
      <c r="C1272" s="2"/>
      <c r="D1272" s="2"/>
      <c r="E1272" s="64"/>
      <c r="F1272" s="64"/>
      <c r="G1272" s="64"/>
      <c r="H1272" s="64"/>
      <c r="I1272" s="2"/>
      <c r="J1272" s="2"/>
      <c r="K1272" s="2"/>
      <c r="L1272" s="2"/>
      <c r="M1272" s="2"/>
      <c r="N1272" s="2"/>
      <c r="O1272" s="2"/>
      <c r="P1272" s="66"/>
      <c r="Q1272" s="66"/>
      <c r="R1272" s="2"/>
    </row>
    <row r="1273" spans="1:18">
      <c r="A1273" s="3"/>
      <c r="B1273" s="3"/>
      <c r="C1273" s="2"/>
      <c r="D1273" s="2"/>
      <c r="E1273" s="64"/>
      <c r="F1273" s="64"/>
      <c r="G1273" s="64"/>
      <c r="H1273" s="64"/>
      <c r="I1273" s="2"/>
      <c r="J1273" s="2"/>
      <c r="K1273" s="2"/>
      <c r="L1273" s="2"/>
      <c r="M1273" s="2"/>
      <c r="N1273" s="2"/>
      <c r="O1273" s="2"/>
      <c r="P1273" s="66"/>
      <c r="Q1273" s="66"/>
      <c r="R1273" s="2"/>
    </row>
    <row r="1274" spans="1:18">
      <c r="A1274" s="3"/>
      <c r="B1274" s="3"/>
      <c r="C1274" s="2"/>
      <c r="D1274" s="2"/>
      <c r="E1274" s="64"/>
      <c r="F1274" s="64"/>
      <c r="G1274" s="64"/>
      <c r="H1274" s="64"/>
      <c r="I1274" s="2"/>
      <c r="J1274" s="2"/>
      <c r="K1274" s="2"/>
      <c r="L1274" s="2"/>
      <c r="M1274" s="2"/>
      <c r="N1274" s="2"/>
      <c r="O1274" s="2"/>
      <c r="P1274" s="66"/>
      <c r="Q1274" s="66"/>
      <c r="R1274" s="2"/>
    </row>
    <row r="1275" spans="1:18">
      <c r="A1275" s="3"/>
      <c r="B1275" s="3"/>
      <c r="C1275" s="2"/>
      <c r="D1275" s="2"/>
      <c r="E1275" s="64"/>
      <c r="F1275" s="64"/>
      <c r="G1275" s="64"/>
      <c r="H1275" s="64"/>
      <c r="I1275" s="2"/>
      <c r="J1275" s="2"/>
      <c r="K1275" s="2"/>
      <c r="L1275" s="2"/>
      <c r="M1275" s="2"/>
      <c r="N1275" s="2"/>
      <c r="O1275" s="2"/>
      <c r="P1275" s="66"/>
      <c r="Q1275" s="66"/>
      <c r="R1275" s="2"/>
    </row>
    <row r="1276" spans="1:18">
      <c r="A1276" s="3"/>
      <c r="B1276" s="3"/>
      <c r="C1276" s="2"/>
      <c r="D1276" s="2"/>
      <c r="E1276" s="64"/>
      <c r="F1276" s="64"/>
      <c r="G1276" s="64"/>
      <c r="H1276" s="64"/>
      <c r="I1276" s="2"/>
      <c r="J1276" s="2"/>
      <c r="K1276" s="2"/>
      <c r="L1276" s="2"/>
      <c r="M1276" s="2"/>
      <c r="N1276" s="2"/>
      <c r="O1276" s="2"/>
      <c r="P1276" s="66"/>
      <c r="Q1276" s="66"/>
      <c r="R1276" s="2"/>
    </row>
    <row r="1277" spans="1:18">
      <c r="A1277" s="3"/>
      <c r="B1277" s="3"/>
      <c r="C1277" s="2"/>
      <c r="D1277" s="2"/>
      <c r="E1277" s="64"/>
      <c r="F1277" s="64"/>
      <c r="G1277" s="64"/>
      <c r="H1277" s="64"/>
      <c r="I1277" s="2"/>
      <c r="J1277" s="2"/>
      <c r="K1277" s="2"/>
      <c r="L1277" s="2"/>
      <c r="M1277" s="2"/>
      <c r="N1277" s="2"/>
      <c r="O1277" s="2"/>
      <c r="P1277" s="66"/>
      <c r="Q1277" s="66"/>
      <c r="R1277" s="2"/>
    </row>
    <row r="1278" spans="1:18">
      <c r="A1278" s="3"/>
      <c r="B1278" s="3"/>
      <c r="C1278" s="2"/>
      <c r="D1278" s="2"/>
      <c r="E1278" s="64"/>
      <c r="F1278" s="64"/>
      <c r="G1278" s="64"/>
      <c r="H1278" s="64"/>
      <c r="I1278" s="2"/>
      <c r="J1278" s="2"/>
      <c r="K1278" s="2"/>
      <c r="L1278" s="2"/>
      <c r="M1278" s="2"/>
      <c r="N1278" s="2"/>
      <c r="O1278" s="2"/>
      <c r="P1278" s="66"/>
      <c r="Q1278" s="66"/>
      <c r="R1278" s="2"/>
    </row>
    <row r="1279" spans="1:18">
      <c r="A1279" s="3"/>
      <c r="B1279" s="3"/>
      <c r="C1279" s="2"/>
      <c r="D1279" s="2"/>
      <c r="E1279" s="64"/>
      <c r="F1279" s="64"/>
      <c r="G1279" s="64"/>
      <c r="H1279" s="64"/>
      <c r="I1279" s="2"/>
      <c r="J1279" s="2"/>
      <c r="K1279" s="2"/>
      <c r="L1279" s="2"/>
      <c r="M1279" s="2"/>
      <c r="N1279" s="2"/>
      <c r="O1279" s="2"/>
      <c r="P1279" s="66"/>
      <c r="Q1279" s="66"/>
      <c r="R1279" s="2"/>
    </row>
    <row r="1280" spans="1:18">
      <c r="A1280" s="3"/>
      <c r="B1280" s="3"/>
      <c r="C1280" s="2"/>
      <c r="D1280" s="2"/>
      <c r="E1280" s="64"/>
      <c r="F1280" s="64"/>
      <c r="G1280" s="64"/>
      <c r="H1280" s="64"/>
      <c r="I1280" s="2"/>
      <c r="J1280" s="2"/>
      <c r="K1280" s="2"/>
      <c r="L1280" s="2"/>
      <c r="M1280" s="2"/>
      <c r="N1280" s="2"/>
      <c r="O1280" s="2"/>
      <c r="P1280" s="66"/>
      <c r="Q1280" s="66"/>
      <c r="R1280" s="2"/>
    </row>
    <row r="1281" spans="1:18">
      <c r="A1281" s="3"/>
      <c r="B1281" s="3"/>
      <c r="C1281" s="2"/>
      <c r="D1281" s="2"/>
      <c r="E1281" s="64"/>
      <c r="F1281" s="64"/>
      <c r="G1281" s="64"/>
      <c r="H1281" s="64"/>
      <c r="I1281" s="2"/>
      <c r="J1281" s="2"/>
      <c r="K1281" s="2"/>
      <c r="L1281" s="2"/>
      <c r="M1281" s="2"/>
      <c r="N1281" s="2"/>
      <c r="O1281" s="2"/>
      <c r="P1281" s="66"/>
      <c r="Q1281" s="66"/>
      <c r="R1281" s="2"/>
    </row>
    <row r="1282" spans="1:18">
      <c r="A1282" s="3"/>
      <c r="B1282" s="3"/>
      <c r="C1282" s="2"/>
      <c r="D1282" s="2"/>
      <c r="E1282" s="64"/>
      <c r="F1282" s="64"/>
      <c r="G1282" s="64"/>
      <c r="H1282" s="64"/>
      <c r="I1282" s="2"/>
      <c r="L1282" s="2"/>
      <c r="M1282" s="2"/>
      <c r="N1282" s="2"/>
    </row>
    <row r="1283" spans="1:18">
      <c r="A1283" s="3"/>
      <c r="B1283" s="3"/>
      <c r="C1283" s="2"/>
      <c r="D1283" s="2"/>
      <c r="E1283" s="64"/>
      <c r="F1283" s="64"/>
      <c r="G1283" s="64"/>
      <c r="H1283" s="64"/>
      <c r="I1283" s="2"/>
      <c r="L1283" s="2"/>
      <c r="M1283" s="2"/>
      <c r="N1283" s="2"/>
    </row>
    <row r="1284" spans="1:18">
      <c r="A1284" s="3"/>
      <c r="B1284" s="3"/>
      <c r="C1284" s="2"/>
      <c r="D1284" s="2"/>
      <c r="E1284" s="64"/>
      <c r="F1284" s="64"/>
      <c r="G1284" s="64"/>
      <c r="H1284" s="64"/>
      <c r="I1284" s="2"/>
      <c r="L1284" s="2"/>
      <c r="M1284" s="2"/>
      <c r="N1284" s="2"/>
    </row>
    <row r="1285" spans="1:18">
      <c r="A1285" s="3"/>
      <c r="B1285" s="3"/>
      <c r="C1285" s="2"/>
      <c r="D1285" s="2"/>
      <c r="E1285" s="64"/>
      <c r="F1285" s="64"/>
      <c r="G1285" s="64"/>
      <c r="H1285" s="64"/>
      <c r="I1285" s="2"/>
      <c r="L1285" s="2"/>
      <c r="M1285" s="2"/>
      <c r="N1285" s="2"/>
    </row>
    <row r="1286" spans="1:18">
      <c r="A1286" s="3"/>
      <c r="B1286" s="3"/>
      <c r="C1286" s="2"/>
      <c r="D1286" s="2"/>
      <c r="E1286" s="64"/>
      <c r="F1286" s="64"/>
      <c r="G1286" s="64"/>
      <c r="H1286" s="64"/>
      <c r="I1286" s="2"/>
      <c r="L1286" s="2"/>
      <c r="M1286" s="2"/>
      <c r="N1286" s="2"/>
    </row>
    <row r="1287" spans="1:18">
      <c r="A1287" s="3"/>
      <c r="B1287" s="3"/>
      <c r="C1287" s="2"/>
      <c r="D1287" s="2"/>
      <c r="E1287" s="64"/>
      <c r="F1287" s="64"/>
      <c r="G1287" s="64"/>
      <c r="H1287" s="64"/>
      <c r="I1287" s="2"/>
      <c r="L1287" s="2"/>
      <c r="M1287" s="2"/>
      <c r="N1287" s="2"/>
    </row>
    <row r="1288" spans="1:18">
      <c r="A1288" s="3"/>
      <c r="B1288" s="3"/>
      <c r="C1288" s="2"/>
      <c r="D1288" s="2"/>
      <c r="E1288" s="64"/>
      <c r="F1288" s="64"/>
      <c r="G1288" s="64"/>
      <c r="H1288" s="64"/>
      <c r="I1288" s="2"/>
      <c r="L1288" s="2"/>
      <c r="M1288" s="2"/>
      <c r="N1288" s="2"/>
    </row>
    <row r="1289" spans="1:18">
      <c r="A1289" s="3"/>
      <c r="B1289" s="3"/>
      <c r="C1289" s="2"/>
      <c r="D1289" s="2"/>
      <c r="E1289" s="64"/>
      <c r="F1289" s="64"/>
      <c r="G1289" s="64"/>
      <c r="H1289" s="64"/>
      <c r="I1289" s="2"/>
      <c r="L1289" s="2"/>
      <c r="M1289" s="2"/>
      <c r="N1289" s="2"/>
    </row>
    <row r="1290" spans="1:18">
      <c r="A1290" s="3"/>
      <c r="B1290" s="3"/>
      <c r="C1290" s="2"/>
      <c r="D1290" s="2"/>
      <c r="E1290" s="64"/>
      <c r="F1290" s="64"/>
      <c r="G1290" s="64"/>
      <c r="H1290" s="64"/>
      <c r="I1290" s="2"/>
      <c r="L1290" s="2"/>
      <c r="M1290" s="2"/>
      <c r="N1290" s="2"/>
    </row>
    <row r="1291" spans="1:18">
      <c r="A1291" s="3"/>
      <c r="B1291" s="3"/>
      <c r="C1291" s="2"/>
      <c r="D1291" s="2"/>
      <c r="E1291" s="64"/>
      <c r="F1291" s="64"/>
      <c r="G1291" s="64"/>
      <c r="H1291" s="64"/>
      <c r="I1291" s="2"/>
      <c r="L1291" s="2"/>
      <c r="M1291" s="2"/>
      <c r="N1291" s="2"/>
    </row>
    <row r="1292" spans="1:18">
      <c r="A1292" s="3"/>
      <c r="B1292" s="3"/>
      <c r="C1292" s="2"/>
      <c r="D1292" s="2"/>
      <c r="E1292" s="64"/>
      <c r="F1292" s="64"/>
      <c r="G1292" s="64"/>
      <c r="H1292" s="64"/>
      <c r="I1292" s="2"/>
      <c r="L1292" s="2"/>
      <c r="M1292" s="2"/>
      <c r="N1292" s="2"/>
    </row>
    <row r="1293" spans="1:18">
      <c r="A1293" s="3"/>
      <c r="B1293" s="3"/>
      <c r="C1293" s="2"/>
      <c r="D1293" s="2"/>
      <c r="E1293" s="64"/>
      <c r="F1293" s="64"/>
      <c r="G1293" s="64"/>
      <c r="H1293" s="64"/>
      <c r="I1293" s="2"/>
      <c r="L1293" s="2"/>
      <c r="M1293" s="2"/>
      <c r="N1293" s="2"/>
    </row>
    <row r="1294" spans="1:18">
      <c r="A1294" s="3"/>
      <c r="B1294" s="3"/>
      <c r="C1294" s="2"/>
      <c r="D1294" s="2"/>
      <c r="E1294" s="64"/>
      <c r="F1294" s="64"/>
      <c r="G1294" s="64"/>
      <c r="H1294" s="64"/>
      <c r="I1294" s="2"/>
      <c r="L1294" s="2"/>
      <c r="M1294" s="2"/>
      <c r="N1294" s="2"/>
    </row>
    <row r="1295" spans="1:18">
      <c r="A1295" s="3"/>
      <c r="B1295" s="3"/>
      <c r="C1295" s="2"/>
      <c r="D1295" s="2"/>
      <c r="E1295" s="64"/>
      <c r="F1295" s="64"/>
      <c r="G1295" s="64"/>
      <c r="H1295" s="64"/>
      <c r="I1295" s="2"/>
      <c r="L1295" s="2"/>
      <c r="M1295" s="2"/>
      <c r="N1295" s="2"/>
    </row>
    <row r="1296" spans="1:18">
      <c r="A1296" s="3"/>
      <c r="B1296" s="3"/>
      <c r="C1296" s="2"/>
      <c r="D1296" s="2"/>
      <c r="E1296" s="64"/>
      <c r="F1296" s="64"/>
      <c r="G1296" s="64"/>
      <c r="H1296" s="64"/>
      <c r="I1296" s="2"/>
      <c r="L1296" s="2"/>
      <c r="M1296" s="2"/>
      <c r="N1296" s="2"/>
    </row>
    <row r="1297" spans="1:14">
      <c r="A1297" s="3"/>
      <c r="B1297" s="3"/>
      <c r="C1297" s="2"/>
      <c r="D1297" s="2"/>
      <c r="E1297" s="64"/>
      <c r="F1297" s="64"/>
      <c r="G1297" s="64"/>
      <c r="H1297" s="64"/>
      <c r="I1297" s="2"/>
      <c r="L1297" s="2"/>
      <c r="M1297" s="2"/>
      <c r="N1297" s="2"/>
    </row>
    <row r="1298" spans="1:14">
      <c r="A1298" s="3"/>
      <c r="B1298" s="3"/>
      <c r="C1298" s="2"/>
      <c r="D1298" s="2"/>
      <c r="E1298" s="64"/>
      <c r="F1298" s="64"/>
      <c r="G1298" s="64"/>
      <c r="H1298" s="64"/>
      <c r="I1298" s="2"/>
      <c r="L1298" s="2"/>
      <c r="M1298" s="2"/>
      <c r="N1298" s="2"/>
    </row>
    <row r="1299" spans="1:14">
      <c r="A1299" s="3"/>
      <c r="B1299" s="3"/>
      <c r="C1299" s="2"/>
      <c r="D1299" s="2"/>
      <c r="E1299" s="64"/>
      <c r="F1299" s="64"/>
      <c r="G1299" s="64"/>
      <c r="H1299" s="64"/>
      <c r="I1299" s="2"/>
      <c r="L1299" s="2"/>
      <c r="M1299" s="2"/>
      <c r="N1299" s="2"/>
    </row>
    <row r="1300" spans="1:14">
      <c r="A1300" s="3"/>
      <c r="B1300" s="3"/>
      <c r="C1300" s="2"/>
      <c r="D1300" s="2"/>
      <c r="E1300" s="64"/>
      <c r="F1300" s="64"/>
      <c r="G1300" s="64"/>
      <c r="H1300" s="64"/>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Sheet1">
    <tabColor theme="5" tint="0.59999389629810485"/>
  </sheetPr>
  <dimension ref="A1:AAY764"/>
  <sheetViews>
    <sheetView showGridLines="0" tabSelected="1" topLeftCell="A19" zoomScaleNormal="100" workbookViewId="0">
      <selection activeCell="D34" sqref="D34:E34"/>
    </sheetView>
  </sheetViews>
  <sheetFormatPr defaultColWidth="9" defaultRowHeight="14.25" outlineLevelRow="3" outlineLevelCol="2"/>
  <cols>
    <col min="1" max="1" width="1.5" customWidth="1"/>
    <col min="2" max="2" width="56.625" customWidth="1"/>
    <col min="3" max="3" width="2.375" style="45" customWidth="1"/>
    <col min="4" max="4" width="2.375" style="239" customWidth="1" outlineLevel="1"/>
    <col min="5" max="5" width="5.625" style="43" customWidth="1" outlineLevel="1"/>
    <col min="6" max="6" width="5" style="43" customWidth="1" outlineLevel="1"/>
    <col min="7" max="8" width="9.125" style="45" customWidth="1" outlineLevel="1"/>
    <col min="9" max="9" width="2.375" style="777" customWidth="1"/>
    <col min="10" max="701" width="2.375" hidden="1" customWidth="1" outlineLevel="1"/>
    <col min="702" max="702" width="2.375" style="52" hidden="1" customWidth="1" outlineLevel="1"/>
    <col min="703" max="703" width="2.375" style="52" customWidth="1" collapsed="1"/>
    <col min="704" max="704" width="2.375" customWidth="1"/>
    <col min="705" max="705" width="0.375" customWidth="1"/>
    <col min="706" max="706" width="1.75" style="166" customWidth="1" outlineLevel="1"/>
    <col min="707" max="707" width="5" style="523" customWidth="1" outlineLevel="2"/>
    <col min="708" max="708" width="2.25" style="165" customWidth="1" outlineLevel="2"/>
    <col min="709" max="709" width="7.375" customWidth="1" outlineLevel="2"/>
    <col min="710" max="710" width="8.375" style="23" customWidth="1" outlineLevel="2"/>
    <col min="711" max="711" width="12.25" style="42" customWidth="1" outlineLevel="2"/>
    <col min="712" max="712" width="5.75" style="23" customWidth="1" outlineLevel="1"/>
    <col min="713" max="713" width="52.125" customWidth="1"/>
    <col min="714" max="714" width="4.5" customWidth="1" outlineLevel="1"/>
    <col min="715" max="715" width="18.25" style="23" customWidth="1"/>
  </cols>
  <sheetData>
    <row r="1" spans="1:727" ht="6" customHeight="1">
      <c r="A1" s="171"/>
      <c r="B1" s="202" t="s">
        <v>0</v>
      </c>
      <c r="C1" s="203"/>
      <c r="D1" s="228"/>
      <c r="E1" s="204"/>
      <c r="F1" s="205"/>
      <c r="G1" s="206"/>
      <c r="H1" s="209"/>
      <c r="I1" s="244"/>
      <c r="J1" s="207"/>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AAA1" s="192"/>
      <c r="AAD1" s="90"/>
      <c r="AAE1" s="881" t="s">
        <v>74</v>
      </c>
      <c r="AAF1" s="881"/>
      <c r="AAG1" s="881"/>
      <c r="AAH1" s="881"/>
      <c r="AAI1" s="881"/>
      <c r="AAJ1" s="881"/>
      <c r="AAK1" s="881"/>
      <c r="AAL1" s="90"/>
      <c r="AAM1"/>
    </row>
    <row r="2" spans="1:727" ht="17.25" customHeight="1">
      <c r="A2" s="845"/>
      <c r="B2" s="847" t="s">
        <v>35</v>
      </c>
      <c r="C2" s="880" t="str">
        <f>S.General.RulemakingTitle</f>
        <v>Incorporate Lane Regional Air Protection Agency Rules into State Implementation Plan</v>
      </c>
      <c r="D2" s="880"/>
      <c r="E2" s="880"/>
      <c r="F2" s="880"/>
      <c r="G2" s="880"/>
      <c r="H2" s="880"/>
      <c r="I2" s="244"/>
      <c r="J2" s="215" t="s">
        <v>85</v>
      </c>
      <c r="K2" s="2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AAD2" s="90"/>
      <c r="AAE2" s="881"/>
      <c r="AAF2" s="881"/>
      <c r="AAG2" s="881"/>
      <c r="AAH2" s="881"/>
      <c r="AAI2" s="881"/>
      <c r="AAJ2" s="881"/>
      <c r="AAK2" s="881"/>
      <c r="AAL2" s="90"/>
      <c r="AAM2"/>
    </row>
    <row r="3" spans="1:727" ht="18" customHeight="1">
      <c r="A3" s="845"/>
      <c r="B3" s="847"/>
      <c r="C3" s="880"/>
      <c r="D3" s="880"/>
      <c r="E3" s="880"/>
      <c r="F3" s="880"/>
      <c r="G3" s="880"/>
      <c r="H3" s="880"/>
      <c r="I3" s="244"/>
      <c r="J3" s="776">
        <v>0</v>
      </c>
      <c r="K3" s="35"/>
      <c r="N3" s="52"/>
      <c r="O3" s="885" t="s">
        <v>29</v>
      </c>
      <c r="P3" s="886"/>
      <c r="Q3" s="764"/>
      <c r="R3" s="883" t="s">
        <v>28</v>
      </c>
      <c r="S3" s="884"/>
      <c r="T3" s="765"/>
      <c r="U3" s="869" t="s">
        <v>27</v>
      </c>
      <c r="V3" s="870"/>
      <c r="W3" s="765"/>
      <c r="X3" s="765"/>
      <c r="Y3" s="766"/>
      <c r="Z3" s="766"/>
      <c r="AA3" s="766"/>
      <c r="AB3" s="766"/>
      <c r="AC3" s="766"/>
      <c r="AD3" s="766"/>
      <c r="AE3" s="766"/>
      <c r="AF3" s="766"/>
      <c r="AG3" s="766"/>
      <c r="AH3" s="766"/>
      <c r="AI3" s="766"/>
      <c r="AJ3" s="766"/>
      <c r="AK3" s="766"/>
      <c r="AL3" s="766"/>
      <c r="AM3" s="885" t="s">
        <v>29</v>
      </c>
      <c r="AN3" s="886"/>
      <c r="AO3" s="767"/>
      <c r="AP3" s="883" t="s">
        <v>28</v>
      </c>
      <c r="AQ3" s="884"/>
      <c r="AR3" s="767"/>
      <c r="AS3" s="869" t="s">
        <v>27</v>
      </c>
      <c r="AT3" s="870"/>
      <c r="BO3" s="871" t="s">
        <v>29</v>
      </c>
      <c r="BP3" s="872"/>
      <c r="BQ3" s="768"/>
      <c r="BR3" s="873" t="s">
        <v>28</v>
      </c>
      <c r="BS3" s="874"/>
      <c r="BT3" s="768"/>
      <c r="BU3" s="875" t="s">
        <v>27</v>
      </c>
      <c r="BV3" s="876"/>
      <c r="BW3" s="769"/>
      <c r="BX3" s="769"/>
      <c r="BY3" s="769"/>
      <c r="BZ3" s="769"/>
      <c r="CA3" s="769"/>
      <c r="CB3" s="769"/>
      <c r="CC3" s="769"/>
      <c r="CD3" s="769"/>
      <c r="CE3" s="769"/>
      <c r="CF3" s="769"/>
      <c r="CG3" s="769"/>
      <c r="CH3" s="769"/>
      <c r="CI3" s="769"/>
      <c r="CJ3" s="769"/>
      <c r="CK3" s="769"/>
      <c r="CL3" s="769"/>
      <c r="CM3" s="769"/>
      <c r="CN3" s="769"/>
      <c r="CO3" s="769"/>
      <c r="CP3" s="871" t="s">
        <v>29</v>
      </c>
      <c r="CQ3" s="872"/>
      <c r="CR3" s="768"/>
      <c r="CS3" s="873" t="s">
        <v>28</v>
      </c>
      <c r="CT3" s="874"/>
      <c r="CU3" s="768"/>
      <c r="CV3" s="875" t="s">
        <v>27</v>
      </c>
      <c r="CW3" s="876"/>
      <c r="CX3" s="769"/>
      <c r="CY3" s="769"/>
      <c r="CZ3" s="769"/>
      <c r="DA3" s="769"/>
      <c r="DB3" s="769"/>
      <c r="DC3" s="769"/>
      <c r="DD3" s="769"/>
      <c r="DE3" s="769"/>
      <c r="DF3" s="769"/>
      <c r="DG3" s="769"/>
      <c r="DH3" s="769"/>
      <c r="DI3" s="769"/>
      <c r="DJ3" s="769"/>
      <c r="DK3" s="769"/>
      <c r="DL3" s="769"/>
      <c r="DM3" s="769"/>
      <c r="DN3" s="769"/>
      <c r="DO3" s="769"/>
      <c r="DP3" s="769"/>
      <c r="AAA3" s="192"/>
      <c r="AAD3" s="90"/>
      <c r="AAE3" s="518" t="s">
        <v>217</v>
      </c>
      <c r="AAF3" s="167" t="s">
        <v>56</v>
      </c>
      <c r="AAG3" s="59"/>
      <c r="AAH3" s="59"/>
      <c r="AAI3" s="882" t="s">
        <v>0</v>
      </c>
      <c r="AAJ3" s="89"/>
      <c r="AAK3" s="493" t="str">
        <f>"Last row = "&amp;ROW(S.General.LastCellSchedule)</f>
        <v>Last row = 763</v>
      </c>
      <c r="AAL3" s="90"/>
      <c r="AAM3"/>
    </row>
    <row r="4" spans="1:727" ht="25.5" customHeight="1">
      <c r="A4" s="171" t="s">
        <v>0</v>
      </c>
      <c r="B4" s="119" t="s">
        <v>31</v>
      </c>
      <c r="C4" s="164"/>
      <c r="D4" s="229" t="s">
        <v>0</v>
      </c>
      <c r="E4" s="846" t="s">
        <v>0</v>
      </c>
      <c r="F4" s="846"/>
      <c r="G4" s="849" t="s">
        <v>0</v>
      </c>
      <c r="H4" s="849"/>
      <c r="I4" s="244"/>
      <c r="J4" s="243" t="e">
        <f>#REF!</f>
        <v>#REF!</v>
      </c>
      <c r="K4" s="243" t="str">
        <f ca="1">IF(WEEKDAY(K$7)=2,K7,"")</f>
        <v/>
      </c>
      <c r="L4" s="243" t="str">
        <f t="shared" ref="L4:BW4" ca="1" si="0">IF(WEEKDAY(L$7)=2,L7,"")</f>
        <v/>
      </c>
      <c r="M4" s="243" t="str">
        <f t="shared" ca="1" si="0"/>
        <v/>
      </c>
      <c r="N4" s="243" t="str">
        <f t="shared" ca="1" si="0"/>
        <v/>
      </c>
      <c r="O4" s="243" t="str">
        <f t="shared" ca="1" si="0"/>
        <v/>
      </c>
      <c r="P4" s="243">
        <f t="shared" ca="1" si="0"/>
        <v>41624</v>
      </c>
      <c r="Q4" s="243" t="str">
        <f t="shared" ca="1" si="0"/>
        <v/>
      </c>
      <c r="R4" s="243" t="str">
        <f t="shared" ca="1" si="0"/>
        <v/>
      </c>
      <c r="S4" s="243" t="str">
        <f t="shared" ca="1" si="0"/>
        <v/>
      </c>
      <c r="T4" s="243" t="str">
        <f t="shared" ca="1" si="0"/>
        <v/>
      </c>
      <c r="U4" s="243" t="str">
        <f t="shared" ca="1" si="0"/>
        <v/>
      </c>
      <c r="V4" s="243" t="str">
        <f t="shared" ca="1" si="0"/>
        <v/>
      </c>
      <c r="W4" s="243">
        <f t="shared" ca="1" si="0"/>
        <v>41631</v>
      </c>
      <c r="X4" s="243" t="str">
        <f t="shared" ca="1" si="0"/>
        <v/>
      </c>
      <c r="Y4" s="243" t="str">
        <f t="shared" ca="1" si="0"/>
        <v/>
      </c>
      <c r="Z4" s="243" t="str">
        <f t="shared" ca="1" si="0"/>
        <v/>
      </c>
      <c r="AA4" s="243" t="str">
        <f t="shared" ca="1" si="0"/>
        <v/>
      </c>
      <c r="AB4" s="243" t="str">
        <f t="shared" ca="1" si="0"/>
        <v/>
      </c>
      <c r="AC4" s="243" t="str">
        <f t="shared" ca="1" si="0"/>
        <v/>
      </c>
      <c r="AD4" s="243">
        <f t="shared" ca="1" si="0"/>
        <v>41638</v>
      </c>
      <c r="AE4" s="243" t="str">
        <f t="shared" ca="1" si="0"/>
        <v/>
      </c>
      <c r="AF4" s="243" t="str">
        <f t="shared" ca="1" si="0"/>
        <v/>
      </c>
      <c r="AG4" s="243" t="str">
        <f t="shared" ca="1" si="0"/>
        <v/>
      </c>
      <c r="AH4" s="243" t="str">
        <f t="shared" ca="1" si="0"/>
        <v/>
      </c>
      <c r="AI4" s="243" t="str">
        <f t="shared" ca="1" si="0"/>
        <v/>
      </c>
      <c r="AJ4" s="243" t="str">
        <f t="shared" ca="1" si="0"/>
        <v/>
      </c>
      <c r="AK4" s="243">
        <f t="shared" ca="1" si="0"/>
        <v>41645</v>
      </c>
      <c r="AL4" s="243" t="str">
        <f t="shared" ca="1" si="0"/>
        <v/>
      </c>
      <c r="AM4" s="243" t="str">
        <f t="shared" ca="1" si="0"/>
        <v/>
      </c>
      <c r="AN4" s="243" t="str">
        <f t="shared" ca="1" si="0"/>
        <v/>
      </c>
      <c r="AO4" s="243" t="str">
        <f t="shared" ca="1" si="0"/>
        <v/>
      </c>
      <c r="AP4" s="243" t="str">
        <f t="shared" ca="1" si="0"/>
        <v/>
      </c>
      <c r="AQ4" s="243" t="str">
        <f t="shared" ca="1" si="0"/>
        <v/>
      </c>
      <c r="AR4" s="243">
        <f t="shared" ca="1" si="0"/>
        <v>41652</v>
      </c>
      <c r="AS4" s="243" t="str">
        <f t="shared" ca="1" si="0"/>
        <v/>
      </c>
      <c r="AT4" s="243" t="str">
        <f t="shared" ca="1" si="0"/>
        <v/>
      </c>
      <c r="AU4" s="243" t="str">
        <f t="shared" ca="1" si="0"/>
        <v/>
      </c>
      <c r="AV4" s="243" t="str">
        <f t="shared" ca="1" si="0"/>
        <v/>
      </c>
      <c r="AW4" s="243" t="str">
        <f t="shared" ca="1" si="0"/>
        <v/>
      </c>
      <c r="AX4" s="243" t="str">
        <f t="shared" ca="1" si="0"/>
        <v/>
      </c>
      <c r="AY4" s="243">
        <f t="shared" ca="1" si="0"/>
        <v>41659</v>
      </c>
      <c r="AZ4" s="243" t="str">
        <f t="shared" ca="1" si="0"/>
        <v/>
      </c>
      <c r="BA4" s="243" t="str">
        <f t="shared" ca="1" si="0"/>
        <v/>
      </c>
      <c r="BB4" s="243" t="str">
        <f t="shared" ca="1" si="0"/>
        <v/>
      </c>
      <c r="BC4" s="243" t="str">
        <f t="shared" ca="1" si="0"/>
        <v/>
      </c>
      <c r="BD4" s="243" t="str">
        <f t="shared" ca="1" si="0"/>
        <v/>
      </c>
      <c r="BE4" s="243" t="str">
        <f t="shared" ca="1" si="0"/>
        <v/>
      </c>
      <c r="BF4" s="243">
        <f t="shared" ca="1" si="0"/>
        <v>41666</v>
      </c>
      <c r="BG4" s="243" t="str">
        <f t="shared" ca="1" si="0"/>
        <v/>
      </c>
      <c r="BH4" s="243" t="str">
        <f t="shared" ca="1" si="0"/>
        <v/>
      </c>
      <c r="BI4" s="243" t="str">
        <f t="shared" ca="1" si="0"/>
        <v/>
      </c>
      <c r="BJ4" s="243" t="str">
        <f t="shared" ca="1" si="0"/>
        <v/>
      </c>
      <c r="BK4" s="243" t="str">
        <f t="shared" ca="1" si="0"/>
        <v/>
      </c>
      <c r="BL4" s="243" t="str">
        <f t="shared" ca="1" si="0"/>
        <v/>
      </c>
      <c r="BM4" s="243">
        <f t="shared" ca="1" si="0"/>
        <v>41673</v>
      </c>
      <c r="BN4" s="243" t="str">
        <f t="shared" ca="1" si="0"/>
        <v/>
      </c>
      <c r="BO4" s="243" t="str">
        <f t="shared" ca="1" si="0"/>
        <v/>
      </c>
      <c r="BP4" s="243" t="str">
        <f t="shared" ca="1" si="0"/>
        <v/>
      </c>
      <c r="BQ4" s="243" t="str">
        <f t="shared" ca="1" si="0"/>
        <v/>
      </c>
      <c r="BR4" s="243" t="str">
        <f t="shared" ca="1" si="0"/>
        <v/>
      </c>
      <c r="BS4" s="243" t="str">
        <f t="shared" ca="1" si="0"/>
        <v/>
      </c>
      <c r="BT4" s="243">
        <f t="shared" ca="1" si="0"/>
        <v>41680</v>
      </c>
      <c r="BU4" s="243" t="str">
        <f t="shared" ca="1" si="0"/>
        <v/>
      </c>
      <c r="BV4" s="243" t="str">
        <f t="shared" ca="1" si="0"/>
        <v/>
      </c>
      <c r="BW4" s="243" t="str">
        <f t="shared" ca="1" si="0"/>
        <v/>
      </c>
      <c r="BX4" s="243" t="str">
        <f t="shared" ref="BX4:DP4" ca="1" si="1">IF(WEEKDAY(BX$7)=2,BX7,"")</f>
        <v/>
      </c>
      <c r="BY4" s="243" t="str">
        <f t="shared" ca="1" si="1"/>
        <v/>
      </c>
      <c r="BZ4" s="243" t="str">
        <f t="shared" ca="1" si="1"/>
        <v/>
      </c>
      <c r="CA4" s="243">
        <f t="shared" ca="1" si="1"/>
        <v>41687</v>
      </c>
      <c r="CB4" s="243" t="str">
        <f t="shared" ca="1" si="1"/>
        <v/>
      </c>
      <c r="CC4" s="243" t="str">
        <f t="shared" ca="1" si="1"/>
        <v/>
      </c>
      <c r="CD4" s="243" t="str">
        <f t="shared" ca="1" si="1"/>
        <v/>
      </c>
      <c r="CE4" s="243" t="str">
        <f t="shared" ca="1" si="1"/>
        <v/>
      </c>
      <c r="CF4" s="243" t="str">
        <f t="shared" ca="1" si="1"/>
        <v/>
      </c>
      <c r="CG4" s="243" t="str">
        <f t="shared" ca="1" si="1"/>
        <v/>
      </c>
      <c r="CH4" s="243">
        <f t="shared" ca="1" si="1"/>
        <v>41694</v>
      </c>
      <c r="CI4" s="243" t="str">
        <f t="shared" ca="1" si="1"/>
        <v/>
      </c>
      <c r="CJ4" s="243" t="str">
        <f t="shared" ca="1" si="1"/>
        <v/>
      </c>
      <c r="CK4" s="243" t="str">
        <f t="shared" ca="1" si="1"/>
        <v/>
      </c>
      <c r="CL4" s="243" t="str">
        <f t="shared" ca="1" si="1"/>
        <v/>
      </c>
      <c r="CM4" s="243" t="str">
        <f t="shared" ca="1" si="1"/>
        <v/>
      </c>
      <c r="CN4" s="243" t="str">
        <f t="shared" ca="1" si="1"/>
        <v/>
      </c>
      <c r="CO4" s="243">
        <f t="shared" ca="1" si="1"/>
        <v>41701</v>
      </c>
      <c r="CP4" s="243" t="str">
        <f t="shared" ca="1" si="1"/>
        <v/>
      </c>
      <c r="CQ4" s="243" t="str">
        <f t="shared" ca="1" si="1"/>
        <v/>
      </c>
      <c r="CR4" s="243" t="str">
        <f t="shared" ca="1" si="1"/>
        <v/>
      </c>
      <c r="CS4" s="243" t="str">
        <f t="shared" ca="1" si="1"/>
        <v/>
      </c>
      <c r="CT4" s="243" t="str">
        <f t="shared" ca="1" si="1"/>
        <v/>
      </c>
      <c r="CU4" s="243" t="str">
        <f t="shared" ca="1" si="1"/>
        <v/>
      </c>
      <c r="CV4" s="243">
        <f t="shared" ca="1" si="1"/>
        <v>41708</v>
      </c>
      <c r="CW4" s="243" t="str">
        <f t="shared" ca="1" si="1"/>
        <v/>
      </c>
      <c r="CX4" s="243" t="str">
        <f t="shared" ca="1" si="1"/>
        <v/>
      </c>
      <c r="CY4" s="243" t="str">
        <f t="shared" ca="1" si="1"/>
        <v/>
      </c>
      <c r="CZ4" s="243" t="str">
        <f t="shared" ca="1" si="1"/>
        <v/>
      </c>
      <c r="DA4" s="243" t="str">
        <f t="shared" ca="1" si="1"/>
        <v/>
      </c>
      <c r="DB4" s="243" t="str">
        <f t="shared" ca="1" si="1"/>
        <v/>
      </c>
      <c r="DC4" s="243">
        <f t="shared" ca="1" si="1"/>
        <v>41715</v>
      </c>
      <c r="DD4" s="243" t="str">
        <f t="shared" ca="1" si="1"/>
        <v/>
      </c>
      <c r="DE4" s="243" t="str">
        <f t="shared" ca="1" si="1"/>
        <v/>
      </c>
      <c r="DF4" s="243" t="str">
        <f t="shared" ca="1" si="1"/>
        <v/>
      </c>
      <c r="DG4" s="243" t="str">
        <f t="shared" ca="1" si="1"/>
        <v/>
      </c>
      <c r="DH4" s="243" t="str">
        <f t="shared" ca="1" si="1"/>
        <v/>
      </c>
      <c r="DI4" s="243" t="str">
        <f t="shared" ca="1" si="1"/>
        <v/>
      </c>
      <c r="DJ4" s="243">
        <f t="shared" ca="1" si="1"/>
        <v>41722</v>
      </c>
      <c r="DK4" s="243" t="str">
        <f t="shared" ca="1" si="1"/>
        <v/>
      </c>
      <c r="DL4" s="243" t="str">
        <f t="shared" ca="1" si="1"/>
        <v/>
      </c>
      <c r="DM4" s="243" t="str">
        <f t="shared" ca="1" si="1"/>
        <v/>
      </c>
      <c r="DN4" s="243" t="str">
        <f t="shared" ca="1" si="1"/>
        <v/>
      </c>
      <c r="DO4" s="243" t="str">
        <f t="shared" ca="1" si="1"/>
        <v/>
      </c>
      <c r="DP4" s="243" t="str">
        <f t="shared" ca="1" si="1"/>
        <v/>
      </c>
      <c r="AAA4" s="192"/>
      <c r="AAD4" s="90"/>
      <c r="AAE4" s="519" t="s">
        <v>22</v>
      </c>
      <c r="AAF4" s="190" t="s">
        <v>52</v>
      </c>
      <c r="AAG4" s="72"/>
      <c r="AAH4" s="281">
        <v>2</v>
      </c>
      <c r="AAI4" s="882"/>
      <c r="AAJ4" s="163"/>
      <c r="AAK4" s="491"/>
      <c r="AAL4" s="90"/>
      <c r="AAM4"/>
    </row>
    <row r="5" spans="1:727" s="23" customFormat="1" ht="14.25" customHeight="1">
      <c r="A5" s="171"/>
      <c r="B5" s="570" t="str">
        <f ca="1">"Today "&amp;TEXT(TODAY(),"mm/dd/yy")</f>
        <v>Today 12/10/13</v>
      </c>
      <c r="C5" s="100" t="s">
        <v>0</v>
      </c>
      <c r="D5" s="237"/>
      <c r="E5" s="865" t="s">
        <v>225</v>
      </c>
      <c r="F5" s="865"/>
      <c r="G5" s="865" t="s">
        <v>12</v>
      </c>
      <c r="H5" s="865"/>
      <c r="I5" s="244"/>
      <c r="J5" s="195"/>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s="52"/>
      <c r="AAA5" s="192"/>
      <c r="AAD5" s="90"/>
      <c r="AAE5" s="519" t="s">
        <v>63</v>
      </c>
      <c r="AAF5" s="190" t="s">
        <v>52</v>
      </c>
      <c r="AAG5" s="90"/>
      <c r="AAH5" s="90"/>
      <c r="AAI5" s="72"/>
      <c r="AAJ5" s="81"/>
      <c r="AAK5" s="71"/>
      <c r="AAL5" s="90"/>
    </row>
    <row r="6" spans="1:727" s="552" customFormat="1" ht="27.75" customHeight="1">
      <c r="A6" s="545"/>
      <c r="B6" s="546" t="s">
        <v>0</v>
      </c>
      <c r="C6" s="547" t="s">
        <v>0</v>
      </c>
      <c r="D6" s="547"/>
      <c r="E6" s="559" t="s">
        <v>0</v>
      </c>
      <c r="F6" s="560" t="s">
        <v>226</v>
      </c>
      <c r="G6" s="548" t="s">
        <v>470</v>
      </c>
      <c r="H6" s="548" t="s">
        <v>227</v>
      </c>
      <c r="I6" s="549"/>
      <c r="J6" s="550"/>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s="52"/>
      <c r="AAA6" s="770"/>
      <c r="AAD6" s="553"/>
      <c r="AAE6" s="554" t="s">
        <v>63</v>
      </c>
      <c r="AAF6" s="555" t="s">
        <v>52</v>
      </c>
      <c r="AAG6" s="553"/>
      <c r="AAH6" s="553"/>
      <c r="AAI6" s="556"/>
      <c r="AAJ6" s="557"/>
      <c r="AAK6" s="756" t="s">
        <v>0</v>
      </c>
      <c r="AAL6" s="553"/>
    </row>
    <row r="7" spans="1:727" s="23" customFormat="1" ht="20.25" customHeight="1">
      <c r="A7" s="171"/>
      <c r="B7" s="569" t="s">
        <v>12</v>
      </c>
      <c r="C7" s="850" t="s">
        <v>0</v>
      </c>
      <c r="D7" s="850"/>
      <c r="E7" s="850"/>
      <c r="F7" s="566">
        <f ca="1">NETWORKDAYS(TODAY(),S.Overview.BANNER.End)</f>
        <v>80</v>
      </c>
      <c r="G7" s="567">
        <v>41572</v>
      </c>
      <c r="H7" s="568">
        <f>AAH7</f>
        <v>41729</v>
      </c>
      <c r="I7" s="244"/>
      <c r="J7" s="210">
        <f ca="1">TODAY()+J3</f>
        <v>41618</v>
      </c>
      <c r="K7" s="210">
        <f ca="1">J$7+1</f>
        <v>41619</v>
      </c>
      <c r="L7" s="210">
        <f t="shared" ref="L7:BW7" ca="1" si="2">K$7+1</f>
        <v>41620</v>
      </c>
      <c r="M7" s="210">
        <f t="shared" ca="1" si="2"/>
        <v>41621</v>
      </c>
      <c r="N7" s="210">
        <f t="shared" ca="1" si="2"/>
        <v>41622</v>
      </c>
      <c r="O7" s="210">
        <f t="shared" ca="1" si="2"/>
        <v>41623</v>
      </c>
      <c r="P7" s="210">
        <f t="shared" ca="1" si="2"/>
        <v>41624</v>
      </c>
      <c r="Q7" s="210">
        <f t="shared" ca="1" si="2"/>
        <v>41625</v>
      </c>
      <c r="R7" s="210">
        <f t="shared" ca="1" si="2"/>
        <v>41626</v>
      </c>
      <c r="S7" s="210">
        <f t="shared" ca="1" si="2"/>
        <v>41627</v>
      </c>
      <c r="T7" s="210">
        <f t="shared" ca="1" si="2"/>
        <v>41628</v>
      </c>
      <c r="U7" s="210">
        <f t="shared" ca="1" si="2"/>
        <v>41629</v>
      </c>
      <c r="V7" s="210">
        <f t="shared" ca="1" si="2"/>
        <v>41630</v>
      </c>
      <c r="W7" s="210">
        <f t="shared" ca="1" si="2"/>
        <v>41631</v>
      </c>
      <c r="X7" s="210">
        <f t="shared" ca="1" si="2"/>
        <v>41632</v>
      </c>
      <c r="Y7" s="210">
        <f t="shared" ca="1" si="2"/>
        <v>41633</v>
      </c>
      <c r="Z7" s="210">
        <f t="shared" ca="1" si="2"/>
        <v>41634</v>
      </c>
      <c r="AA7" s="210">
        <f t="shared" ca="1" si="2"/>
        <v>41635</v>
      </c>
      <c r="AB7" s="210">
        <f t="shared" ca="1" si="2"/>
        <v>41636</v>
      </c>
      <c r="AC7" s="210">
        <f t="shared" ca="1" si="2"/>
        <v>41637</v>
      </c>
      <c r="AD7" s="210">
        <f t="shared" ca="1" si="2"/>
        <v>41638</v>
      </c>
      <c r="AE7" s="210">
        <f t="shared" ca="1" si="2"/>
        <v>41639</v>
      </c>
      <c r="AF7" s="210">
        <f t="shared" ca="1" si="2"/>
        <v>41640</v>
      </c>
      <c r="AG7" s="210">
        <f t="shared" ca="1" si="2"/>
        <v>41641</v>
      </c>
      <c r="AH7" s="210">
        <f t="shared" ca="1" si="2"/>
        <v>41642</v>
      </c>
      <c r="AI7" s="210">
        <f t="shared" ca="1" si="2"/>
        <v>41643</v>
      </c>
      <c r="AJ7" s="210">
        <f t="shared" ca="1" si="2"/>
        <v>41644</v>
      </c>
      <c r="AK7" s="210">
        <f t="shared" ca="1" si="2"/>
        <v>41645</v>
      </c>
      <c r="AL7" s="210">
        <f t="shared" ca="1" si="2"/>
        <v>41646</v>
      </c>
      <c r="AM7" s="210">
        <f t="shared" ca="1" si="2"/>
        <v>41647</v>
      </c>
      <c r="AN7" s="210">
        <f t="shared" ca="1" si="2"/>
        <v>41648</v>
      </c>
      <c r="AO7" s="210">
        <f t="shared" ca="1" si="2"/>
        <v>41649</v>
      </c>
      <c r="AP7" s="210">
        <f t="shared" ca="1" si="2"/>
        <v>41650</v>
      </c>
      <c r="AQ7" s="210">
        <f t="shared" ca="1" si="2"/>
        <v>41651</v>
      </c>
      <c r="AR7" s="210">
        <f t="shared" ca="1" si="2"/>
        <v>41652</v>
      </c>
      <c r="AS7" s="210">
        <f t="shared" ca="1" si="2"/>
        <v>41653</v>
      </c>
      <c r="AT7" s="210">
        <f t="shared" ca="1" si="2"/>
        <v>41654</v>
      </c>
      <c r="AU7" s="210">
        <f t="shared" ca="1" si="2"/>
        <v>41655</v>
      </c>
      <c r="AV7" s="210">
        <f t="shared" ca="1" si="2"/>
        <v>41656</v>
      </c>
      <c r="AW7" s="210">
        <f t="shared" ca="1" si="2"/>
        <v>41657</v>
      </c>
      <c r="AX7" s="210">
        <f t="shared" ca="1" si="2"/>
        <v>41658</v>
      </c>
      <c r="AY7" s="210">
        <f t="shared" ca="1" si="2"/>
        <v>41659</v>
      </c>
      <c r="AZ7" s="210">
        <f t="shared" ca="1" si="2"/>
        <v>41660</v>
      </c>
      <c r="BA7" s="210">
        <f t="shared" ca="1" si="2"/>
        <v>41661</v>
      </c>
      <c r="BB7" s="210">
        <f t="shared" ca="1" si="2"/>
        <v>41662</v>
      </c>
      <c r="BC7" s="210">
        <f t="shared" ca="1" si="2"/>
        <v>41663</v>
      </c>
      <c r="BD7" s="210">
        <f t="shared" ca="1" si="2"/>
        <v>41664</v>
      </c>
      <c r="BE7" s="210">
        <f t="shared" ca="1" si="2"/>
        <v>41665</v>
      </c>
      <c r="BF7" s="210">
        <f t="shared" ca="1" si="2"/>
        <v>41666</v>
      </c>
      <c r="BG7" s="210">
        <f t="shared" ca="1" si="2"/>
        <v>41667</v>
      </c>
      <c r="BH7" s="210">
        <f t="shared" ca="1" si="2"/>
        <v>41668</v>
      </c>
      <c r="BI7" s="210">
        <f t="shared" ca="1" si="2"/>
        <v>41669</v>
      </c>
      <c r="BJ7" s="210">
        <f t="shared" ca="1" si="2"/>
        <v>41670</v>
      </c>
      <c r="BK7" s="210">
        <f t="shared" ca="1" si="2"/>
        <v>41671</v>
      </c>
      <c r="BL7" s="210">
        <f t="shared" ca="1" si="2"/>
        <v>41672</v>
      </c>
      <c r="BM7" s="210">
        <f t="shared" ca="1" si="2"/>
        <v>41673</v>
      </c>
      <c r="BN7" s="210">
        <f t="shared" ca="1" si="2"/>
        <v>41674</v>
      </c>
      <c r="BO7" s="210">
        <f t="shared" ca="1" si="2"/>
        <v>41675</v>
      </c>
      <c r="BP7" s="210">
        <f t="shared" ca="1" si="2"/>
        <v>41676</v>
      </c>
      <c r="BQ7" s="210">
        <f t="shared" ca="1" si="2"/>
        <v>41677</v>
      </c>
      <c r="BR7" s="210">
        <f t="shared" ca="1" si="2"/>
        <v>41678</v>
      </c>
      <c r="BS7" s="210">
        <f t="shared" ca="1" si="2"/>
        <v>41679</v>
      </c>
      <c r="BT7" s="210">
        <f t="shared" ca="1" si="2"/>
        <v>41680</v>
      </c>
      <c r="BU7" s="210">
        <f t="shared" ca="1" si="2"/>
        <v>41681</v>
      </c>
      <c r="BV7" s="210">
        <f t="shared" ca="1" si="2"/>
        <v>41682</v>
      </c>
      <c r="BW7" s="210">
        <f t="shared" ca="1" si="2"/>
        <v>41683</v>
      </c>
      <c r="BX7" s="210">
        <f t="shared" ref="BX7:DP7" ca="1" si="3">BW$7+1</f>
        <v>41684</v>
      </c>
      <c r="BY7" s="210">
        <f t="shared" ca="1" si="3"/>
        <v>41685</v>
      </c>
      <c r="BZ7" s="210">
        <f t="shared" ca="1" si="3"/>
        <v>41686</v>
      </c>
      <c r="CA7" s="210">
        <f t="shared" ca="1" si="3"/>
        <v>41687</v>
      </c>
      <c r="CB7" s="210">
        <f t="shared" ca="1" si="3"/>
        <v>41688</v>
      </c>
      <c r="CC7" s="210">
        <f t="shared" ca="1" si="3"/>
        <v>41689</v>
      </c>
      <c r="CD7" s="210">
        <f t="shared" ca="1" si="3"/>
        <v>41690</v>
      </c>
      <c r="CE7" s="210">
        <f t="shared" ca="1" si="3"/>
        <v>41691</v>
      </c>
      <c r="CF7" s="210">
        <f t="shared" ca="1" si="3"/>
        <v>41692</v>
      </c>
      <c r="CG7" s="210">
        <f t="shared" ca="1" si="3"/>
        <v>41693</v>
      </c>
      <c r="CH7" s="210">
        <f t="shared" ca="1" si="3"/>
        <v>41694</v>
      </c>
      <c r="CI7" s="210">
        <f t="shared" ca="1" si="3"/>
        <v>41695</v>
      </c>
      <c r="CJ7" s="210">
        <f t="shared" ca="1" si="3"/>
        <v>41696</v>
      </c>
      <c r="CK7" s="210">
        <f t="shared" ca="1" si="3"/>
        <v>41697</v>
      </c>
      <c r="CL7" s="210">
        <f t="shared" ca="1" si="3"/>
        <v>41698</v>
      </c>
      <c r="CM7" s="210">
        <f t="shared" ca="1" si="3"/>
        <v>41699</v>
      </c>
      <c r="CN7" s="210">
        <f t="shared" ca="1" si="3"/>
        <v>41700</v>
      </c>
      <c r="CO7" s="210">
        <f t="shared" ca="1" si="3"/>
        <v>41701</v>
      </c>
      <c r="CP7" s="210">
        <f t="shared" ca="1" si="3"/>
        <v>41702</v>
      </c>
      <c r="CQ7" s="210">
        <f t="shared" ca="1" si="3"/>
        <v>41703</v>
      </c>
      <c r="CR7" s="210">
        <f t="shared" ca="1" si="3"/>
        <v>41704</v>
      </c>
      <c r="CS7" s="210">
        <f t="shared" ca="1" si="3"/>
        <v>41705</v>
      </c>
      <c r="CT7" s="210">
        <f t="shared" ca="1" si="3"/>
        <v>41706</v>
      </c>
      <c r="CU7" s="210">
        <f t="shared" ca="1" si="3"/>
        <v>41707</v>
      </c>
      <c r="CV7" s="210">
        <f t="shared" ca="1" si="3"/>
        <v>41708</v>
      </c>
      <c r="CW7" s="210">
        <f t="shared" ca="1" si="3"/>
        <v>41709</v>
      </c>
      <c r="CX7" s="210">
        <f t="shared" ca="1" si="3"/>
        <v>41710</v>
      </c>
      <c r="CY7" s="210">
        <f t="shared" ca="1" si="3"/>
        <v>41711</v>
      </c>
      <c r="CZ7" s="210">
        <f t="shared" ca="1" si="3"/>
        <v>41712</v>
      </c>
      <c r="DA7" s="210">
        <f t="shared" ca="1" si="3"/>
        <v>41713</v>
      </c>
      <c r="DB7" s="210">
        <f t="shared" ca="1" si="3"/>
        <v>41714</v>
      </c>
      <c r="DC7" s="210">
        <f t="shared" ca="1" si="3"/>
        <v>41715</v>
      </c>
      <c r="DD7" s="210">
        <f t="shared" ca="1" si="3"/>
        <v>41716</v>
      </c>
      <c r="DE7" s="210">
        <f t="shared" ca="1" si="3"/>
        <v>41717</v>
      </c>
      <c r="DF7" s="210">
        <f t="shared" ca="1" si="3"/>
        <v>41718</v>
      </c>
      <c r="DG7" s="210">
        <f t="shared" ca="1" si="3"/>
        <v>41719</v>
      </c>
      <c r="DH7" s="210">
        <f t="shared" ca="1" si="3"/>
        <v>41720</v>
      </c>
      <c r="DI7" s="210">
        <f t="shared" ca="1" si="3"/>
        <v>41721</v>
      </c>
      <c r="DJ7" s="210">
        <f t="shared" ca="1" si="3"/>
        <v>41722</v>
      </c>
      <c r="DK7" s="210">
        <f t="shared" ca="1" si="3"/>
        <v>41723</v>
      </c>
      <c r="DL7" s="210">
        <f t="shared" ca="1" si="3"/>
        <v>41724</v>
      </c>
      <c r="DM7" s="210">
        <f t="shared" ca="1" si="3"/>
        <v>41725</v>
      </c>
      <c r="DN7" s="210">
        <f t="shared" ca="1" si="3"/>
        <v>41726</v>
      </c>
      <c r="DO7" s="210">
        <f t="shared" ca="1" si="3"/>
        <v>41727</v>
      </c>
      <c r="DP7" s="210">
        <f t="shared" ca="1" si="3"/>
        <v>41728</v>
      </c>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s="52"/>
      <c r="AAA7" s="192"/>
      <c r="AAB7"/>
      <c r="AAC7"/>
      <c r="AAD7" s="90"/>
      <c r="AAE7" s="519" t="s">
        <v>63</v>
      </c>
      <c r="AAF7" s="190" t="s">
        <v>52</v>
      </c>
      <c r="AAG7" s="553"/>
      <c r="AAH7" s="73">
        <f>WORKDAY(S.Overview.BANNER.Start,S.General.DaysRecommended,S.DDL_DEQClosed)</f>
        <v>41729</v>
      </c>
      <c r="AAI7" s="749" t="s">
        <v>0</v>
      </c>
      <c r="AAJ7" s="557"/>
      <c r="AAK7" s="71" t="s">
        <v>0</v>
      </c>
      <c r="AAL7" s="90"/>
      <c r="AAS7" s="863"/>
      <c r="AAT7" s="863"/>
      <c r="AAU7" s="863"/>
      <c r="AAV7" s="863"/>
      <c r="AAW7" s="863"/>
      <c r="AAX7" s="863"/>
      <c r="AAY7" s="863"/>
    </row>
    <row r="8" spans="1:727" ht="6" customHeight="1">
      <c r="A8" s="200"/>
      <c r="B8" s="120"/>
      <c r="C8" s="112"/>
      <c r="D8" s="230"/>
      <c r="E8" s="113"/>
      <c r="F8" s="113"/>
      <c r="G8" s="112"/>
      <c r="H8" s="112"/>
      <c r="I8" s="244"/>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AAA8" s="192"/>
      <c r="AAD8" s="90"/>
      <c r="AAE8" s="519" t="s">
        <v>17</v>
      </c>
      <c r="AAF8" s="190" t="s">
        <v>52</v>
      </c>
      <c r="AAG8" s="71"/>
      <c r="AAH8" s="71"/>
      <c r="AAI8" s="71"/>
      <c r="AAJ8" s="186"/>
      <c r="AAK8" s="71"/>
      <c r="AAL8" s="90"/>
      <c r="AAM8"/>
    </row>
    <row r="9" spans="1:727" s="23" customFormat="1" ht="38.25" customHeight="1">
      <c r="A9" s="200"/>
      <c r="B9" s="95"/>
      <c r="C9" s="96"/>
      <c r="D9" s="231"/>
      <c r="E9" s="97"/>
      <c r="F9" s="97"/>
      <c r="G9" s="96"/>
      <c r="H9" s="96"/>
      <c r="I9" s="244"/>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s="52"/>
      <c r="AAA9" s="192"/>
      <c r="AAD9" s="90"/>
      <c r="AAE9" s="519">
        <v>0</v>
      </c>
      <c r="AAF9" s="190" t="s">
        <v>52</v>
      </c>
      <c r="AAG9" s="71"/>
      <c r="AAH9" s="73">
        <v>1</v>
      </c>
      <c r="AAI9" s="71" t="s">
        <v>0</v>
      </c>
      <c r="AAJ9" s="186"/>
      <c r="AAK9" s="757" t="s">
        <v>0</v>
      </c>
      <c r="AAL9" s="90"/>
    </row>
    <row r="10" spans="1:727" s="23" customFormat="1" ht="14.25" customHeight="1" thickBot="1">
      <c r="A10" s="200"/>
      <c r="B10" s="95"/>
      <c r="C10" s="96"/>
      <c r="D10" s="878" t="s">
        <v>473</v>
      </c>
      <c r="E10" s="878"/>
      <c r="F10" s="97"/>
      <c r="G10" s="96"/>
      <c r="H10" s="96"/>
      <c r="I10" s="244"/>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s="52"/>
      <c r="AAA10" s="192"/>
      <c r="AAB10"/>
      <c r="AAC10"/>
      <c r="AAD10" s="90"/>
      <c r="AAE10" s="519">
        <v>0</v>
      </c>
      <c r="AAF10" s="190" t="s">
        <v>52</v>
      </c>
      <c r="AAG10" s="71"/>
      <c r="AAH10" s="71"/>
      <c r="AAI10" s="71"/>
      <c r="AAJ10" s="186"/>
      <c r="AAK10" s="71" t="s">
        <v>0</v>
      </c>
      <c r="AAL10" s="90"/>
    </row>
    <row r="11" spans="1:727" s="23" customFormat="1" ht="6.75" customHeight="1" thickTop="1" thickBot="1">
      <c r="A11" s="200"/>
      <c r="B11" s="460"/>
      <c r="C11" s="458"/>
      <c r="D11" s="742"/>
      <c r="E11" s="743"/>
      <c r="F11" s="751"/>
      <c r="G11" s="751"/>
      <c r="H11" s="751"/>
      <c r="I11" s="459"/>
      <c r="J11" s="193"/>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s="52"/>
      <c r="AAA11" s="192"/>
      <c r="AAD11" s="90"/>
      <c r="AAE11" s="519">
        <v>0</v>
      </c>
      <c r="AAF11" s="190" t="s">
        <v>52</v>
      </c>
      <c r="AAG11" s="90"/>
      <c r="AAH11" s="72"/>
      <c r="AAI11" s="72"/>
      <c r="AAJ11" s="488"/>
      <c r="AAK11" s="71"/>
      <c r="AAL11" s="90"/>
      <c r="AAM11" s="23" t="s">
        <v>353</v>
      </c>
    </row>
    <row r="12" spans="1:727" s="23" customFormat="1" ht="15" customHeight="1" thickBot="1">
      <c r="A12" s="200"/>
      <c r="B12" s="462" t="str">
        <f>AAK12</f>
        <v xml:space="preserve">PERMANENT Rulemaking </v>
      </c>
      <c r="C12" s="723" t="s">
        <v>476</v>
      </c>
      <c r="D12" s="839"/>
      <c r="E12" s="837">
        <f>AAJ12</f>
        <v>84</v>
      </c>
      <c r="I12" s="459"/>
      <c r="J12" s="193"/>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s="52"/>
      <c r="AAA12" s="192"/>
      <c r="AAD12" s="90"/>
      <c r="AAE12" s="520">
        <v>1</v>
      </c>
      <c r="AAF12" s="190" t="s">
        <v>52</v>
      </c>
      <c r="AAG12" s="39"/>
      <c r="AAH12" s="39"/>
      <c r="AAI12" s="39"/>
      <c r="AAJ12" s="189">
        <f>IF(S.General.RuleType="P",84,56)</f>
        <v>84</v>
      </c>
      <c r="AAK12" s="78" t="str">
        <f>IF(S.General.RuleType="P","PERMANENT Rulemaking ","TEMPORARY Rulemaking")</f>
        <v xml:space="preserve">PERMANENT Rulemaking </v>
      </c>
      <c r="AAL12" s="90"/>
    </row>
    <row r="13" spans="1:727" s="23" customFormat="1" ht="6.75" customHeight="1" thickBot="1">
      <c r="A13" s="200"/>
      <c r="B13" s="460"/>
      <c r="C13" s="458"/>
      <c r="D13" s="823"/>
      <c r="E13" s="824"/>
      <c r="F13" s="374"/>
      <c r="G13" s="374"/>
      <c r="H13" s="374"/>
      <c r="I13" s="459"/>
      <c r="J13" s="193"/>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s="52"/>
      <c r="AAA13" s="192"/>
      <c r="AAD13" s="90"/>
      <c r="AAE13" s="519">
        <v>0</v>
      </c>
      <c r="AAF13" s="190" t="s">
        <v>52</v>
      </c>
      <c r="AAG13" s="90"/>
      <c r="AAH13" s="72"/>
      <c r="AAI13" s="72"/>
      <c r="AAJ13" s="488"/>
      <c r="AAK13" s="39"/>
      <c r="AAL13" s="90"/>
    </row>
    <row r="14" spans="1:727" s="23" customFormat="1" ht="15" customHeight="1" thickBot="1">
      <c r="A14" s="200"/>
      <c r="B14" s="361" t="s">
        <v>475</v>
      </c>
      <c r="C14" s="723">
        <v>1</v>
      </c>
      <c r="D14" s="839"/>
      <c r="E14" s="837">
        <f>AAJ14</f>
        <v>0</v>
      </c>
      <c r="F14"/>
      <c r="G14"/>
      <c r="H14"/>
      <c r="I14" s="459"/>
      <c r="J14" s="193"/>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s="52"/>
      <c r="AAA14" s="192"/>
      <c r="AAD14" s="90"/>
      <c r="AAE14" s="520">
        <v>1</v>
      </c>
      <c r="AAF14" s="190" t="s">
        <v>52</v>
      </c>
      <c r="AAG14" s="39"/>
      <c r="AAH14" s="39"/>
      <c r="AAI14" s="39"/>
      <c r="AAJ14" s="189">
        <f>IF(S.General.Complexity=1,0,IF(S.General.Complexity=2,14,21))</f>
        <v>0</v>
      </c>
      <c r="AAK14" s="71"/>
      <c r="AAL14" s="90"/>
    </row>
    <row r="15" spans="1:727" s="23" customFormat="1" ht="6.75" customHeight="1" thickBot="1">
      <c r="A15" s="200"/>
      <c r="B15" s="460"/>
      <c r="C15" s="458"/>
      <c r="D15" s="823"/>
      <c r="E15" s="824"/>
      <c r="F15" s="374"/>
      <c r="G15" s="374"/>
      <c r="H15" s="374"/>
      <c r="I15" s="459"/>
      <c r="J15" s="193"/>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s="52"/>
      <c r="AAA15" s="192"/>
      <c r="AAD15" s="90"/>
      <c r="AAE15" s="519">
        <v>0</v>
      </c>
      <c r="AAF15" s="190" t="s">
        <v>52</v>
      </c>
      <c r="AAG15" s="90"/>
      <c r="AAH15" s="72"/>
      <c r="AAI15" s="72"/>
      <c r="AAJ15" s="488"/>
      <c r="AAK15" s="39"/>
      <c r="AAL15" s="90"/>
    </row>
    <row r="16" spans="1:727" s="23" customFormat="1" ht="15" customHeight="1" thickBot="1">
      <c r="A16" s="171"/>
      <c r="B16" s="466" t="str">
        <f t="shared" ref="B16:B29" si="4">AAK16</f>
        <v>Advisory Committee - not involved</v>
      </c>
      <c r="C16" s="724" t="s">
        <v>303</v>
      </c>
      <c r="D16" s="839"/>
      <c r="E16" s="837">
        <f>AAJ16</f>
        <v>0</v>
      </c>
      <c r="F16" s="457">
        <f ca="1">IF(YEAR(H16)&gt;2000,NETWORKDAYS(TODAY(),H16,S.DDL_DEQClosed),0)</f>
        <v>0</v>
      </c>
      <c r="G16" s="429">
        <f>AAG16</f>
        <v>0</v>
      </c>
      <c r="H16" s="400">
        <f>AAH16</f>
        <v>0</v>
      </c>
      <c r="I16" s="459"/>
      <c r="J16" s="193"/>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s="52"/>
      <c r="AAA16" s="192"/>
      <c r="AAB16"/>
      <c r="AAC16"/>
      <c r="AAD16" s="90"/>
      <c r="AAE16" s="520">
        <v>1</v>
      </c>
      <c r="AAF16" s="90" t="s">
        <v>0</v>
      </c>
      <c r="AAG16" s="73">
        <f>IF(S.AC.CommitteeInvolved="N",,S.Planning.AddConcepToPlanDate)</f>
        <v>0</v>
      </c>
      <c r="AAH16" s="73">
        <f>IF(S.AC.CommitteeInvolved="N",,S.Overview.BANNER.End)</f>
        <v>0</v>
      </c>
      <c r="AAI16" s="61" t="s">
        <v>0</v>
      </c>
      <c r="AAJ16" s="489">
        <f>IF(S.AC.CommitteeInvolved="N",0,IF(S.General.Complexity=1,14,IF(S.General.Complexity=2,21,42)))</f>
        <v>0</v>
      </c>
      <c r="AAK16" s="78" t="str">
        <f>IF(S.AC.CommitteeInvolved="Y","Advisory Committee","Advisory Committee - not involved")</f>
        <v>Advisory Committee - not involved</v>
      </c>
      <c r="AAL16" s="90"/>
    </row>
    <row r="17" spans="1:717" s="23" customFormat="1" ht="6" customHeight="1" thickBot="1">
      <c r="A17" s="171"/>
      <c r="B17" s="465"/>
      <c r="C17" s="467"/>
      <c r="D17" s="824"/>
      <c r="E17" s="825"/>
      <c r="F17" s="463"/>
      <c r="G17" s="391"/>
      <c r="H17" s="468"/>
      <c r="I17" s="459"/>
      <c r="J17" s="193"/>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s="52"/>
      <c r="AAA17" s="192"/>
      <c r="AAB17"/>
      <c r="AAC17"/>
      <c r="AAD17" s="90"/>
      <c r="AAE17" s="519">
        <v>0</v>
      </c>
      <c r="AAF17" s="190" t="s">
        <v>52</v>
      </c>
      <c r="AAG17" s="77"/>
      <c r="AAH17" s="72"/>
      <c r="AAI17" s="122"/>
      <c r="AAJ17" s="188"/>
      <c r="AAK17" s="78"/>
      <c r="AAL17" s="90"/>
    </row>
    <row r="18" spans="1:717" ht="15" customHeight="1" thickBot="1">
      <c r="A18" s="171"/>
      <c r="B18" s="462" t="str">
        <f t="shared" si="4"/>
        <v>Fees - not involved</v>
      </c>
      <c r="C18" s="724" t="s">
        <v>303</v>
      </c>
      <c r="D18" s="840"/>
      <c r="E18" s="837">
        <f>AAJ18</f>
        <v>0</v>
      </c>
      <c r="F18" s="457">
        <f ca="1">IF(YEAR(H18)&gt;2000,NETWORKDAYS(TODAY(),H18,S.DDL_DEQClosed),0)</f>
        <v>0</v>
      </c>
      <c r="G18" s="429">
        <f>AAG18</f>
        <v>0</v>
      </c>
      <c r="H18" s="469">
        <f>AAH18</f>
        <v>0</v>
      </c>
      <c r="I18" s="459"/>
      <c r="J18" s="193"/>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AAA18" s="192"/>
      <c r="AAD18" s="90"/>
      <c r="AAE18" s="520">
        <v>1</v>
      </c>
      <c r="AAF18" s="90" t="s">
        <v>0</v>
      </c>
      <c r="AAG18" s="73">
        <f>IF(S.Fee.Involved="N",,S.Overview.BANNER.Start)</f>
        <v>0</v>
      </c>
      <c r="AAH18" s="73">
        <f>IF(S.Fee.Involved="N",,S.Fee.BANNER.End)</f>
        <v>0</v>
      </c>
      <c r="AAI18" s="77"/>
      <c r="AAJ18" s="489">
        <f>IF(S.Fee.Involved="N",0,14)</f>
        <v>0</v>
      </c>
      <c r="AAK18" s="76" t="str">
        <f>IF(AND(S.Fee.Involved="Y",S.General.RuleType="T"),"Fees Involved - no action required for TEMPORARY rules",IF(S.Fee.Involved="Y","Fees Involved","Fees - not involved"))</f>
        <v>Fees - not involved</v>
      </c>
      <c r="AAL18" s="90"/>
      <c r="AAM18"/>
    </row>
    <row r="19" spans="1:717" s="23" customFormat="1" ht="15" customHeight="1" thickBot="1">
      <c r="A19" s="171"/>
      <c r="B19" s="287" t="str">
        <f t="shared" si="4"/>
        <v>-blank-</v>
      </c>
      <c r="C19" s="724" t="s">
        <v>303</v>
      </c>
      <c r="D19" s="789" t="str">
        <f>HYPERLINK("\\deqhq1\Rule_Resources\i\3-FeeApproval.pdf","i")</f>
        <v>i</v>
      </c>
      <c r="E19" s="838">
        <f>AAJ19</f>
        <v>0</v>
      </c>
      <c r="F19" s="517"/>
      <c r="G19" s="517"/>
      <c r="H19" s="517"/>
      <c r="I19" s="459"/>
      <c r="J19" s="193"/>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s="52"/>
      <c r="AAA19" s="192"/>
      <c r="AAB19"/>
      <c r="AAC19"/>
      <c r="AAD19" s="90"/>
      <c r="AAE19" s="519">
        <f>IF(S.Fee.Involved="Y",1,0)</f>
        <v>0</v>
      </c>
      <c r="AAF19" s="190" t="s">
        <v>52</v>
      </c>
      <c r="AAG19" s="77"/>
      <c r="AAH19" s="77" t="s">
        <v>0</v>
      </c>
      <c r="AAI19" s="77"/>
      <c r="AAJ19" s="489">
        <f>IF(S.Fee.Involved="N",0,IF(S.Fee.DASApprovalRequired="N",0,21))</f>
        <v>0</v>
      </c>
      <c r="AAK19" s="76" t="str">
        <f>IF(S.Fee.Involved="N","-blank-",IF(AND(C19="Y",S.Fee.Involved="Y"),"DAS - Fee approval required","DAS - Fee approval NOT required"))</f>
        <v>-blank-</v>
      </c>
      <c r="AAL19" s="90"/>
    </row>
    <row r="20" spans="1:717" s="23" customFormat="1" ht="6" customHeight="1" thickBot="1">
      <c r="A20" s="171"/>
      <c r="B20" s="465"/>
      <c r="C20" s="467"/>
      <c r="D20" s="824"/>
      <c r="E20" s="825"/>
      <c r="F20" s="463"/>
      <c r="G20" s="391"/>
      <c r="H20" s="468"/>
      <c r="I20" s="459"/>
      <c r="J20" s="19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s="52"/>
      <c r="AAA20" s="192"/>
      <c r="AAD20" s="90"/>
      <c r="AAE20" s="519">
        <v>0</v>
      </c>
      <c r="AAF20" s="190" t="s">
        <v>52</v>
      </c>
      <c r="AAG20" s="77"/>
      <c r="AAH20" s="72"/>
      <c r="AAI20" s="122"/>
      <c r="AAJ20" s="188"/>
      <c r="AAK20" s="78"/>
      <c r="AAL20" s="90"/>
    </row>
    <row r="21" spans="1:717" s="23" customFormat="1" ht="15" customHeight="1" thickBot="1">
      <c r="A21" s="200"/>
      <c r="B21" s="462" t="str">
        <f>AAK21</f>
        <v>State Implementation Plan (AQ rules)</v>
      </c>
      <c r="C21" s="724" t="s">
        <v>17</v>
      </c>
      <c r="D21" s="839"/>
      <c r="E21" s="837">
        <f>AAJ21</f>
        <v>14</v>
      </c>
      <c r="I21" s="459"/>
      <c r="J21" s="19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s="52"/>
      <c r="AAA21" s="192"/>
      <c r="AAB21"/>
      <c r="AAC21"/>
      <c r="AAD21" s="90"/>
      <c r="AAE21" s="520">
        <v>1</v>
      </c>
      <c r="AAF21" s="190" t="s">
        <v>52</v>
      </c>
      <c r="AAG21" s="61"/>
      <c r="AAH21" s="61"/>
      <c r="AAI21" s="61"/>
      <c r="AAJ21" s="489">
        <f>IF(S.SIP.Involved="N",0,IF(S.General.Complexity=1,14,112))</f>
        <v>14</v>
      </c>
      <c r="AAK21" s="76" t="str">
        <f>IF(AND(S.SIP.Involved="Y",S.Notice.Involved="N"),"ERROR: EPA requires SIP rules have public notice",IF(AND(S.SIP.Involved="Y",S.Hearing.1stInvolve="N"),"ERROR: EPA requires SIP rules have public hearings.",IF(S.SIP.Involved="Y","State Implementation Plan (AQ rules)","State Implementation Plan for AQ rules - not involved")))</f>
        <v>State Implementation Plan (AQ rules)</v>
      </c>
      <c r="AAL21" s="90"/>
    </row>
    <row r="22" spans="1:717" s="23" customFormat="1" ht="15" customHeight="1">
      <c r="A22" s="171"/>
      <c r="B22" s="287" t="str">
        <f>AAK22</f>
        <v xml:space="preserve">EPA - submit SIP Development Plan 6 months before comment period opens </v>
      </c>
      <c r="C22"/>
      <c r="D22" s="826" t="s">
        <v>0</v>
      </c>
      <c r="E22" s="825"/>
      <c r="F22" s="457">
        <f ca="1">IF(S.SIP.Involved="N",0,IF(S.General.Complexity=1,0,NETWORKDAYS(TODAY(),H22,S.DDL_DEQClosed)))</f>
        <v>0</v>
      </c>
      <c r="G22" s="741" t="s">
        <v>0</v>
      </c>
      <c r="H22" s="355">
        <f>AAH22</f>
        <v>0</v>
      </c>
      <c r="I22" s="459"/>
      <c r="J22" s="19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s="52"/>
      <c r="AAA22" s="192"/>
      <c r="AAD22" s="90"/>
      <c r="AAE22" s="520">
        <f>IF(AND(S.General.Complexity&gt;1,S.SIP.Involved="Y"),1,0)</f>
        <v>0</v>
      </c>
      <c r="AAF22" s="77"/>
      <c r="AAG22" s="61"/>
      <c r="AAH22" s="73">
        <f>IF(S.SIP.Involved="N",,IF(S.General.Complexity=1,,IF(S.Notice.Involved="N","ERROR",WORKDAY(DATE(YEAR(S.Notice.OpenComment),MONTH(S.Notice.OpenComment)-6,DAY(S.Notice.OpenComment+1)),-1,S.DDL_DEQClosed))))</f>
        <v>0</v>
      </c>
      <c r="AAI22" s="61"/>
      <c r="AAJ22" s="188"/>
      <c r="AAK22" s="76" t="str">
        <f>IF(S.SIP.Involved="N","-blank-",IF(ISERROR(H22)=TRUE,"ERROR - Must enter 'Y' to involve public notice and hearing below","EPA - submit SIP Development Plan 6 months before comment period opens "))</f>
        <v xml:space="preserve">EPA - submit SIP Development Plan 6 months before comment period opens </v>
      </c>
      <c r="AAL22" s="90"/>
    </row>
    <row r="23" spans="1:717" s="23" customFormat="1" ht="15" customHeight="1">
      <c r="A23" s="200"/>
      <c r="B23" s="287" t="str">
        <f>AAK23</f>
        <v>EPA- submit Notice Packet 45 days before comment period opens</v>
      </c>
      <c r="C23"/>
      <c r="D23" s="824"/>
      <c r="E23" s="825"/>
      <c r="F23" s="457">
        <f ca="1">IF(S.SIP.Involved="N",0,IF(H23="ERROR",0,NETWORKDAYS(TODAY(),H23,S.DDL_DEQClosed)))</f>
        <v>-26</v>
      </c>
      <c r="H23" s="355">
        <f>AAH23</f>
        <v>41579</v>
      </c>
      <c r="I23" s="459"/>
      <c r="J23" s="193"/>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s="52"/>
      <c r="AAA23" s="192"/>
      <c r="AAD23" s="90"/>
      <c r="AAE23" s="520">
        <f>IF(S.SIP.Involved="Y",1,0)</f>
        <v>1</v>
      </c>
      <c r="AAF23" s="191" t="s">
        <v>0</v>
      </c>
      <c r="AAG23" s="77"/>
      <c r="AAH23" s="73">
        <f>IF(S.SIP.Involved="N",,IF(S.Notice.Involved="N","ERROR",WORKDAY(S.Notice.OpenComment-44,-1,S.DDL_DEQClosed)))</f>
        <v>41579</v>
      </c>
      <c r="AAI23" s="61"/>
      <c r="AAJ23" s="61"/>
      <c r="AAK23" s="76" t="str">
        <f>IF(S.SIP.Involved="N","-blank-",IF(ISERROR(H23)=TRUE,"ERROR - Must enter 'Y' to involve public notice and hearing below","EPA- submit Notice Packet 45 days before comment period opens"))</f>
        <v>EPA- submit Notice Packet 45 days before comment period opens</v>
      </c>
      <c r="AAL23" s="90"/>
    </row>
    <row r="24" spans="1:717" s="23" customFormat="1" ht="6" customHeight="1" thickBot="1">
      <c r="A24" s="171"/>
      <c r="B24" s="461"/>
      <c r="C24" s="461"/>
      <c r="D24" s="824"/>
      <c r="E24" s="825"/>
      <c r="F24" s="463"/>
      <c r="G24" s="391"/>
      <c r="H24" s="464"/>
      <c r="I24" s="459"/>
      <c r="J24" s="193"/>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s="52"/>
      <c r="AAA24" s="192"/>
      <c r="AAB24"/>
      <c r="AAC24"/>
      <c r="AAD24" s="90"/>
      <c r="AAE24" s="519">
        <v>0</v>
      </c>
      <c r="AAF24" s="190" t="s">
        <v>52</v>
      </c>
      <c r="AAG24" s="90"/>
      <c r="AAH24" s="90"/>
      <c r="AAI24" s="122"/>
      <c r="AAJ24" s="188"/>
      <c r="AAK24" s="91"/>
      <c r="AAL24" s="90"/>
    </row>
    <row r="25" spans="1:717" s="23" customFormat="1" ht="15" customHeight="1" thickBot="1">
      <c r="A25" s="171"/>
      <c r="B25" s="538" t="str">
        <f t="shared" si="4"/>
        <v>Public Notice</v>
      </c>
      <c r="C25" s="724" t="s">
        <v>17</v>
      </c>
      <c r="D25" s="839"/>
      <c r="E25" s="837">
        <f>AAJ25</f>
        <v>7</v>
      </c>
      <c r="F25" s="517"/>
      <c r="G25" s="517"/>
      <c r="H25" s="517"/>
      <c r="I25" s="459" t="s">
        <v>0</v>
      </c>
      <c r="J25" s="193"/>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s="52"/>
      <c r="AAA25" s="192"/>
      <c r="AAB25"/>
      <c r="AAC25"/>
      <c r="AAD25" s="90"/>
      <c r="AAE25" s="519">
        <v>1</v>
      </c>
      <c r="AAF25" s="190" t="s">
        <v>52</v>
      </c>
      <c r="AAG25" s="61"/>
      <c r="AAH25" s="61"/>
      <c r="AAI25" s="72"/>
      <c r="AAJ25" s="489">
        <f>IF(S.Notice.Involved="N",0,IF(S.General.Complexity=1,7,IF(S.General.Complexity=2,14,21)))</f>
        <v>7</v>
      </c>
      <c r="AAK25" s="76" t="str">
        <f>IF(S.General.RuleType="T","Public Notice - not required for TEMPORARY rules (APA)",IF(AND(S.Hearing.1stInvolve="Y",S.Notice.Involved="N"),"ERROR: APA requies all hearings be noticed                            change to 'Y' &gt;",IF(AND(S.Notice.Involved="N",S.Hearing.1stInvolve="N"),"Public Notice - not involved, best practice to notice permanent rules",IF(AND(S.Notice.Involved="N",S.Hearing.1stInvolve="Y"),"ERROR: must notice all public hearings",IF(AND(S.Notice.Involved="Y",S.Hearing.1stInvolve="Y"),"Public Notice",IF(AND(S.Notice.Involved="Y",S.Hearing.1stInvolve="N"),"Public Notice WITHOUT hearing"))))))</f>
        <v>Public Notice</v>
      </c>
      <c r="AAL25" s="90"/>
      <c r="AAN25" s="147"/>
      <c r="AAO25" s="147"/>
    </row>
    <row r="26" spans="1:717" s="23" customFormat="1" ht="15" customHeight="1">
      <c r="A26" s="171" t="s">
        <v>0</v>
      </c>
      <c r="B26" s="287" t="str">
        <f t="shared" si="4"/>
        <v>EMT - preview period open a minimum of 7 workdays</v>
      </c>
      <c r="C26" s="287"/>
      <c r="D26" s="827"/>
      <c r="E26" s="825"/>
      <c r="F26" s="457">
        <f t="shared" ref="F26" ca="1" si="5">IF(YEAR(H26)&gt;2000,NETWORKDAYS(TODAY(),H26,S.DDL_DEQClosed),0)</f>
        <v>-9</v>
      </c>
      <c r="G26" s="469">
        <f>AAG26</f>
        <v>41596</v>
      </c>
      <c r="H26" s="424">
        <f t="shared" ref="H26" si="6">AAH26</f>
        <v>41605</v>
      </c>
      <c r="I26" s="459"/>
      <c r="J26" s="193"/>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s="52"/>
      <c r="AAA26" s="192" t="s">
        <v>0</v>
      </c>
      <c r="AAD26" s="90"/>
      <c r="AAE26" s="519">
        <f>IF(S.Notice.Involved="Y",1,0)</f>
        <v>1</v>
      </c>
      <c r="AAF26" s="90" t="s">
        <v>0</v>
      </c>
      <c r="AAG26" s="73">
        <f>IF(S.Notice.Involved="N",,S.Notice.PreviewBegin)</f>
        <v>41596</v>
      </c>
      <c r="AAH26" s="73">
        <f>IF(S.Notice.Involved="N",,S.Notice.PreviewEnd)</f>
        <v>41605</v>
      </c>
      <c r="AAI26" s="79" t="s">
        <v>0</v>
      </c>
      <c r="AAJ26" s="490"/>
      <c r="AAK26" s="76" t="str">
        <f>IF(S.Notice.Involved="Y","EMT - preview period open a minimum of 7 workdays","-blank-")</f>
        <v>EMT - preview period open a minimum of 7 workdays</v>
      </c>
      <c r="AAL26" s="90"/>
    </row>
    <row r="27" spans="1:717" s="23" customFormat="1" ht="15" customHeight="1">
      <c r="A27" s="171"/>
      <c r="B27" s="778" t="str">
        <f>AAK27</f>
        <v>this is Andy's and JoanieS's review period</v>
      </c>
      <c r="C27" s="472"/>
      <c r="D27" s="828"/>
      <c r="E27" s="829"/>
      <c r="F27" s="473"/>
      <c r="G27" s="474"/>
      <c r="H27" s="475"/>
      <c r="I27" s="459"/>
      <c r="J27" s="193"/>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s="52"/>
      <c r="AAA27" s="192"/>
      <c r="AAD27" s="90"/>
      <c r="AAE27" s="519">
        <f>IF(S.Notice.Involved="Y",1,0)</f>
        <v>1</v>
      </c>
      <c r="AAF27" s="190" t="s">
        <v>52</v>
      </c>
      <c r="AAG27" s="77"/>
      <c r="AAH27" s="77"/>
      <c r="AAI27" s="72"/>
      <c r="AAJ27" s="187"/>
      <c r="AAK27" s="76" t="str">
        <f>IF(S.Notice.Involved="Y","this is "&amp;S.Staff.DA&amp;"'s and "&amp;S.Staff.CheifPublicAffairsOfficer&amp;"'s review period","-blank-")</f>
        <v>this is Andy's and JoanieS's review period</v>
      </c>
      <c r="AAL27" s="90"/>
    </row>
    <row r="28" spans="1:717" s="23" customFormat="1" ht="15" customHeight="1">
      <c r="A28" s="171" t="s">
        <v>0</v>
      </c>
      <c r="B28" s="287" t="str">
        <f t="shared" ref="B28" si="7">AAK28</f>
        <v>Rule publication - submit at least 5 workdays BEFORE Open comment</v>
      </c>
      <c r="C28" s="287"/>
      <c r="D28" s="827"/>
      <c r="E28" s="825"/>
      <c r="F28" s="457">
        <f t="shared" ref="F28:F30" ca="1" si="8">IF(YEAR(H28)&gt;2000,NETWORKDAYS(TODAY(),H28,S.DDL_DEQClosed),0)</f>
        <v>4</v>
      </c>
      <c r="G28" s="469">
        <f>AAG28</f>
        <v>41614</v>
      </c>
      <c r="H28" s="424">
        <f t="shared" ref="H28:H30" si="9">AAH28</f>
        <v>41621</v>
      </c>
      <c r="I28" s="459"/>
      <c r="J28" s="193"/>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s="52"/>
      <c r="AAA28" s="192" t="s">
        <v>0</v>
      </c>
      <c r="AAD28" s="90"/>
      <c r="AAE28" s="519">
        <f>IF(S.Notice.Involved="Y",1,0)</f>
        <v>1</v>
      </c>
      <c r="AAF28" s="90" t="s">
        <v>0</v>
      </c>
      <c r="AAG28" s="73">
        <f>IF(S.Notice.Involved="N",,S.Notice.EMAIL.RulePublication)</f>
        <v>41614</v>
      </c>
      <c r="AAH28" s="73">
        <f>IF(S.Notice.Involved="N",,MIN(S.Notice.SubmitToSOS,S.Notice.OpenComment))</f>
        <v>41621</v>
      </c>
      <c r="AAI28" s="79" t="s">
        <v>0</v>
      </c>
      <c r="AAJ28" s="490"/>
      <c r="AAK28" s="76" t="str">
        <f>IF(S.Notice.Involved="Y","Rule publication - submit at least 5 workdays BEFORE Open comment","-blank-")</f>
        <v>Rule publication - submit at least 5 workdays BEFORE Open comment</v>
      </c>
      <c r="AAL28" s="90"/>
    </row>
    <row r="29" spans="1:717" s="23" customFormat="1" ht="15" customHeight="1">
      <c r="A29" s="171" t="s">
        <v>0</v>
      </c>
      <c r="B29" s="287" t="str">
        <f t="shared" si="4"/>
        <v>SOS - submit on workday no later than 15th of month BEFORE Bulletin</v>
      </c>
      <c r="C29" s="287"/>
      <c r="D29" s="827"/>
      <c r="E29" s="830"/>
      <c r="F29" s="457">
        <f t="shared" ca="1" si="8"/>
        <v>4</v>
      </c>
      <c r="G29" s="533" t="s">
        <v>0</v>
      </c>
      <c r="H29" s="400">
        <f t="shared" si="9"/>
        <v>41621</v>
      </c>
      <c r="I29" s="459"/>
      <c r="J29" s="193"/>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s="52"/>
      <c r="AAA29" s="192"/>
      <c r="AAB29"/>
      <c r="AAC29"/>
      <c r="AAD29" s="90"/>
      <c r="AAE29" s="519">
        <f>IF(S.Notice.Involved="Y",1,0)</f>
        <v>1</v>
      </c>
      <c r="AAF29" s="90" t="s">
        <v>0</v>
      </c>
      <c r="AAG29" s="61"/>
      <c r="AAH29" s="73">
        <f>IF(S.Notice.Involved="N",,VLOOKUP(S.Notice.InOregonBulletin,VL_Bulletin,2,FALSE))</f>
        <v>41621</v>
      </c>
      <c r="AAI29" s="79" t="s">
        <v>0</v>
      </c>
      <c r="AAJ29" s="490"/>
      <c r="AAK29" s="76" t="str">
        <f>IF(S.Notice.Involved="Y","SOS - submit on workday no later than 15th of month BEFORE Bulletin","-blank")</f>
        <v>SOS - submit on workday no later than 15th of month BEFORE Bulletin</v>
      </c>
      <c r="AAL29" s="90"/>
    </row>
    <row r="30" spans="1:717" s="23" customFormat="1" ht="15" customHeight="1">
      <c r="A30" s="171" t="s">
        <v>0</v>
      </c>
      <c r="B30" s="287" t="str">
        <f t="shared" ref="B30" si="10">AAK30</f>
        <v xml:space="preserve">SOS - Oregon Bulletin always publishes on the 1st of month </v>
      </c>
      <c r="C30" s="287"/>
      <c r="D30" s="827"/>
      <c r="E30" s="830"/>
      <c r="F30" s="457">
        <f t="shared" ca="1" si="8"/>
        <v>15</v>
      </c>
      <c r="G30" s="533" t="s">
        <v>353</v>
      </c>
      <c r="H30" s="747">
        <f t="shared" si="9"/>
        <v>41640</v>
      </c>
      <c r="I30" s="459"/>
      <c r="J30" s="193"/>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s="52"/>
      <c r="AAA30" s="192"/>
      <c r="AAB30"/>
      <c r="AAC30"/>
      <c r="AAD30" s="90"/>
      <c r="AAE30" s="519">
        <f>IF(S.Notice.Involved="Y",1,0)</f>
        <v>1</v>
      </c>
      <c r="AAF30" s="90" t="s">
        <v>0</v>
      </c>
      <c r="AAG30" s="61"/>
      <c r="AAH30" s="73">
        <f>IF(S.Notice.Involved="N",,IF(S.General.Complexity=1,VLOOKUP(S.EQC.Meeting-60,S.DDL_Bulletin,TRUE),VLOOKUP(S.EQC.Meeting-90,S.DDL_Bulletin,TRUE)))</f>
        <v>41640</v>
      </c>
      <c r="AAI30" s="183" t="str">
        <f>IF(S.Notice.InOregonBulletin&gt;=S.EQC.SubmitStaffRpt-25,"Select earlier date to publish in Oregon Bulletin.","")</f>
        <v/>
      </c>
      <c r="AAJ30" s="491"/>
      <c r="AAK30" s="76" t="str">
        <f>IF(S.Notice.Involved="Y","SOS - Oregon Bulletin always publishes on the 1st of month ","-blank-")</f>
        <v xml:space="preserve">SOS - Oregon Bulletin always publishes on the 1st of month </v>
      </c>
      <c r="AAL30" s="90"/>
    </row>
    <row r="31" spans="1:717" s="23" customFormat="1" ht="15" customHeight="1">
      <c r="A31" s="171"/>
      <c r="B31" s="287" t="str">
        <f>AAK31</f>
        <v>-blank-</v>
      </c>
      <c r="C31" s="356"/>
      <c r="D31" s="831"/>
      <c r="E31" s="824"/>
      <c r="F31" s="457">
        <f ca="1">IF(YEAR(H31)&gt;2000,NETWORKDAYS(TODAY(),H31,S.DDL_DEQClosed),0)</f>
        <v>0</v>
      </c>
      <c r="G31" s="533" t="s">
        <v>0</v>
      </c>
      <c r="H31" s="400">
        <f>AAH31</f>
        <v>0</v>
      </c>
      <c r="I31" s="459" t="s">
        <v>0</v>
      </c>
      <c r="J31" s="193"/>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s="52"/>
      <c r="AAA31" s="192"/>
      <c r="AAB31"/>
      <c r="AAC31"/>
      <c r="AAD31" s="90"/>
      <c r="AAE31" s="519">
        <f>IF(AND(S.Fee.Involved="Y",S.Notice.Involved="Y"),1,0)</f>
        <v>0</v>
      </c>
      <c r="AAF31" s="90" t="s">
        <v>0</v>
      </c>
      <c r="AAG31" s="61"/>
      <c r="AAH31" s="73">
        <f>IF(S.Fee.Involved="N",,IF(S.Notice.Involved="N",,IF(S.Fee.DASApprovalRequired="Y",WORKDAY(S.Notice.OpenComment-29,-1,S.DDL_DEQClosed),S.Notice.SubmitToSOS)))</f>
        <v>0</v>
      </c>
      <c r="AAI31" s="72"/>
      <c r="AAJ31" s="491"/>
      <c r="AAK31" s="76" t="str">
        <f>IF(S.Fee.Involved="N","-blank-",IF(S.Fee.DASApprovalRequired="Y","DAS - submit Part 1, about 30 days BEFORE SOS submittal","DAS - email notification BEFORE Oregon Bulletin publication"))</f>
        <v>-blank-</v>
      </c>
      <c r="AAL31" s="90"/>
      <c r="AAN31" s="147"/>
      <c r="AAO31" s="147"/>
    </row>
    <row r="32" spans="1:717" s="23" customFormat="1" ht="15" customHeight="1">
      <c r="A32" s="171"/>
      <c r="B32" s="462" t="str">
        <f>AAK32</f>
        <v>Public Comment and Testimony</v>
      </c>
      <c r="D32" s="832"/>
      <c r="E32" s="832"/>
      <c r="F32" s="529"/>
      <c r="G32" s="536"/>
      <c r="H32" s="529"/>
      <c r="I32" s="530"/>
      <c r="J32" s="193"/>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s="52"/>
      <c r="AAA32" s="192"/>
      <c r="AAB32"/>
      <c r="AAC32"/>
      <c r="AAD32" s="90"/>
      <c r="AAE32" s="519">
        <v>1</v>
      </c>
      <c r="AAF32" s="190" t="s">
        <v>52</v>
      </c>
      <c r="AAG32" s="72"/>
      <c r="AAH32" s="61"/>
      <c r="AAI32" s="61"/>
      <c r="AAJ32" s="490"/>
      <c r="AAK32" s="76" t="str">
        <f>IF(S.Notice.Involved="N","Public Comment and Testimony - not involved","Public Comment and Testimony")</f>
        <v>Public Comment and Testimony</v>
      </c>
      <c r="AAL32" s="90"/>
      <c r="AAM32" s="184" t="s">
        <v>0</v>
      </c>
    </row>
    <row r="33" spans="1:715" s="23" customFormat="1" ht="15" customHeight="1" thickBot="1">
      <c r="A33" s="171"/>
      <c r="B33" s="371" t="str">
        <f>AAK33</f>
        <v xml:space="preserve">Open public comment </v>
      </c>
      <c r="C33" s="472"/>
      <c r="D33" s="828"/>
      <c r="E33" s="833"/>
      <c r="F33" s="457">
        <f ca="1">IF(YEAR(H33)&gt;2000,NETWORKDAYS(TODAY(),H33,S.DDL_DEQClosed),0)</f>
        <v>7</v>
      </c>
      <c r="G33" s="533" t="s">
        <v>0</v>
      </c>
      <c r="H33" s="400">
        <v>41626</v>
      </c>
      <c r="I33" s="459"/>
      <c r="J33" s="193"/>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s="52"/>
      <c r="AAA33" s="192" t="s">
        <v>0</v>
      </c>
      <c r="AAD33" s="90"/>
      <c r="AAE33" s="519">
        <f>IF(S.Notice.Involved="Y",1,0)</f>
        <v>1</v>
      </c>
      <c r="AAF33" s="90" t="s">
        <v>0</v>
      </c>
      <c r="AAG33" s="61"/>
      <c r="AAH33" s="73">
        <f>IF(S.Notice.Involved="N",,S.Notice.SubmitToSOS)</f>
        <v>41621</v>
      </c>
      <c r="AAI33" s="72"/>
      <c r="AAJ33" s="188"/>
      <c r="AAK33" s="92" t="str">
        <f>IF(S.Notice.Involved="N","-blank-","Open public comment ")</f>
        <v xml:space="preserve">Open public comment </v>
      </c>
      <c r="AAL33" s="90"/>
    </row>
    <row r="34" spans="1:715" ht="15" customHeight="1" thickBot="1">
      <c r="A34" s="171"/>
      <c r="B34" s="483" t="str">
        <f>AAK34</f>
        <v>Hold 1st hearing at least 30 days AFTER open comment</v>
      </c>
      <c r="C34" s="724" t="s">
        <v>17</v>
      </c>
      <c r="D34" s="867">
        <f>AAJ34</f>
        <v>0</v>
      </c>
      <c r="E34" s="868"/>
      <c r="F34" s="457">
        <f ca="1">IF(YEAR(H34)&gt;2000,NETWORKDAYS(TODAY(),H34,S.DDL_DEQClosed),0)</f>
        <v>29</v>
      </c>
      <c r="G34" s="533" t="s">
        <v>0</v>
      </c>
      <c r="H34" s="400">
        <v>41661</v>
      </c>
      <c r="I34" s="459"/>
      <c r="J34" s="193"/>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AAA34" s="192"/>
      <c r="AAD34" s="90"/>
      <c r="AAE34" s="519">
        <f>IF(S.Notice.Involved="N",0,IF(S.Hearing.1stInvolve="Y",1,0))</f>
        <v>1</v>
      </c>
      <c r="AAF34" s="90" t="s">
        <v>0</v>
      </c>
      <c r="AAG34" s="61"/>
      <c r="AAH34" s="73">
        <f>IF(S.Notice.Involved="N",,IF(S.Hearing.1stInvolve="N",,IF(S.SIP.Involved="N",WORKDAY(S.Notice.InOregonBulletin+13,1,S.DDL_DEQClosed),WORKDAY(S.Notice.OpenComment+29,1,S.DDL_DEQClosed))))</f>
        <v>41656</v>
      </c>
      <c r="AAI34" s="72"/>
      <c r="AAJ34" s="489">
        <f>IF(S.Notice.Involved="N",,IF(S.Hearing.1stInvolve="N",,IF(S.General.Complexity=1,0,IF(S.General.Complexity=2,7,14))))</f>
        <v>0</v>
      </c>
      <c r="AAK34" s="76" t="str">
        <f>IF(AND(S.Notice.Involved="N",S.Hearing.1stInvolve="N"),"-blank-",IF(S.SIP.Involved="Y","Hold 1st hearing at least 30 days AFTER open comment",IF(AND(S.Notice.Involved="Y",S.Hearing.1stInvolve="N"),"No public hearing involved",IF(AND(S.Notice.Involved="N",S.Hearing.1stInvolve="Y"),"ERROR: All hearings must be noticed","Hold 1st hearing no earlier than 15th of month AFTER Bulletin"))))</f>
        <v>Hold 1st hearing at least 30 days AFTER open comment</v>
      </c>
      <c r="AAL34" s="90"/>
      <c r="AAM34"/>
    </row>
    <row r="35" spans="1:715" ht="15" customHeight="1">
      <c r="A35" s="171"/>
      <c r="B35" s="371" t="str">
        <f>AAK35</f>
        <v>Close public comment - best practice, 3 days after last hearing</v>
      </c>
      <c r="C35" s="472"/>
      <c r="D35" s="834"/>
      <c r="E35" s="835"/>
      <c r="F35" s="457">
        <f ca="1">IF(YEAR(H35)&gt;2000,NETWORKDAYS(TODAY(),H35,S.DDL_DEQClosed),0)</f>
        <v>32</v>
      </c>
      <c r="G35" s="533" t="s">
        <v>0</v>
      </c>
      <c r="H35" s="400">
        <f>AAH35</f>
        <v>41666</v>
      </c>
      <c r="I35" s="459"/>
      <c r="J35" s="193"/>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AAA35" s="192"/>
      <c r="AAD35" s="90"/>
      <c r="AAE35" s="519">
        <f>IF(S.Notice.Involved="Y",1,0)</f>
        <v>1</v>
      </c>
      <c r="AAF35" s="90" t="s">
        <v>0</v>
      </c>
      <c r="AAG35" s="61"/>
      <c r="AAH35" s="73">
        <f>IF(AAE35=0,,IF(S.Notice.Involved="N",S.Overview.BANNER.Start,WORKDAY(S.Notice.LastHearingDate+2,1,S.DDL_DEQClosed)))</f>
        <v>41666</v>
      </c>
      <c r="AAI35" s="72"/>
      <c r="AAJ35" s="188"/>
      <c r="AAK35" s="92" t="str">
        <f>IF(S.Notice.Involved="N","-blank-","Close public comment - best practice, 3 days after last hearing")</f>
        <v>Close public comment - best practice, 3 days after last hearing</v>
      </c>
      <c r="AAL35" s="90"/>
      <c r="AAM35"/>
    </row>
    <row r="36" spans="1:715" s="23" customFormat="1" ht="15" customHeight="1">
      <c r="A36" s="171"/>
      <c r="B36" s="539" t="s">
        <v>224</v>
      </c>
      <c r="C36" s="472"/>
      <c r="D36" s="471"/>
      <c r="E36" s="375"/>
      <c r="F36" s="473"/>
      <c r="G36" s="474"/>
      <c r="H36" s="475"/>
      <c r="I36" s="459"/>
      <c r="J36" s="193"/>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s="52"/>
      <c r="AAA36" s="192"/>
      <c r="AAB36"/>
      <c r="AAC36"/>
      <c r="AAD36" s="90"/>
      <c r="AAE36" s="519">
        <v>1</v>
      </c>
      <c r="AAF36" s="190" t="s">
        <v>52</v>
      </c>
      <c r="AAG36" s="77"/>
      <c r="AAH36" s="77"/>
      <c r="AAI36" s="72"/>
      <c r="AAJ36" s="187"/>
      <c r="AAK36" s="93"/>
      <c r="AAL36" s="90"/>
    </row>
    <row r="37" spans="1:715" s="23" customFormat="1" ht="15" customHeight="1" thickBot="1">
      <c r="A37" s="200"/>
      <c r="B37" s="540" t="str">
        <f t="shared" ref="B37:B43" si="11">AAK37</f>
        <v>Involvement before Rulemaking Action Item</v>
      </c>
      <c r="C37" s="537"/>
      <c r="D37" s="476"/>
      <c r="E37" s="477"/>
      <c r="F37" s="456"/>
      <c r="G37" s="816" t="s">
        <v>73</v>
      </c>
      <c r="H37" s="816" t="s">
        <v>72</v>
      </c>
      <c r="I37" s="459"/>
      <c r="J37" s="194"/>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s="52"/>
      <c r="AAA37" s="192"/>
      <c r="AAB37"/>
      <c r="AAC37"/>
      <c r="AAD37" s="90"/>
      <c r="AAE37" s="520">
        <v>1</v>
      </c>
      <c r="AAF37" s="190" t="s">
        <v>52</v>
      </c>
      <c r="AAG37" s="61"/>
      <c r="AAH37" s="61"/>
      <c r="AAI37" s="72"/>
      <c r="AAJ37" s="188"/>
      <c r="AAK37" s="80" t="str">
        <f>IF(OR(S.EQC.DirReport="Y",S.EQC.InfoItem="Y",S.EQC.FacHearing="Y"),"Involvement before Rulemaking Action Item","No EQC involvement before Action Item meeting")</f>
        <v>Involvement before Rulemaking Action Item</v>
      </c>
      <c r="AAL37" s="90"/>
      <c r="AAM37" s="52"/>
    </row>
    <row r="38" spans="1:715" s="23" customFormat="1" ht="15" customHeight="1" thickBot="1">
      <c r="A38" s="200"/>
      <c r="B38" s="516" t="str">
        <f t="shared" si="11"/>
        <v>Director's Report - some material comes from monthly status report</v>
      </c>
      <c r="C38" s="725" t="s">
        <v>17</v>
      </c>
      <c r="D38" s="790" t="str">
        <f>HYPERLINK("http://deqsps/groups/eqc/docs/EQCDeadlines.docx","i")</f>
        <v>i</v>
      </c>
      <c r="E38" s="532"/>
      <c r="F38" s="457">
        <f ca="1">IF(S.EQC.DirReport="N",,NETWORKDAYS(TODAY(),H38,S.DDL_DEQClosed))</f>
        <v>2</v>
      </c>
      <c r="G38" s="815">
        <v>41619</v>
      </c>
      <c r="H38" s="815">
        <v>41619</v>
      </c>
      <c r="I38" s="459" t="s">
        <v>472</v>
      </c>
      <c r="J38" s="194"/>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s="52"/>
      <c r="AAA38" s="192"/>
      <c r="AAB38"/>
      <c r="AAC38"/>
      <c r="AAD38" s="90"/>
      <c r="AAE38" s="520">
        <f>IF(S.EQC.DirReport="Y",1,0)</f>
        <v>1</v>
      </c>
      <c r="AAF38" s="191" t="s">
        <v>0</v>
      </c>
      <c r="AAG38" s="73">
        <f>IF(S.EQC.DirReport="Y",VLOOKUP(S.EQC.Meeting,VL_EQCActivities,6,FALSE),)</f>
        <v>41619</v>
      </c>
      <c r="AAH38" s="73">
        <f>IF(S.EQC.DirReport="Y",G38,)</f>
        <v>41619</v>
      </c>
      <c r="AAI38" s="183" t="str">
        <f>IF(OR(G38&gt;=S.EQC.Meeting,H38&gt;=S.EQC.Meeting),"Must be less than H13","")</f>
        <v/>
      </c>
      <c r="AAJ38" s="188"/>
      <c r="AAK38" s="80" t="str">
        <f>IF(S.EQC.DirReport="N","-blank-","Director's Report - some material comes from monthly status report")</f>
        <v>Director's Report - some material comes from monthly status report</v>
      </c>
      <c r="AAL38" s="90"/>
    </row>
    <row r="39" spans="1:715" s="23" customFormat="1" ht="15" customHeight="1" thickBot="1">
      <c r="A39" s="200"/>
      <c r="B39" s="516" t="str">
        <f t="shared" si="11"/>
        <v>-blank-</v>
      </c>
      <c r="C39" s="724" t="s">
        <v>303</v>
      </c>
      <c r="D39" s="790" t="str">
        <f>HYPERLINK("http://deqsps/groups/eqc/docs/EQCDeadlines.docx","i")</f>
        <v>i</v>
      </c>
      <c r="E39" s="836">
        <f>AAJ39</f>
        <v>0</v>
      </c>
      <c r="F39" s="457">
        <f ca="1">IF(S.EQC.InfoItem="N",,NETWORKDAYS(TODAY(),H39,S.DDL_DEQClosed))</f>
        <v>0</v>
      </c>
      <c r="G39" s="815">
        <f t="shared" ref="G39:G40" si="12">AAG39</f>
        <v>0</v>
      </c>
      <c r="H39" s="815">
        <v>41507</v>
      </c>
      <c r="I39" s="459"/>
      <c r="J39" s="194"/>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s="52"/>
      <c r="AAA39" s="192"/>
      <c r="AAB39"/>
      <c r="AAC39"/>
      <c r="AAD39" s="90"/>
      <c r="AAE39" s="520">
        <f>IF(S.EQC.InfoItem="Y",1,0)</f>
        <v>0</v>
      </c>
      <c r="AAF39" s="191" t="s">
        <v>0</v>
      </c>
      <c r="AAG39" s="73">
        <f>IF(S.EQC.InfoItem="Y",VLOOKUP(S.EQC.Meeting,VL_EQCActivities,6,FALSE),)</f>
        <v>0</v>
      </c>
      <c r="AAH39" s="73">
        <f>IF(S.EQC.InfoItem="Y",G39,)</f>
        <v>0</v>
      </c>
      <c r="AAI39" s="183" t="str">
        <f>IF(OR(G39&gt;=S.EQC.Meeting,H39&gt;=S.EQC.Meeting),"Must be less than H13","")</f>
        <v/>
      </c>
      <c r="AAJ39" s="489">
        <f>IF(S.EQC.InfoItem="Y",15,0)</f>
        <v>0</v>
      </c>
      <c r="AAK39" s="80" t="str">
        <f>IF(S.EQC.InfoItem="N","-blank-","Information Item - a presentation to update the EQC")</f>
        <v>-blank-</v>
      </c>
      <c r="AAL39" s="90"/>
    </row>
    <row r="40" spans="1:715" s="23" customFormat="1" ht="15" customHeight="1" thickBot="1">
      <c r="A40" s="200"/>
      <c r="B40" s="290" t="str">
        <f t="shared" si="11"/>
        <v>-blank-</v>
      </c>
      <c r="C40" s="726" t="s">
        <v>303</v>
      </c>
      <c r="D40" s="531"/>
      <c r="E40" s="532"/>
      <c r="F40" s="457">
        <f ca="1">IF(S.EQC.FacHearing="N",,NETWORKDAYS(TODAY(),H40,S.DDL_DEQClosed))</f>
        <v>0</v>
      </c>
      <c r="G40" s="815">
        <f t="shared" si="12"/>
        <v>0</v>
      </c>
      <c r="H40" s="815">
        <v>41444</v>
      </c>
      <c r="I40" s="459"/>
      <c r="J40" s="194"/>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s="52"/>
      <c r="AAA40" s="192"/>
      <c r="AAB40"/>
      <c r="AAC40"/>
      <c r="AAD40" s="90"/>
      <c r="AAE40" s="520">
        <f>IF(AND(S.Hearing.1stInvolve,S.EQC.FacHearing="Y"),1,0)</f>
        <v>0</v>
      </c>
      <c r="AAF40" s="191" t="s">
        <v>0</v>
      </c>
      <c r="AAG40" s="73">
        <f>IF(S.EQC.FacHearing="Y",VLOOKUP(S.EQC.Meeting,VL_EQCActivities,6,FALSE),)</f>
        <v>0</v>
      </c>
      <c r="AAH40" s="73">
        <f>IF(S.EQC.FacHearing="Y",G40,)</f>
        <v>0</v>
      </c>
      <c r="AAI40" s="183" t="str">
        <f>IF(OR(G40&gt;=S.EQC.Meeting,H40&gt;=S.EQC.Meeting),"Must be less than H13","")</f>
        <v/>
      </c>
      <c r="AAJ40" s="188"/>
      <c r="AAK40" s="80" t="str">
        <f>IF(S.EQC.FacHearing="N","-blank-",IF(AND(S.EQC.FacHearing="Y",S.Hearing.1stInvolve="N"),"ERROR: No hearings selected above","Facilitated Hearing"))</f>
        <v>-blank-</v>
      </c>
      <c r="AAL40" s="90"/>
    </row>
    <row r="41" spans="1:715" s="23" customFormat="1" ht="8.25" customHeight="1">
      <c r="A41" s="171"/>
      <c r="B41" s="539" t="s">
        <v>0</v>
      </c>
      <c r="C41" s="472"/>
      <c r="D41" s="471"/>
      <c r="E41" s="375"/>
      <c r="F41" s="473"/>
      <c r="G41" s="474"/>
      <c r="H41" s="475"/>
      <c r="I41" s="459"/>
      <c r="J41" s="193"/>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ZZ41" s="52"/>
      <c r="AAA41" s="192"/>
      <c r="AAD41" s="90"/>
      <c r="AAE41" s="519">
        <v>1</v>
      </c>
      <c r="AAF41" s="190" t="s">
        <v>52</v>
      </c>
      <c r="AAG41" s="77"/>
      <c r="AAH41" s="77"/>
      <c r="AAI41" s="72"/>
      <c r="AAJ41" s="187"/>
      <c r="AAK41" s="93"/>
      <c r="AAL41" s="90"/>
    </row>
    <row r="42" spans="1:715" s="23" customFormat="1" ht="15" customHeight="1">
      <c r="A42" s="171"/>
      <c r="B42" s="761" t="str">
        <f t="shared" si="11"/>
        <v>Rule publication - submit PERMANENT staff report</v>
      </c>
      <c r="C42" s="478"/>
      <c r="D42" s="52"/>
      <c r="E42" s="753"/>
      <c r="F42" s="457">
        <f ca="1">IF(YEAR(H42)&gt;2000,NETWORKDAYS(TODAY(),H42,S.DDL_DEQClosed),0)</f>
        <v>40</v>
      </c>
      <c r="G42" s="533" t="s">
        <v>0</v>
      </c>
      <c r="H42" s="451">
        <f>AAH42</f>
        <v>41676</v>
      </c>
      <c r="I42" s="459"/>
      <c r="J42" s="193"/>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s="52"/>
      <c r="AAA42" s="192"/>
      <c r="AAB42"/>
      <c r="AAC42"/>
      <c r="AAD42" s="90"/>
      <c r="AAE42" s="519">
        <v>1</v>
      </c>
      <c r="AAF42" s="90" t="s">
        <v>0</v>
      </c>
      <c r="AAG42" s="61"/>
      <c r="AAH42" s="73">
        <f>VLOOKUP(S.EQC.Meeting,VL_EQCActivities,2,FALSE)</f>
        <v>41676</v>
      </c>
      <c r="AAI42" s="72"/>
      <c r="AAJ42" s="188"/>
      <c r="AAK42" s="80" t="str">
        <f>IF(S.General.RuleType="P","Rule publication - submit PERMANENT staff report","Rule publication - submit TEMPORARY staff report")</f>
        <v>Rule publication - submit PERMANENT staff report</v>
      </c>
      <c r="AAL42" s="90"/>
    </row>
    <row r="43" spans="1:715" s="240" customFormat="1" ht="15" customHeight="1">
      <c r="A43" s="253"/>
      <c r="B43" s="866" t="str">
        <f t="shared" si="11"/>
        <v>EQC meeting - PERMANENT Rulemaking Action Item</v>
      </c>
      <c r="C43" s="866"/>
      <c r="D43" s="754"/>
      <c r="E43" s="755"/>
      <c r="F43" s="457">
        <f ca="1">IF(YEAR(H43)&gt;2000,NETWORKDAYS(TODAY(),H43,S.DDL_DEQClosed),0)</f>
        <v>68</v>
      </c>
      <c r="G43" s="534" t="s">
        <v>0</v>
      </c>
      <c r="H43" s="748">
        <v>41717</v>
      </c>
      <c r="I43" s="479"/>
      <c r="J43" s="282"/>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s="52"/>
      <c r="AAA43" s="771" t="s">
        <v>0</v>
      </c>
      <c r="AAD43" s="90"/>
      <c r="AAE43" s="519">
        <v>1</v>
      </c>
      <c r="AAF43" s="90"/>
      <c r="AAG43" s="284"/>
      <c r="AAH43" s="73">
        <f>VLOOKUP(WORKDAY(S.Planning.AddConcepToPlanDate+S.General.DaysRecommended,1,S.DDL_DEQClosed),VL_EQCActivities,5,TRUE)</f>
        <v>41717</v>
      </c>
      <c r="AAI43" s="750" t="s">
        <v>0</v>
      </c>
      <c r="AAJ43" s="492"/>
      <c r="AAK43" s="80" t="str">
        <f>IF(S.General.RuleType="P","EQC meeting - PERMANENT Rulemaking Action Item","EQC meeting - TEMPORARY Rulemaking Action Item")</f>
        <v>EQC meeting - PERMANENT Rulemaking Action Item</v>
      </c>
      <c r="AAL43" s="90"/>
    </row>
    <row r="44" spans="1:715" s="23" customFormat="1" ht="15" customHeight="1" thickBot="1">
      <c r="A44" s="171"/>
      <c r="B44" s="752" t="s">
        <v>477</v>
      </c>
      <c r="C44" s="472"/>
      <c r="D44" s="879">
        <v>0</v>
      </c>
      <c r="E44" s="879">
        <f>S.General.DaysRecommended</f>
        <v>105</v>
      </c>
      <c r="F44" s="473"/>
      <c r="G44" s="474"/>
      <c r="H44" s="475"/>
      <c r="I44" s="459"/>
      <c r="J44" s="193"/>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s="52"/>
      <c r="AAA44" s="192"/>
      <c r="AAD44" s="90"/>
      <c r="AAE44" s="519">
        <v>1</v>
      </c>
      <c r="AAF44" s="190" t="s">
        <v>52</v>
      </c>
      <c r="AAG44" s="77"/>
      <c r="AAH44" s="77"/>
      <c r="AAI44" s="72"/>
      <c r="AAJ44" s="489">
        <f>D44</f>
        <v>0</v>
      </c>
      <c r="AAK44" s="93"/>
      <c r="AAL44" s="90"/>
    </row>
    <row r="45" spans="1:715" s="23" customFormat="1" ht="15" customHeight="1" thickTop="1">
      <c r="A45" s="171"/>
      <c r="B45" s="752" t="s">
        <v>474</v>
      </c>
      <c r="C45" s="472"/>
      <c r="D45" s="877">
        <f>AAJ45</f>
        <v>105</v>
      </c>
      <c r="E45" s="877">
        <f>S.General.DaysRecommended</f>
        <v>105</v>
      </c>
      <c r="F45" s="473"/>
      <c r="G45" s="474"/>
      <c r="H45" s="475"/>
      <c r="I45" s="459"/>
      <c r="J45" s="193"/>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s="52"/>
      <c r="AAA45" s="192"/>
      <c r="AAD45" s="90"/>
      <c r="AAE45" s="519">
        <v>1</v>
      </c>
      <c r="AAF45" s="190" t="s">
        <v>52</v>
      </c>
      <c r="AAG45" s="77"/>
      <c r="AAH45" s="77"/>
      <c r="AAI45" s="72"/>
      <c r="AAJ45" s="189">
        <f>SUM(AAJ11:AAJ44)</f>
        <v>105</v>
      </c>
      <c r="AAK45" s="93"/>
      <c r="AAL45" s="90"/>
    </row>
    <row r="46" spans="1:715" s="23" customFormat="1" ht="15" customHeight="1">
      <c r="A46" s="171"/>
      <c r="B46" s="539" t="s">
        <v>236</v>
      </c>
      <c r="C46" s="472"/>
      <c r="D46" s="471"/>
      <c r="E46" s="375" t="s">
        <v>0</v>
      </c>
      <c r="F46" s="473"/>
      <c r="G46" s="535"/>
      <c r="H46" s="475"/>
      <c r="I46" s="459"/>
      <c r="J46" s="193"/>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s="52"/>
      <c r="AAA46" s="192"/>
      <c r="AAB46"/>
      <c r="AAC46"/>
      <c r="AAD46" s="90"/>
      <c r="AAE46" s="519">
        <v>1</v>
      </c>
      <c r="AAF46" s="190" t="s">
        <v>52</v>
      </c>
      <c r="AAG46" s="90"/>
      <c r="AAH46" s="79"/>
      <c r="AAI46" s="61"/>
      <c r="AAJ46" s="490"/>
      <c r="AAK46" s="93"/>
      <c r="AAL46" s="90"/>
    </row>
    <row r="47" spans="1:715" s="23" customFormat="1" ht="15" customHeight="1">
      <c r="A47" s="171"/>
      <c r="B47" s="287" t="s">
        <v>62</v>
      </c>
      <c r="C47" s="356"/>
      <c r="D47" s="480"/>
      <c r="E47" s="348"/>
      <c r="F47" s="457">
        <f ca="1">IF(YEAR(H47)&gt;2000,NETWORKDAYS(TODAY(),H47,S.DDL_DEQClosed),0)</f>
        <v>70</v>
      </c>
      <c r="G47" s="533" t="s">
        <v>0</v>
      </c>
      <c r="H47" s="400">
        <f>AAH47</f>
        <v>41719</v>
      </c>
      <c r="I47" s="459"/>
      <c r="J47" s="193"/>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s="52"/>
      <c r="AAA47" s="192"/>
      <c r="AAB47"/>
      <c r="AAC47"/>
      <c r="AAD47" s="90"/>
      <c r="AAE47" s="519">
        <v>1</v>
      </c>
      <c r="AAF47" s="90" t="s">
        <v>0</v>
      </c>
      <c r="AAG47" s="61"/>
      <c r="AAH47" s="73">
        <f>WORKDAY(S.EQC.Meeting+1,1,S.DDL_DEQClosed)</f>
        <v>41719</v>
      </c>
      <c r="AAI47" s="61"/>
      <c r="AAJ47" s="490"/>
      <c r="AAK47" s="77"/>
      <c r="AAL47" s="90"/>
    </row>
    <row r="48" spans="1:715" s="23" customFormat="1" ht="15" customHeight="1" thickBot="1">
      <c r="A48" s="171" t="s">
        <v>0</v>
      </c>
      <c r="B48" s="287" t="str">
        <f>AAK48</f>
        <v>DAS - fees not involved</v>
      </c>
      <c r="C48" s="356"/>
      <c r="D48" s="480"/>
      <c r="E48" s="348"/>
      <c r="F48" s="457">
        <f ca="1">IF(S.Fee.Involved="N",,NETWORKDAYS(TODAY(),H48,S.DDL_DEQClosed))</f>
        <v>0</v>
      </c>
      <c r="G48" s="533" t="s">
        <v>0</v>
      </c>
      <c r="H48" s="400">
        <f>AAH48</f>
        <v>41722</v>
      </c>
      <c r="I48" s="459"/>
      <c r="J48" s="193"/>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s="52"/>
      <c r="AAA48" s="192"/>
      <c r="AAB48"/>
      <c r="AAC48"/>
      <c r="AAD48" s="90"/>
      <c r="AAE48" s="519">
        <f>IF(S.Fee.Involved="Y",1,0)</f>
        <v>0</v>
      </c>
      <c r="AAF48" s="90" t="s">
        <v>0</v>
      </c>
      <c r="AAG48" s="90" t="s">
        <v>0</v>
      </c>
      <c r="AAH48" s="73">
        <f>WORKDAY(S.EQC.Meeting+5,0,S.DDL_DEQClosed)</f>
        <v>41722</v>
      </c>
      <c r="AAI48" s="61"/>
      <c r="AAJ48" s="490"/>
      <c r="AAK48" s="76" t="str">
        <f>IF(S.Fee.Involved="N","DAS - fees not involved",IF(S.Fee.DASApprovalRequired="Y","DAS - submit Part 2 within ten days after EQC rulemaking action","DAS - email notification within 10 days after EQC rulemaking action"))</f>
        <v>DAS - fees not involved</v>
      </c>
      <c r="AAL48" s="90"/>
    </row>
    <row r="49" spans="1:715" ht="15" customHeight="1" thickBot="1">
      <c r="A49" s="171"/>
      <c r="B49" s="541" t="s">
        <v>488</v>
      </c>
      <c r="C49" s="724" t="s">
        <v>17</v>
      </c>
      <c r="D49" s="472"/>
      <c r="E49" s="348"/>
      <c r="F49" s="457">
        <f ca="1">IF(YEAR(H49)&gt;2000,NETWORKDAYS(TODAY(),H49,S.DDL_DEQClosed),0)</f>
        <v>70</v>
      </c>
      <c r="G49" s="533" t="s">
        <v>0</v>
      </c>
      <c r="H49" s="400">
        <f>AAH49</f>
        <v>41719</v>
      </c>
      <c r="I49" s="459"/>
      <c r="J49" s="1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AAA49" s="192"/>
      <c r="AAD49" s="90"/>
      <c r="AAE49" s="519">
        <v>1</v>
      </c>
      <c r="AAF49" s="90"/>
      <c r="AAG49" s="90" t="s">
        <v>0</v>
      </c>
      <c r="AAH49" s="73">
        <f>S.PostEQC.FileRuleWithSOS</f>
        <v>41719</v>
      </c>
      <c r="AAI49" s="73">
        <f>S.EQC.Meeting+10</f>
        <v>41727</v>
      </c>
      <c r="AAJ49" s="54"/>
      <c r="AAK49" s="39"/>
      <c r="AAL49" s="90"/>
      <c r="AAM49"/>
    </row>
    <row r="50" spans="1:715" s="23" customFormat="1" ht="15" customHeight="1">
      <c r="A50" s="171"/>
      <c r="B50" s="287" t="str">
        <f>AAK50</f>
        <v>EPA - goal to submit SIP within 60 days of adoption</v>
      </c>
      <c r="C50" s="480"/>
      <c r="D50" s="361"/>
      <c r="E50" s="348"/>
      <c r="F50" s="457">
        <f ca="1">IF(S.SIP.Involved="N",,NETWORKDAYS(TODAY(),H50,S.DDL_DEQClosed))</f>
        <v>111</v>
      </c>
      <c r="G50" s="470" t="s">
        <v>0</v>
      </c>
      <c r="H50" s="400">
        <f>AAH50</f>
        <v>41778</v>
      </c>
      <c r="I50" s="459" t="s">
        <v>0</v>
      </c>
      <c r="J50" s="193"/>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s="52"/>
      <c r="AAA50" s="192" t="s">
        <v>0</v>
      </c>
      <c r="AAB50" s="23" t="s">
        <v>0</v>
      </c>
      <c r="AAC50"/>
      <c r="AAD50" s="90"/>
      <c r="AAE50" s="520">
        <f>IF(S.SIP.Involved="Y",1,0)</f>
        <v>1</v>
      </c>
      <c r="AAF50" s="90"/>
      <c r="AAG50" s="61"/>
      <c r="AAH50" s="73">
        <f>IF(S.SIP.Involved="N",,WORKDAY(S.EQC.Meeting+59,1,S.DDL_DEQClosed))</f>
        <v>41778</v>
      </c>
      <c r="AAI50" s="61"/>
      <c r="AAJ50" s="490"/>
      <c r="AAK50" s="76" t="str">
        <f>IF(S.SIP.Involved="Y","EPA - goal to submit SIP within 60 days of adoption","EPA - SIP not involved")</f>
        <v>EPA - goal to submit SIP within 60 days of adoption</v>
      </c>
      <c r="AAL50" s="90"/>
    </row>
    <row r="51" spans="1:715" ht="6.75" customHeight="1">
      <c r="A51" s="171"/>
      <c r="B51" s="435"/>
      <c r="C51" s="409"/>
      <c r="D51" s="430"/>
      <c r="E51" s="436"/>
      <c r="F51" s="436"/>
      <c r="G51" s="481"/>
      <c r="H51" s="409"/>
      <c r="I51" s="459"/>
      <c r="J51" s="224"/>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AAA51" s="192"/>
      <c r="AAD51" s="90"/>
      <c r="AAE51" s="519">
        <v>0</v>
      </c>
      <c r="AAF51" s="190" t="s">
        <v>52</v>
      </c>
      <c r="AAG51" s="71"/>
      <c r="AAH51" s="71"/>
      <c r="AAI51" s="61"/>
      <c r="AAJ51" s="54"/>
      <c r="AAK51" s="39"/>
      <c r="AAL51" s="90"/>
      <c r="AAM51"/>
    </row>
    <row r="52" spans="1:715" s="23" customFormat="1" ht="18" customHeight="1">
      <c r="A52" s="171"/>
      <c r="B52" s="118" t="s">
        <v>247</v>
      </c>
      <c r="C52" s="98"/>
      <c r="D52" s="232" t="s">
        <v>64</v>
      </c>
      <c r="E52" s="887"/>
      <c r="F52" s="887"/>
      <c r="G52" s="99" t="s">
        <v>0</v>
      </c>
      <c r="H52" s="99" t="s">
        <v>0</v>
      </c>
      <c r="I52" s="244"/>
      <c r="J52" s="21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s="52"/>
      <c r="AAA52" s="192"/>
      <c r="AAB52"/>
      <c r="AAC52"/>
      <c r="AAD52" s="90"/>
      <c r="AAE52" s="519" t="s">
        <v>22</v>
      </c>
      <c r="AAF52" s="190" t="s">
        <v>52</v>
      </c>
      <c r="AAG52" s="90"/>
      <c r="AAH52" s="90"/>
      <c r="AAI52" s="72"/>
      <c r="AAJ52" s="81"/>
      <c r="AAK52" s="71"/>
      <c r="AAL52" s="90"/>
    </row>
    <row r="53" spans="1:715" s="23" customFormat="1" ht="14.25" customHeight="1" outlineLevel="1">
      <c r="A53" s="171"/>
      <c r="B53" s="141" t="s">
        <v>0</v>
      </c>
      <c r="C53" s="100" t="s">
        <v>0</v>
      </c>
      <c r="D53" s="237"/>
      <c r="E53" s="865" t="s">
        <v>225</v>
      </c>
      <c r="F53" s="865"/>
      <c r="G53" s="865" t="s">
        <v>12</v>
      </c>
      <c r="H53" s="865"/>
      <c r="I53" s="244"/>
      <c r="J53" s="195"/>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s="52"/>
      <c r="AAA53" s="192"/>
      <c r="AAD53" s="90"/>
      <c r="AAE53" s="519" t="s">
        <v>63</v>
      </c>
      <c r="AAF53" s="190" t="s">
        <v>52</v>
      </c>
      <c r="AAG53" s="90"/>
      <c r="AAH53" s="90"/>
      <c r="AAI53" s="72"/>
      <c r="AAJ53" s="81"/>
      <c r="AAK53" s="71"/>
      <c r="AAL53" s="90"/>
    </row>
    <row r="54" spans="1:715" s="552" customFormat="1" ht="24" customHeight="1" outlineLevel="1">
      <c r="A54" s="545"/>
      <c r="B54" s="686" t="str">
        <f>S.General.RulemakingTitle</f>
        <v>Incorporate Lane Regional Air Protection Agency Rules into State Implementation Plan</v>
      </c>
      <c r="C54" s="547" t="s">
        <v>0</v>
      </c>
      <c r="D54" s="547"/>
      <c r="E54" s="559" t="s">
        <v>228</v>
      </c>
      <c r="F54" s="560" t="s">
        <v>226</v>
      </c>
      <c r="G54" s="548" t="s">
        <v>61</v>
      </c>
      <c r="H54" s="548" t="s">
        <v>227</v>
      </c>
      <c r="I54" s="549"/>
      <c r="J54" s="550"/>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s="52"/>
      <c r="AAA54" s="770"/>
      <c r="AAD54" s="553"/>
      <c r="AAE54" s="554" t="s">
        <v>63</v>
      </c>
      <c r="AAF54" s="555" t="s">
        <v>52</v>
      </c>
      <c r="AAG54" s="553"/>
      <c r="AAH54" s="553"/>
      <c r="AAI54" s="556"/>
      <c r="AAJ54" s="557"/>
      <c r="AAK54" s="558"/>
      <c r="AAL54" s="553"/>
    </row>
    <row r="55" spans="1:715" ht="18" customHeight="1" outlineLevel="1">
      <c r="A55" s="171"/>
      <c r="B55" s="561" t="s">
        <v>12</v>
      </c>
      <c r="C55" s="563"/>
      <c r="D55" s="128"/>
      <c r="E55" s="564"/>
      <c r="F55" s="565">
        <f>NETWORKDAYS(S.Planning.BANNER.Begin,S.Planning.BANNER.End,S.DDL_DEQClosed)</f>
        <v>1</v>
      </c>
      <c r="G55" s="142">
        <f>S.Overview.BANNER.Start</f>
        <v>41572</v>
      </c>
      <c r="H55" s="280">
        <f>AAH55</f>
        <v>41572</v>
      </c>
      <c r="I55" s="244"/>
      <c r="J55" s="216"/>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AAA55" s="192" t="s">
        <v>0</v>
      </c>
      <c r="AAD55" s="90"/>
      <c r="AAE55" s="519" t="s">
        <v>63</v>
      </c>
      <c r="AAF55" s="190" t="s">
        <v>52</v>
      </c>
      <c r="AAG55" s="73">
        <f>S.Overview.BANNER.Start</f>
        <v>41572</v>
      </c>
      <c r="AAH55" s="73">
        <f>IF(S.General.RuleType="P",S.Notice.BANNER.Begin,S.EQC.BANNER.Begin)</f>
        <v>41572</v>
      </c>
      <c r="AAI55" s="73">
        <f>MAX(H61:H145)</f>
        <v>41577</v>
      </c>
      <c r="AAJ55" s="81"/>
      <c r="AAK55" s="71"/>
      <c r="AAL55" s="90"/>
      <c r="AAM55"/>
    </row>
    <row r="56" spans="1:715" ht="6" customHeight="1" outlineLevel="1">
      <c r="A56" s="171"/>
      <c r="B56" s="120"/>
      <c r="C56" s="112"/>
      <c r="D56" s="230"/>
      <c r="E56" s="113"/>
      <c r="F56" s="113"/>
      <c r="G56" s="112"/>
      <c r="H56" s="112"/>
      <c r="I56" s="244"/>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AAA56" s="192"/>
      <c r="AAD56" s="90"/>
      <c r="AAE56" s="520" t="s">
        <v>17</v>
      </c>
      <c r="AAF56" s="190" t="s">
        <v>52</v>
      </c>
      <c r="AAG56" s="60"/>
      <c r="AAH56" s="60"/>
      <c r="AAI56" s="82"/>
      <c r="AAJ56" s="82"/>
      <c r="AAK56" s="40"/>
      <c r="AAL56" s="90"/>
      <c r="AAM56"/>
    </row>
    <row r="57" spans="1:715" s="23" customFormat="1" ht="12.75" customHeight="1" outlineLevel="1">
      <c r="A57" s="171"/>
      <c r="B57" s="798" t="s">
        <v>506</v>
      </c>
      <c r="C57" s="790" t="str">
        <f>HYPERLINK("","i")</f>
        <v>i</v>
      </c>
      <c r="D57" s="231"/>
      <c r="E57" s="97"/>
      <c r="F57" s="97"/>
      <c r="G57" s="96"/>
      <c r="H57" s="96"/>
      <c r="I57" s="244"/>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ZZ57" s="52"/>
      <c r="AAA57" s="192"/>
      <c r="AAD57" s="90"/>
      <c r="AAE57" s="520" t="s">
        <v>21</v>
      </c>
      <c r="AAF57" s="190" t="s">
        <v>52</v>
      </c>
      <c r="AAG57" s="60"/>
      <c r="AAH57" s="60"/>
      <c r="AAI57" s="82"/>
      <c r="AAJ57" s="82"/>
      <c r="AAK57" s="40"/>
      <c r="AAL57" s="90"/>
    </row>
    <row r="58" spans="1:715" s="23" customFormat="1" ht="15" customHeight="1" outlineLevel="1">
      <c r="A58" s="171"/>
      <c r="B58" s="482" t="s">
        <v>145</v>
      </c>
      <c r="D58" s="255"/>
      <c r="E58" s="496"/>
      <c r="F58" s="496"/>
      <c r="G58" s="496"/>
      <c r="H58" s="496"/>
      <c r="I58" s="244"/>
      <c r="J58" s="196"/>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s="52"/>
      <c r="AAA58" s="192"/>
      <c r="AAD58" s="90"/>
      <c r="AAE58" s="519">
        <v>1</v>
      </c>
      <c r="AAF58" s="190" t="s">
        <v>52</v>
      </c>
      <c r="AAG58" s="60"/>
      <c r="AAH58" s="60"/>
      <c r="AAI58" s="72" t="s">
        <v>0</v>
      </c>
      <c r="AAJ58" s="55"/>
      <c r="AAK58" s="71"/>
      <c r="AAL58" s="90"/>
    </row>
    <row r="59" spans="1:715" s="23" customFormat="1" ht="15" customHeight="1" outlineLevel="1">
      <c r="A59" s="171"/>
      <c r="B59" s="291" t="str">
        <f t="shared" ref="B59:B66" si="13">AAK59</f>
        <v>After Andy &amp; managers approve concept development work...</v>
      </c>
      <c r="C59" s="790" t="str">
        <f>HYPERLINK("\\deqhq1\Rule_Resources\i\PLAN.AddToRulemakingPlan.pdf","i")</f>
        <v>i</v>
      </c>
      <c r="E59" s="151" t="s">
        <v>0</v>
      </c>
      <c r="F59" s="151" t="s">
        <v>0</v>
      </c>
      <c r="G59" s="150"/>
      <c r="H59" s="495">
        <f>AAH59</f>
        <v>41572</v>
      </c>
      <c r="I59" s="244"/>
      <c r="J59" s="221"/>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s="52"/>
      <c r="AAA59" s="192"/>
      <c r="AAD59" s="90"/>
      <c r="AAE59" s="519">
        <v>1</v>
      </c>
      <c r="AAF59" s="60"/>
      <c r="AAG59" s="60"/>
      <c r="AAH59" s="73">
        <f>S.Overview.BANNER.Start</f>
        <v>41572</v>
      </c>
      <c r="AAI59" s="72" t="s">
        <v>0</v>
      </c>
      <c r="AAJ59" s="55"/>
      <c r="AAK59" s="76" t="str">
        <f>"After "&amp;S.Staff.DA&amp;" &amp; managers approve concept development work..."</f>
        <v>After Andy &amp; managers approve concept development work...</v>
      </c>
      <c r="AAL59" s="90"/>
    </row>
    <row r="60" spans="1:715" s="23" customFormat="1" ht="15" customHeight="1" outlineLevel="1">
      <c r="A60" s="171"/>
      <c r="B60" s="361" t="str">
        <f t="shared" si="13"/>
        <v>MargaretMGR</v>
      </c>
      <c r="C60" s="111" t="s">
        <v>0</v>
      </c>
      <c r="D60" s="255"/>
      <c r="E60" s="496"/>
      <c r="F60" s="496"/>
      <c r="G60" s="496"/>
      <c r="H60" s="496"/>
      <c r="I60" s="244"/>
      <c r="J60" s="196"/>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s="52"/>
      <c r="AAA60" s="192"/>
      <c r="AAD60" s="90"/>
      <c r="AAE60" s="519">
        <v>1</v>
      </c>
      <c r="AAF60" s="190" t="s">
        <v>52</v>
      </c>
      <c r="AAG60" s="60"/>
      <c r="AAH60" s="60"/>
      <c r="AAI60" s="72"/>
      <c r="AAJ60" s="55"/>
      <c r="AAK60" s="76" t="str">
        <f>S.Staff.Mgr</f>
        <v>MargaretMGR</v>
      </c>
      <c r="AAL60" s="90"/>
    </row>
    <row r="61" spans="1:715" s="23" customFormat="1" ht="15" customHeight="1" outlineLevel="1">
      <c r="A61" s="171"/>
      <c r="B61" s="363" t="str">
        <f t="shared" si="13"/>
        <v>* assigns staff to work with AndreaDRC &amp; Maggie</v>
      </c>
      <c r="C61" s="271" t="s">
        <v>0</v>
      </c>
      <c r="D61" s="279"/>
      <c r="E61" s="263">
        <f t="shared" ref="E61" si="14">NETWORKDAYS(G61,H61,S.DDL_DEQClosed)</f>
        <v>1</v>
      </c>
      <c r="F61" s="457">
        <f ca="1">IF(YEAR(H61)&gt;2000,NETWORKDAYS(TODAY(),H61,S.DDL_DEQClosed),0)</f>
        <v>-31</v>
      </c>
      <c r="G61" s="264">
        <f t="shared" ref="G61:G64" si="15">AAG61</f>
        <v>41572</v>
      </c>
      <c r="H61" s="264">
        <f>AAH61</f>
        <v>41572</v>
      </c>
      <c r="I61" s="244"/>
      <c r="J61" s="196"/>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s="52"/>
      <c r="AAA61" s="192"/>
      <c r="AAD61" s="90"/>
      <c r="AAE61" s="519">
        <v>1</v>
      </c>
      <c r="AAF61" s="90" t="s">
        <v>0</v>
      </c>
      <c r="AAG61" s="73">
        <f>S.Planning.BANNER.Begin</f>
        <v>41572</v>
      </c>
      <c r="AAH61" s="73">
        <f>G61</f>
        <v>41572</v>
      </c>
      <c r="AAI61" s="72"/>
      <c r="AAJ61" s="55"/>
      <c r="AAK61" s="76" t="str">
        <f>"* assigns staff to work with "&amp;S.Staff.DivisionRulesCoordinator&amp;" &amp; "&amp;S.Staff.AgencyRulesCoordinator</f>
        <v>* assigns staff to work with AndreaDRC &amp; Maggie</v>
      </c>
      <c r="AAL61" s="90"/>
    </row>
    <row r="62" spans="1:715" s="23" customFormat="1" ht="15" customHeight="1" outlineLevel="1">
      <c r="A62" s="171"/>
      <c r="B62" s="363" t="str">
        <f t="shared" si="13"/>
        <v>* adds work to staff workplan as needed</v>
      </c>
      <c r="C62" s="271" t="s">
        <v>0</v>
      </c>
      <c r="D62" s="279"/>
      <c r="E62" s="263">
        <f t="shared" ref="E62" si="16">NETWORKDAYS(G62,H62,S.DDL_DEQClosed)</f>
        <v>1</v>
      </c>
      <c r="F62" s="457">
        <f ca="1">IF(YEAR(H62)&gt;2000,NETWORKDAYS(TODAY(),H62,S.DDL_DEQClosed),0)</f>
        <v>-31</v>
      </c>
      <c r="G62" s="264">
        <f t="shared" si="15"/>
        <v>41572</v>
      </c>
      <c r="H62" s="264">
        <f t="shared" ref="H62:H65" si="17">AAH62</f>
        <v>41572</v>
      </c>
      <c r="I62" s="244"/>
      <c r="J62" s="196"/>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s="52"/>
      <c r="AAA62" s="192"/>
      <c r="AAD62" s="90"/>
      <c r="AAE62" s="519">
        <v>1</v>
      </c>
      <c r="AAF62" s="90" t="s">
        <v>0</v>
      </c>
      <c r="AAG62" s="73">
        <f>S.Planning.BANNER.Begin</f>
        <v>41572</v>
      </c>
      <c r="AAH62" s="73">
        <f t="shared" ref="AAH62:AAH65" si="18">G62</f>
        <v>41572</v>
      </c>
      <c r="AAI62" s="72"/>
      <c r="AAJ62" s="55"/>
      <c r="AAK62" s="76" t="str">
        <f>"* adds work to staff workplan as needed"</f>
        <v>* adds work to staff workplan as needed</v>
      </c>
      <c r="AAL62" s="90"/>
    </row>
    <row r="63" spans="1:715" s="23" customFormat="1" ht="15" customHeight="1" outlineLevel="1">
      <c r="A63" s="171"/>
      <c r="B63" s="363" t="str">
        <f t="shared" ref="B63" si="19">AAK63</f>
        <v>* chats with AndreaDRC &amp; Maggie</v>
      </c>
      <c r="C63" s="271" t="s">
        <v>0</v>
      </c>
      <c r="D63" s="279"/>
      <c r="E63" s="263">
        <f t="shared" ref="E63" si="20">NETWORKDAYS(G63,H63,S.DDL_DEQClosed)</f>
        <v>1</v>
      </c>
      <c r="F63" s="457">
        <f ca="1">IF(YEAR(H63)&gt;2000,NETWORKDAYS(TODAY(),H63,S.DDL_DEQClosed),0)</f>
        <v>-31</v>
      </c>
      <c r="G63" s="264">
        <f>AAG63</f>
        <v>41572</v>
      </c>
      <c r="H63" s="264">
        <f t="shared" si="17"/>
        <v>41572</v>
      </c>
      <c r="I63" s="244"/>
      <c r="J63" s="196"/>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s="52"/>
      <c r="AAA63" s="192"/>
      <c r="AAD63" s="90"/>
      <c r="AAE63" s="519">
        <v>1</v>
      </c>
      <c r="AAF63" s="90" t="s">
        <v>0</v>
      </c>
      <c r="AAG63" s="73">
        <f>S.Planning.BANNER.Begin</f>
        <v>41572</v>
      </c>
      <c r="AAH63" s="73">
        <f t="shared" si="18"/>
        <v>41572</v>
      </c>
      <c r="AAI63" s="72"/>
      <c r="AAJ63" s="55"/>
      <c r="AAK63" s="76" t="str">
        <f>"* chats with "&amp;S.Staff.DivisionRulesCoordinator&amp;" &amp; "&amp;S.Staff.AgencyRulesCoordinator</f>
        <v>* chats with AndreaDRC &amp; Maggie</v>
      </c>
      <c r="AAL63" s="90"/>
    </row>
    <row r="64" spans="1:715" s="23" customFormat="1" ht="15" customHeight="1" outlineLevel="1">
      <c r="A64" s="171"/>
      <c r="B64" s="363" t="str">
        <f t="shared" si="13"/>
        <v>* identifies existing Q-Time for intitial concept development work</v>
      </c>
      <c r="C64" s="271" t="s">
        <v>0</v>
      </c>
      <c r="D64" s="279"/>
      <c r="E64" s="263">
        <f t="shared" ref="E64:E65" si="21">NETWORKDAYS(G64,H64,S.DDL_DEQClosed)</f>
        <v>1</v>
      </c>
      <c r="F64" s="457">
        <f ca="1">IF(YEAR(H64)&gt;2000,NETWORKDAYS(TODAY(),H64,S.DDL_DEQClosed),0)</f>
        <v>-31</v>
      </c>
      <c r="G64" s="264">
        <f t="shared" si="15"/>
        <v>41572</v>
      </c>
      <c r="H64" s="264">
        <f t="shared" si="17"/>
        <v>41572</v>
      </c>
      <c r="I64" s="244"/>
      <c r="J64" s="196"/>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s="52"/>
      <c r="AAA64" s="192"/>
      <c r="AAD64" s="90"/>
      <c r="AAE64" s="519">
        <v>1</v>
      </c>
      <c r="AAF64" s="90" t="s">
        <v>0</v>
      </c>
      <c r="AAG64" s="73">
        <f>S.Planning.BANNER.Begin</f>
        <v>41572</v>
      </c>
      <c r="AAH64" s="73">
        <f t="shared" si="18"/>
        <v>41572</v>
      </c>
      <c r="AAI64" s="72"/>
      <c r="AAJ64" s="55"/>
      <c r="AAK64" s="76" t="str">
        <f>"* identifies existing Q-Time for intitial concept development work"</f>
        <v>* identifies existing Q-Time for intitial concept development work</v>
      </c>
      <c r="AAL64" s="90"/>
    </row>
    <row r="65" spans="1:727" s="23" customFormat="1" ht="15" customHeight="1" outlineLevel="1">
      <c r="A65" s="171"/>
      <c r="B65" s="361" t="str">
        <f t="shared" si="13"/>
        <v>AndreaDRC adds staff to Names tab of this workbook</v>
      </c>
      <c r="C65" s="271" t="s">
        <v>0</v>
      </c>
      <c r="D65" s="279"/>
      <c r="E65" s="263">
        <f t="shared" si="21"/>
        <v>1</v>
      </c>
      <c r="F65" s="457">
        <f ca="1">IF(YEAR(H65)&gt;2000,NETWORKDAYS(TODAY(),H65,S.DDL_DEQClosed),0)</f>
        <v>-31</v>
      </c>
      <c r="G65" s="264">
        <f>AAG65</f>
        <v>41572</v>
      </c>
      <c r="H65" s="264">
        <f t="shared" si="17"/>
        <v>41572</v>
      </c>
      <c r="I65" s="244"/>
      <c r="J65" s="196"/>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ZZ65" s="52"/>
      <c r="AAA65" s="192"/>
      <c r="AAD65" s="90"/>
      <c r="AAE65" s="519">
        <v>1</v>
      </c>
      <c r="AAF65" s="90" t="s">
        <v>0</v>
      </c>
      <c r="AAG65" s="73">
        <f>S.Planning.BANNER.Begin</f>
        <v>41572</v>
      </c>
      <c r="AAH65" s="73">
        <f t="shared" si="18"/>
        <v>41572</v>
      </c>
      <c r="AAI65" s="72"/>
      <c r="AAJ65" s="55"/>
      <c r="AAK65" s="76" t="str">
        <f>S.Staff.DivisionRulesCoordinator&amp;" adds staff to Names tab of this workbook"</f>
        <v>AndreaDRC adds staff to Names tab of this workbook</v>
      </c>
      <c r="AAL65" s="90"/>
    </row>
    <row r="66" spans="1:727" s="23" customFormat="1" ht="15" customHeight="1" outlineLevel="1">
      <c r="A66" s="171"/>
      <c r="B66" s="361" t="str">
        <f t="shared" si="13"/>
        <v>Maggie</v>
      </c>
      <c r="C66" s="271" t="s">
        <v>0</v>
      </c>
      <c r="D66" s="274"/>
      <c r="E66" s="497"/>
      <c r="F66" s="497"/>
      <c r="G66" s="497"/>
      <c r="H66" s="497"/>
      <c r="I66" s="244"/>
      <c r="J66" s="196"/>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s="52"/>
      <c r="AAA66" s="192"/>
      <c r="AAD66" s="90"/>
      <c r="AAE66" s="519">
        <v>1</v>
      </c>
      <c r="AAF66" s="190" t="s">
        <v>52</v>
      </c>
      <c r="AAG66" s="60"/>
      <c r="AAH66" s="60"/>
      <c r="AAI66" s="72"/>
      <c r="AAJ66" s="55"/>
      <c r="AAK66" s="76" t="str">
        <f>S.Staff.AgencyRulesCoordinator</f>
        <v>Maggie</v>
      </c>
      <c r="AAL66" s="90"/>
    </row>
    <row r="67" spans="1:727" s="23" customFormat="1" ht="15" customHeight="1" outlineLevel="1">
      <c r="A67" s="171"/>
      <c r="B67" s="363" t="s">
        <v>130</v>
      </c>
      <c r="C67" s="275" t="s">
        <v>0</v>
      </c>
      <c r="D67" s="270"/>
      <c r="E67"/>
      <c r="F67"/>
      <c r="G67"/>
      <c r="H67" s="264">
        <f t="shared" ref="H67:H68" si="22">AAH67</f>
        <v>41572</v>
      </c>
      <c r="I67" s="244"/>
      <c r="J67" s="196"/>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s="52"/>
      <c r="AAA67" s="192"/>
      <c r="AAD67" s="90"/>
      <c r="AAE67" s="519">
        <v>1</v>
      </c>
      <c r="AAF67" s="90" t="s">
        <v>0</v>
      </c>
      <c r="AAG67" s="72"/>
      <c r="AAH67" s="73">
        <f>G63</f>
        <v>41572</v>
      </c>
      <c r="AAI67" s="72"/>
      <c r="AAJ67" s="55"/>
      <c r="AAK67" s="39" t="s">
        <v>0</v>
      </c>
      <c r="AAL67" s="90"/>
    </row>
    <row r="68" spans="1:727" s="23" customFormat="1" ht="15" customHeight="1" outlineLevel="1">
      <c r="A68" s="171"/>
      <c r="B68" s="439" t="str">
        <f>AAK68</f>
        <v>* schedules team kickoff training/work session</v>
      </c>
      <c r="C68" s="271" t="s">
        <v>0</v>
      </c>
      <c r="D68" s="270"/>
      <c r="H68" s="264">
        <f t="shared" si="22"/>
        <v>41572</v>
      </c>
      <c r="I68" s="244"/>
      <c r="J68" s="193"/>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s="52"/>
      <c r="AAA68" s="192"/>
      <c r="AAD68" s="90"/>
      <c r="AAE68" s="519">
        <v>1</v>
      </c>
      <c r="AAF68" s="90" t="s">
        <v>0</v>
      </c>
      <c r="AAG68" s="72"/>
      <c r="AAH68" s="73">
        <f>G63</f>
        <v>41572</v>
      </c>
      <c r="AAI68" s="72"/>
      <c r="AAJ68" s="55"/>
      <c r="AAK68" s="76" t="str">
        <f>"* schedules team kickoff training/work session"</f>
        <v>* schedules team kickoff training/work session</v>
      </c>
      <c r="AAL68" s="90"/>
    </row>
    <row r="69" spans="1:727" s="23" customFormat="1" ht="15" customHeight="1" outlineLevel="1">
      <c r="A69" s="171"/>
      <c r="B69" s="484" t="str">
        <f>AAK69</f>
        <v>Team = AndreaRW, MargaretMGR, AndreaDRC &amp; Maggie</v>
      </c>
      <c r="C69" s="271" t="s">
        <v>0</v>
      </c>
      <c r="D69" s="727"/>
      <c r="E69" s="497"/>
      <c r="F69" s="497"/>
      <c r="G69" s="497"/>
      <c r="H69" s="497"/>
      <c r="I69" s="244"/>
      <c r="J69" s="196"/>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s="52"/>
      <c r="AAA69" s="192"/>
      <c r="AAD69" s="90"/>
      <c r="AAE69" s="519">
        <v>1</v>
      </c>
      <c r="AAF69" s="190" t="s">
        <v>52</v>
      </c>
      <c r="AAG69" s="61"/>
      <c r="AAH69" s="61"/>
      <c r="AAI69" s="72"/>
      <c r="AAJ69" s="55"/>
      <c r="AAK69" s="76" t="str">
        <f>"Team = "&amp;S.Staff.Lead&amp;", "&amp;S.Staff.Mgr&amp;", "&amp;S.Staff.DivisionRulesCoordinator&amp;" &amp; "&amp;S.Staff.AgencyRulesCoordinator</f>
        <v>Team = AndreaRW, MargaretMGR, AndreaDRC &amp; Maggie</v>
      </c>
      <c r="AAL69" s="90"/>
    </row>
    <row r="70" spans="1:727" ht="15" customHeight="1" outlineLevel="1">
      <c r="A70" s="171"/>
      <c r="B70" s="419" t="s">
        <v>277</v>
      </c>
      <c r="C70" s="271" t="s">
        <v>0</v>
      </c>
      <c r="D70" s="270"/>
      <c r="E70" s="23"/>
      <c r="F70" s="457">
        <f ca="1">IF(YEAR(H70)&gt;2000,NETWORKDAYS(TODAY(),H70,S.DDL_DEQClosed),0)</f>
        <v>-31</v>
      </c>
      <c r="G70" s="23"/>
      <c r="H70" s="264">
        <f>AAH70</f>
        <v>41572</v>
      </c>
      <c r="I70" s="244"/>
      <c r="J70" s="193"/>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AAA70" s="192"/>
      <c r="AAD70" s="90"/>
      <c r="AAE70" s="519">
        <v>1</v>
      </c>
      <c r="AAF70" s="90" t="s">
        <v>0</v>
      </c>
      <c r="AAG70" s="61"/>
      <c r="AAH70" s="73">
        <f>H68</f>
        <v>41572</v>
      </c>
      <c r="AAI70" s="72"/>
      <c r="AAJ70" s="55"/>
      <c r="AAK70" s="39"/>
      <c r="AAL70" s="90"/>
      <c r="AAM70"/>
    </row>
    <row r="71" spans="1:727" s="23" customFormat="1" ht="15" customHeight="1" outlineLevel="1">
      <c r="A71" s="171"/>
      <c r="B71" s="617" t="s">
        <v>133</v>
      </c>
      <c r="C71" s="152"/>
      <c r="D71" s="233" t="s">
        <v>0</v>
      </c>
      <c r="E71" s="153"/>
      <c r="F71" s="153"/>
      <c r="G71" s="152"/>
      <c r="H71" s="152"/>
      <c r="I71" s="244"/>
      <c r="J71" s="193"/>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s="52"/>
      <c r="AAA71" s="192"/>
      <c r="AAD71" s="90"/>
      <c r="AAE71" s="519">
        <v>1</v>
      </c>
      <c r="AAF71" s="190" t="s">
        <v>52</v>
      </c>
      <c r="AAG71" s="71"/>
      <c r="AAH71" s="71"/>
      <c r="AAI71" s="71"/>
      <c r="AAJ71" s="55"/>
      <c r="AAK71" s="39"/>
      <c r="AAL71" s="90"/>
      <c r="AAN71"/>
      <c r="AAO71"/>
      <c r="AAP71"/>
      <c r="AAQ71"/>
      <c r="AAR71"/>
      <c r="AAS71"/>
      <c r="AAT71"/>
      <c r="AAU71"/>
      <c r="AAV71"/>
      <c r="AAW71"/>
      <c r="AAX71"/>
      <c r="AAY71"/>
    </row>
    <row r="72" spans="1:727" s="23" customFormat="1" ht="15" customHeight="1" outlineLevel="1">
      <c r="A72" s="171"/>
      <c r="B72" s="617" t="s">
        <v>348</v>
      </c>
      <c r="C72" s="154"/>
      <c r="D72" s="233" t="s">
        <v>0</v>
      </c>
      <c r="E72" s="155"/>
      <c r="F72" s="153"/>
      <c r="G72" s="156"/>
      <c r="H72" s="157"/>
      <c r="I72" s="244"/>
      <c r="J72" s="193"/>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s="52"/>
      <c r="AAA72" s="192"/>
      <c r="AAD72" s="90"/>
      <c r="AAE72" s="519">
        <v>1</v>
      </c>
      <c r="AAF72" s="190" t="s">
        <v>52</v>
      </c>
      <c r="AAG72" s="71"/>
      <c r="AAH72" s="71"/>
      <c r="AAI72" s="71"/>
      <c r="AAJ72" s="55"/>
      <c r="AAK72" s="39"/>
      <c r="AAL72" s="90"/>
      <c r="AAN72"/>
      <c r="AAO72"/>
      <c r="AAP72"/>
      <c r="AAQ72"/>
      <c r="AAR72"/>
      <c r="AAS72"/>
      <c r="AAT72"/>
      <c r="AAU72"/>
      <c r="AAV72"/>
      <c r="AAW72"/>
      <c r="AAX72"/>
      <c r="AAY72"/>
    </row>
    <row r="73" spans="1:727" s="23" customFormat="1" ht="15" customHeight="1" outlineLevel="1">
      <c r="A73" s="171"/>
      <c r="B73" s="617" t="s">
        <v>134</v>
      </c>
      <c r="C73" s="790" t="str">
        <f>HYPERLINK("http://deqsps/programs/rulemaking/default.aspx","i")</f>
        <v>i</v>
      </c>
      <c r="D73" s="239"/>
      <c r="E73" s="496"/>
      <c r="F73" s="153"/>
      <c r="G73" s="156"/>
      <c r="H73" s="157"/>
      <c r="I73" s="244"/>
      <c r="J73" s="193"/>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s="52"/>
      <c r="AAA73" s="192"/>
      <c r="AAD73" s="90"/>
      <c r="AAE73" s="519">
        <v>1</v>
      </c>
      <c r="AAF73" s="190" t="s">
        <v>52</v>
      </c>
      <c r="AAG73" s="71"/>
      <c r="AAH73" s="71"/>
      <c r="AAI73" s="71"/>
      <c r="AAJ73" s="55"/>
      <c r="AAK73" s="39"/>
      <c r="AAL73" s="90"/>
      <c r="AAN73"/>
      <c r="AAO73"/>
      <c r="AAP73"/>
      <c r="AAQ73"/>
      <c r="AAR73"/>
      <c r="AAS73"/>
      <c r="AAT73"/>
      <c r="AAU73"/>
      <c r="AAV73"/>
      <c r="AAW73"/>
      <c r="AAX73"/>
      <c r="AAY73"/>
    </row>
    <row r="74" spans="1:727" s="23" customFormat="1" ht="15" customHeight="1" outlineLevel="1">
      <c r="A74" s="171"/>
      <c r="B74" s="617" t="s">
        <v>139</v>
      </c>
      <c r="C74" s="101"/>
      <c r="D74" s="234"/>
      <c r="E74" s="155"/>
      <c r="F74" s="153"/>
      <c r="G74" s="156"/>
      <c r="H74" s="157"/>
      <c r="I74" s="244"/>
      <c r="J74" s="193"/>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s="52"/>
      <c r="AAA74" s="192"/>
      <c r="AAD74" s="90"/>
      <c r="AAE74" s="519">
        <v>1</v>
      </c>
      <c r="AAF74" s="190" t="s">
        <v>52</v>
      </c>
      <c r="AAG74" s="71"/>
      <c r="AAH74" s="71"/>
      <c r="AAI74" s="71"/>
      <c r="AAJ74" s="55"/>
      <c r="AAK74" s="39"/>
      <c r="AAL74" s="90"/>
      <c r="AAN74"/>
      <c r="AAO74"/>
      <c r="AAP74"/>
      <c r="AAQ74"/>
      <c r="AAR74"/>
      <c r="AAS74"/>
      <c r="AAT74"/>
      <c r="AAU74"/>
      <c r="AAV74"/>
      <c r="AAW74"/>
      <c r="AAX74"/>
      <c r="AAY74"/>
    </row>
    <row r="75" spans="1:727" s="23" customFormat="1" ht="15" customHeight="1" outlineLevel="1">
      <c r="A75" s="171"/>
      <c r="B75" s="617" t="s">
        <v>350</v>
      </c>
      <c r="C75" s="101"/>
      <c r="D75" s="235"/>
      <c r="E75" s="155"/>
      <c r="F75" s="153"/>
      <c r="G75" s="156"/>
      <c r="H75" s="157"/>
      <c r="I75" s="244"/>
      <c r="J75" s="193"/>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s="52"/>
      <c r="AAA75" s="192"/>
      <c r="AAD75" s="90"/>
      <c r="AAE75" s="519">
        <v>1</v>
      </c>
      <c r="AAF75" s="190" t="s">
        <v>52</v>
      </c>
      <c r="AAG75" s="71"/>
      <c r="AAH75" s="71"/>
      <c r="AAI75" s="71"/>
      <c r="AAJ75" s="55"/>
      <c r="AAK75" s="39"/>
      <c r="AAL75" s="90"/>
      <c r="AAN75"/>
      <c r="AAO75"/>
      <c r="AAP75"/>
      <c r="AAQ75"/>
      <c r="AAR75"/>
      <c r="AAS75"/>
      <c r="AAT75"/>
      <c r="AAU75"/>
      <c r="AAV75"/>
      <c r="AAW75"/>
      <c r="AAX75"/>
      <c r="AAY75"/>
    </row>
    <row r="76" spans="1:727" s="23" customFormat="1" ht="15" customHeight="1" outlineLevel="1">
      <c r="A76" s="171"/>
      <c r="B76" s="618" t="s">
        <v>215</v>
      </c>
      <c r="C76" s="101"/>
      <c r="D76" s="235"/>
      <c r="E76" s="155"/>
      <c r="F76" s="153"/>
      <c r="G76" s="156"/>
      <c r="H76" s="157"/>
      <c r="I76" s="244"/>
      <c r="J76" s="193"/>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s="52"/>
      <c r="AAA76" s="192"/>
      <c r="AAD76" s="90"/>
      <c r="AAE76" s="519">
        <v>1</v>
      </c>
      <c r="AAF76" s="190" t="s">
        <v>52</v>
      </c>
      <c r="AAG76" s="71"/>
      <c r="AAH76" s="71"/>
      <c r="AAI76" s="71"/>
      <c r="AAJ76" s="55"/>
      <c r="AAK76" s="39"/>
      <c r="AAL76" s="90"/>
      <c r="AAN76"/>
      <c r="AAO76"/>
      <c r="AAP76"/>
      <c r="AAQ76"/>
      <c r="AAR76"/>
      <c r="AAS76"/>
      <c r="AAT76"/>
      <c r="AAU76"/>
      <c r="AAV76"/>
      <c r="AAW76"/>
      <c r="AAX76"/>
      <c r="AAY76"/>
    </row>
    <row r="77" spans="1:727" s="330" customFormat="1" ht="15" customHeight="1" outlineLevel="1">
      <c r="A77" s="329"/>
      <c r="B77" s="619" t="s">
        <v>141</v>
      </c>
      <c r="C77" s="331" t="s">
        <v>0</v>
      </c>
      <c r="E77" s="498"/>
      <c r="F77" s="498"/>
      <c r="G77" s="498"/>
      <c r="H77" s="498"/>
      <c r="I77" s="332"/>
      <c r="J77" s="333"/>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s="52"/>
      <c r="AAA77" s="772"/>
      <c r="AAD77" s="335"/>
      <c r="AAE77" s="519">
        <v>1</v>
      </c>
      <c r="AAF77" s="190" t="s">
        <v>52</v>
      </c>
      <c r="AAG77" s="336" t="s">
        <v>0</v>
      </c>
      <c r="AAH77" s="336"/>
      <c r="AAI77" s="337"/>
      <c r="AAJ77" s="338"/>
      <c r="AAK77" s="338"/>
      <c r="AAL77" s="335"/>
    </row>
    <row r="78" spans="1:727" s="23" customFormat="1" ht="15" customHeight="1" outlineLevel="1">
      <c r="A78" s="171"/>
      <c r="B78" s="618" t="s">
        <v>140</v>
      </c>
      <c r="C78" s="102"/>
      <c r="E78" s="499"/>
      <c r="F78" s="153"/>
      <c r="G78" s="500"/>
      <c r="H78" s="152"/>
      <c r="I78" s="244"/>
      <c r="J78" s="193"/>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s="52"/>
      <c r="AAA78" s="192"/>
      <c r="AAD78" s="90"/>
      <c r="AAE78" s="519">
        <v>1</v>
      </c>
      <c r="AAF78" s="190" t="s">
        <v>52</v>
      </c>
      <c r="AAG78" s="71"/>
      <c r="AAH78" s="71"/>
      <c r="AAI78" s="72"/>
      <c r="AAJ78" s="55"/>
      <c r="AAK78" s="39"/>
      <c r="AAL78" s="90"/>
      <c r="AAN78"/>
      <c r="AAO78"/>
      <c r="AAP78"/>
      <c r="AAQ78"/>
      <c r="AAR78"/>
      <c r="AAS78"/>
      <c r="AAT78"/>
      <c r="AAU78"/>
      <c r="AAV78"/>
      <c r="AAW78"/>
      <c r="AAX78"/>
      <c r="AAY78"/>
    </row>
    <row r="79" spans="1:727" s="23" customFormat="1" ht="15" customHeight="1" outlineLevel="1">
      <c r="A79" s="171"/>
      <c r="B79" s="617" t="s">
        <v>275</v>
      </c>
      <c r="C79" s="101"/>
      <c r="E79" s="155"/>
      <c r="F79" s="153"/>
      <c r="G79" s="156"/>
      <c r="H79" s="157"/>
      <c r="I79" s="244"/>
      <c r="J79" s="193"/>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s="52"/>
      <c r="AAA79" s="192"/>
      <c r="AAD79" s="90"/>
      <c r="AAE79" s="519">
        <v>1</v>
      </c>
      <c r="AAF79" s="190" t="s">
        <v>52</v>
      </c>
      <c r="AAG79" s="71"/>
      <c r="AAH79" s="71"/>
      <c r="AAI79" s="71"/>
      <c r="AAJ79" s="55"/>
      <c r="AAK79" s="39"/>
      <c r="AAL79" s="90"/>
    </row>
    <row r="80" spans="1:727" s="23" customFormat="1" ht="15" customHeight="1" outlineLevel="1">
      <c r="A80" s="171"/>
      <c r="B80" s="639" t="s">
        <v>280</v>
      </c>
      <c r="C80" s="790" t="str">
        <f>HYPERLINK("http://www.oregon.gov/deq/RulesandRegulations/Pages/2013/RulemakingActivities.aspx","i")</f>
        <v>i</v>
      </c>
      <c r="D80" s="239"/>
      <c r="E80" s="155"/>
      <c r="F80" s="153"/>
      <c r="G80" s="156"/>
      <c r="H80" s="157"/>
      <c r="I80" s="244"/>
      <c r="J80" s="193"/>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s="52"/>
      <c r="AAA80" s="192"/>
      <c r="AAD80" s="90"/>
      <c r="AAE80" s="519">
        <v>1</v>
      </c>
      <c r="AAF80" s="190" t="s">
        <v>52</v>
      </c>
      <c r="AAG80" s="71"/>
      <c r="AAH80" s="71"/>
      <c r="AAI80" s="71"/>
      <c r="AAJ80" s="55"/>
      <c r="AAK80" s="39"/>
      <c r="AAL80" s="90"/>
      <c r="AAN80"/>
      <c r="AAO80"/>
      <c r="AAP80"/>
      <c r="AAQ80"/>
      <c r="AAR80"/>
      <c r="AAS80"/>
      <c r="AAT80"/>
      <c r="AAU80"/>
      <c r="AAV80"/>
      <c r="AAW80"/>
      <c r="AAX80"/>
      <c r="AAY80"/>
    </row>
    <row r="81" spans="1:727" s="23" customFormat="1" ht="15" customHeight="1" outlineLevel="1">
      <c r="A81" s="171"/>
      <c r="B81" s="618" t="s">
        <v>135</v>
      </c>
      <c r="C81" s="101" t="s">
        <v>0</v>
      </c>
      <c r="E81" s="155"/>
      <c r="F81" s="153"/>
      <c r="G81" s="156"/>
      <c r="H81" s="157"/>
      <c r="I81" s="244"/>
      <c r="J81" s="193"/>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s="52"/>
      <c r="AAA81" s="192"/>
      <c r="AAD81" s="90"/>
      <c r="AAE81" s="519">
        <f>IF(S.Notice.Involved="Y",1,0)</f>
        <v>1</v>
      </c>
      <c r="AAF81" s="190" t="s">
        <v>52</v>
      </c>
      <c r="AAG81" s="71"/>
      <c r="AAH81" s="71"/>
      <c r="AAI81" s="71"/>
      <c r="AAJ81" s="55"/>
      <c r="AAK81" s="39"/>
      <c r="AAL81" s="90"/>
      <c r="AAN81"/>
      <c r="AAO81"/>
      <c r="AAP81"/>
      <c r="AAQ81"/>
      <c r="AAR81"/>
      <c r="AAS81"/>
      <c r="AAT81"/>
      <c r="AAU81"/>
      <c r="AAV81"/>
      <c r="AAW81"/>
      <c r="AAX81"/>
      <c r="AAY81"/>
    </row>
    <row r="82" spans="1:727" s="23" customFormat="1" ht="15" customHeight="1" outlineLevel="1">
      <c r="A82" s="171"/>
      <c r="B82" s="618" t="s">
        <v>136</v>
      </c>
      <c r="C82" s="102"/>
      <c r="E82" s="153"/>
      <c r="F82" s="153"/>
      <c r="G82" s="152"/>
      <c r="H82" s="152"/>
      <c r="I82" s="244"/>
      <c r="J82" s="193"/>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s="52"/>
      <c r="AAA82" s="192"/>
      <c r="AAD82" s="90"/>
      <c r="AAE82" s="519">
        <v>1</v>
      </c>
      <c r="AAF82" s="190" t="s">
        <v>52</v>
      </c>
      <c r="AAG82" s="71"/>
      <c r="AAH82" s="71"/>
      <c r="AAI82" s="71"/>
      <c r="AAJ82" s="55"/>
      <c r="AAK82" s="39"/>
      <c r="AAL82" s="90"/>
      <c r="AAN82"/>
      <c r="AAO82"/>
      <c r="AAP82"/>
      <c r="AAQ82"/>
      <c r="AAR82"/>
      <c r="AAS82"/>
      <c r="AAT82"/>
      <c r="AAU82"/>
      <c r="AAV82"/>
      <c r="AAW82"/>
      <c r="AAX82"/>
      <c r="AAY82"/>
    </row>
    <row r="83" spans="1:727" s="23" customFormat="1" ht="15" customHeight="1" outlineLevel="1">
      <c r="A83" s="171"/>
      <c r="B83" s="618" t="s">
        <v>137</v>
      </c>
      <c r="C83" s="102"/>
      <c r="E83" s="499"/>
      <c r="F83" s="153"/>
      <c r="G83" s="501"/>
      <c r="H83" s="500"/>
      <c r="I83" s="244"/>
      <c r="J83" s="193"/>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s="52"/>
      <c r="AAA83" s="192"/>
      <c r="AAD83" s="90"/>
      <c r="AAE83" s="519">
        <f>IF(S.Notice.Involved="Y",1,0)</f>
        <v>1</v>
      </c>
      <c r="AAF83" s="190" t="s">
        <v>52</v>
      </c>
      <c r="AAG83" s="71"/>
      <c r="AAH83" s="71"/>
      <c r="AAI83" s="71"/>
      <c r="AAJ83" s="55"/>
      <c r="AAK83" s="39"/>
      <c r="AAL83" s="90"/>
      <c r="AAN83"/>
      <c r="AAO83"/>
      <c r="AAP83"/>
      <c r="AAQ83"/>
      <c r="AAR83"/>
      <c r="AAS83"/>
      <c r="AAT83"/>
      <c r="AAU83"/>
      <c r="AAV83"/>
      <c r="AAW83"/>
      <c r="AAX83"/>
      <c r="AAY83"/>
    </row>
    <row r="84" spans="1:727" s="23" customFormat="1" ht="15" customHeight="1" outlineLevel="1">
      <c r="A84" s="171"/>
      <c r="B84" s="618" t="s">
        <v>138</v>
      </c>
      <c r="C84" s="110"/>
      <c r="E84" s="499"/>
      <c r="F84" s="161"/>
      <c r="G84" s="157"/>
      <c r="H84" s="157"/>
      <c r="I84" s="244"/>
      <c r="J84" s="193"/>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s="52"/>
      <c r="AAA84" s="192"/>
      <c r="AAD84" s="90"/>
      <c r="AAE84" s="519">
        <f>IF(S.Fee.Involved="Y",1,0)</f>
        <v>0</v>
      </c>
      <c r="AAF84" s="190" t="s">
        <v>52</v>
      </c>
      <c r="AAG84" s="71" t="s">
        <v>0</v>
      </c>
      <c r="AAH84" s="71"/>
      <c r="AAI84" s="71"/>
      <c r="AAJ84" s="55"/>
      <c r="AAK84" s="39"/>
      <c r="AAL84" s="90"/>
      <c r="AAN84"/>
      <c r="AAO84"/>
      <c r="AAP84"/>
      <c r="AAQ84"/>
      <c r="AAR84"/>
      <c r="AAS84"/>
      <c r="AAT84"/>
      <c r="AAU84"/>
      <c r="AAV84"/>
      <c r="AAW84"/>
      <c r="AAX84"/>
      <c r="AAY84"/>
    </row>
    <row r="85" spans="1:727" s="23" customFormat="1" ht="15" customHeight="1" outlineLevel="1">
      <c r="A85" s="171"/>
      <c r="B85" s="618" t="str">
        <f>AAK85</f>
        <v>- STAFF.RPT.Permanent  (blank in folder 6)</v>
      </c>
      <c r="C85" s="110"/>
      <c r="E85" s="499"/>
      <c r="F85" s="161"/>
      <c r="G85" s="157"/>
      <c r="H85" s="157"/>
      <c r="I85" s="244"/>
      <c r="J85" s="19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s="52"/>
      <c r="AAA85" s="192"/>
      <c r="AAD85" s="90"/>
      <c r="AAE85" s="519">
        <v>1</v>
      </c>
      <c r="AAF85" s="190" t="s">
        <v>52</v>
      </c>
      <c r="AAG85" s="71"/>
      <c r="AAH85" s="71"/>
      <c r="AAI85" s="71"/>
      <c r="AAJ85" s="55"/>
      <c r="AAK85" s="92" t="str">
        <f>IF(S.General.RuleType="P","- STAFF.RPT.Permanent  (blank in folder 6)","- STAFF.RPT.Temporary (blank in folder 6)")</f>
        <v>- STAFF.RPT.Permanent  (blank in folder 6)</v>
      </c>
      <c r="AAL85" s="90"/>
    </row>
    <row r="86" spans="1:727" ht="15.75" customHeight="1" outlineLevel="1">
      <c r="A86" s="171"/>
      <c r="B86" s="361" t="str">
        <f>AAK86</f>
        <v>AndreaRW coordinates team work &amp; agreement with initial drafts of:</v>
      </c>
      <c r="C86" s="102"/>
      <c r="D86" s="23"/>
      <c r="E86" s="499"/>
      <c r="F86" s="161"/>
      <c r="G86" s="502"/>
      <c r="H86" s="157"/>
      <c r="I86" s="244"/>
      <c r="J86" s="196"/>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AAA86" s="192"/>
      <c r="AAD86" s="90"/>
      <c r="AAE86" s="519">
        <v>1</v>
      </c>
      <c r="AAF86" s="190" t="s">
        <v>52</v>
      </c>
      <c r="AAG86" s="71"/>
      <c r="AAH86" s="71"/>
      <c r="AAI86" s="72"/>
      <c r="AAJ86" s="55"/>
      <c r="AAK86" s="92" t="str">
        <f>S.Staff.Lead&amp;" coordinates team work &amp; agreement with initial drafts of:"</f>
        <v>AndreaRW coordinates team work &amp; agreement with initial drafts of:</v>
      </c>
      <c r="AAL86" s="90"/>
      <c r="AAM86"/>
    </row>
    <row r="87" spans="1:727" ht="15.75" customHeight="1" outlineLevel="1">
      <c r="A87" s="171"/>
      <c r="B87" s="286" t="s">
        <v>131</v>
      </c>
      <c r="C87" s="271" t="s">
        <v>0</v>
      </c>
      <c r="D87" s="270"/>
      <c r="E87" s="263">
        <f t="shared" ref="E87:E90" si="23">NETWORKDAYS(G87,H87,S.DDL_DEQClosed)</f>
        <v>1</v>
      </c>
      <c r="F87" s="457">
        <f ca="1">IF(YEAR(H87)&gt;2000,NETWORKDAYS(TODAY(),H87,S.DDL_DEQClosed),0)</f>
        <v>-31</v>
      </c>
      <c r="G87" s="264">
        <f>AAG87</f>
        <v>41572</v>
      </c>
      <c r="H87" s="264">
        <f t="shared" ref="H87:H90" si="24">AAH87</f>
        <v>41572</v>
      </c>
      <c r="I87" s="244"/>
      <c r="J87" s="196"/>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AAA87" s="192"/>
      <c r="AAD87" s="90"/>
      <c r="AAE87" s="519">
        <v>1</v>
      </c>
      <c r="AAF87" s="90" t="s">
        <v>0</v>
      </c>
      <c r="AAG87" s="73">
        <f>H70</f>
        <v>41572</v>
      </c>
      <c r="AAH87" s="73">
        <f t="shared" ref="AAH87:AAH89" si="25">G87</f>
        <v>41572</v>
      </c>
      <c r="AAI87" s="72"/>
      <c r="AAJ87" s="55"/>
      <c r="AAK87" s="39"/>
      <c r="AAL87" s="90"/>
      <c r="AAM87"/>
    </row>
    <row r="88" spans="1:727" s="23" customFormat="1" ht="15.75" customHeight="1" outlineLevel="1">
      <c r="A88" s="171"/>
      <c r="B88" s="286" t="s">
        <v>132</v>
      </c>
      <c r="C88" s="271" t="s">
        <v>0</v>
      </c>
      <c r="D88" s="270"/>
      <c r="E88" s="263">
        <f t="shared" ref="E88" si="26">NETWORKDAYS(G88,H88,S.DDL_DEQClosed)</f>
        <v>1</v>
      </c>
      <c r="F88" s="457">
        <f ca="1">IF(YEAR(H88)&gt;2000,NETWORKDAYS(TODAY(),H88,S.DDL_DEQClosed),0)</f>
        <v>-31</v>
      </c>
      <c r="G88" s="264">
        <f t="shared" ref="G88:G89" si="27">AAG88</f>
        <v>41572</v>
      </c>
      <c r="H88" s="264">
        <f t="shared" si="24"/>
        <v>41572</v>
      </c>
      <c r="I88" s="244"/>
      <c r="J88" s="196"/>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s="52"/>
      <c r="AAA88" s="192"/>
      <c r="AAD88" s="90"/>
      <c r="AAE88" s="519">
        <v>1</v>
      </c>
      <c r="AAF88" s="90" t="s">
        <v>0</v>
      </c>
      <c r="AAG88" s="73">
        <f>H70</f>
        <v>41572</v>
      </c>
      <c r="AAH88" s="73">
        <f t="shared" si="25"/>
        <v>41572</v>
      </c>
      <c r="AAI88" s="72"/>
      <c r="AAJ88" s="55"/>
      <c r="AAK88" s="39"/>
      <c r="AAL88" s="90"/>
    </row>
    <row r="89" spans="1:727" ht="15.75" customHeight="1" outlineLevel="1">
      <c r="A89" s="171"/>
      <c r="B89" s="440" t="s">
        <v>142</v>
      </c>
      <c r="C89" s="271" t="s">
        <v>0</v>
      </c>
      <c r="D89" s="270"/>
      <c r="E89" s="263">
        <f t="shared" si="23"/>
        <v>1</v>
      </c>
      <c r="F89" s="457">
        <f ca="1">IF(YEAR(H89)&gt;2000,NETWORKDAYS(TODAY(),H89,S.DDL_DEQClosed),0)</f>
        <v>-31</v>
      </c>
      <c r="G89" s="264">
        <f t="shared" si="27"/>
        <v>41572</v>
      </c>
      <c r="H89" s="264">
        <f t="shared" si="24"/>
        <v>41572</v>
      </c>
      <c r="I89" s="244"/>
      <c r="J89" s="193"/>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AAA89" s="192"/>
      <c r="AAD89" s="90"/>
      <c r="AAE89" s="519">
        <v>1</v>
      </c>
      <c r="AAF89" s="90" t="s">
        <v>0</v>
      </c>
      <c r="AAG89" s="73">
        <f>H70</f>
        <v>41572</v>
      </c>
      <c r="AAH89" s="73">
        <f t="shared" si="25"/>
        <v>41572</v>
      </c>
      <c r="AAI89" s="72"/>
      <c r="AAJ89" s="55"/>
      <c r="AAK89" s="39"/>
      <c r="AAL89" s="90"/>
      <c r="AAM89"/>
    </row>
    <row r="90" spans="1:727" s="23" customFormat="1" ht="15.75" customHeight="1" outlineLevel="1">
      <c r="A90" s="171"/>
      <c r="B90" s="486" t="str">
        <f>AAK90</f>
        <v>AndreaDRC &amp; Maggie develop DEQ Rulemaking Plan materials when team agrees</v>
      </c>
      <c r="C90" s="271" t="s">
        <v>0</v>
      </c>
      <c r="D90" s="270"/>
      <c r="E90" s="263">
        <f t="shared" si="23"/>
        <v>1</v>
      </c>
      <c r="F90" s="457">
        <f ca="1">IF(YEAR(H90)&gt;2000,NETWORKDAYS(TODAY(),H90,S.DDL_DEQClosed),0)</f>
        <v>-31</v>
      </c>
      <c r="G90" s="264">
        <f>AAG90</f>
        <v>41572</v>
      </c>
      <c r="H90" s="264">
        <f t="shared" si="24"/>
        <v>41572</v>
      </c>
      <c r="I90" s="244"/>
      <c r="J90" s="193"/>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s="52"/>
      <c r="AAA90" s="192"/>
      <c r="AAD90" s="90"/>
      <c r="AAE90" s="519">
        <v>1</v>
      </c>
      <c r="AAF90" s="90" t="s">
        <v>0</v>
      </c>
      <c r="AAG90" s="73">
        <f>MAX(H87:H89)</f>
        <v>41572</v>
      </c>
      <c r="AAH90" s="73">
        <f t="shared" ref="AAH90" si="28">G90</f>
        <v>41572</v>
      </c>
      <c r="AAI90" s="72"/>
      <c r="AAJ90" s="55"/>
      <c r="AAK90" s="92" t="str">
        <f>S.Staff.DivisionRulesCoordinator&amp;" &amp; "&amp;S.Staff.AgencyRulesCoordinator&amp;" develop DEQ Rulemaking Plan materials when team agrees"</f>
        <v>AndreaDRC &amp; Maggie develop DEQ Rulemaking Plan materials when team agrees</v>
      </c>
      <c r="AAL90" s="90"/>
    </row>
    <row r="91" spans="1:727" s="23" customFormat="1" ht="15.75" customHeight="1" outlineLevel="1">
      <c r="A91" s="171"/>
      <c r="B91" s="486" t="str">
        <f>AAK91</f>
        <v>MargaretMGR briefs managers</v>
      </c>
      <c r="C91" s="271" t="s">
        <v>0</v>
      </c>
      <c r="D91" s="270"/>
      <c r="E91" s="263">
        <f t="shared" ref="E91" si="29">NETWORKDAYS(G91,H91,S.DDL_DEQClosed)</f>
        <v>1</v>
      </c>
      <c r="F91" s="457">
        <f ca="1">IF(YEAR(H91)&gt;2000,NETWORKDAYS(TODAY(),H91,S.DDL_DEQClosed),0)</f>
        <v>-31</v>
      </c>
      <c r="G91" s="264">
        <f>AAG91</f>
        <v>41572</v>
      </c>
      <c r="H91" s="264">
        <f t="shared" ref="H91" si="30">AAH91</f>
        <v>41572</v>
      </c>
      <c r="I91" s="244"/>
      <c r="J91" s="193"/>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s="52"/>
      <c r="AAA91" s="192"/>
      <c r="AAD91" s="90"/>
      <c r="AAE91" s="519">
        <v>1</v>
      </c>
      <c r="AAF91" s="90" t="s">
        <v>0</v>
      </c>
      <c r="AAG91" s="73">
        <f>H90</f>
        <v>41572</v>
      </c>
      <c r="AAH91" s="73">
        <f t="shared" ref="AAH91" si="31">G91</f>
        <v>41572</v>
      </c>
      <c r="AAI91" s="72"/>
      <c r="AAJ91" s="55"/>
      <c r="AAK91" s="92" t="str">
        <f>S.Staff.Mgr&amp;" briefs managers"</f>
        <v>MargaretMGR briefs managers</v>
      </c>
      <c r="AAL91" s="90"/>
    </row>
    <row r="92" spans="1:727" s="23" customFormat="1" ht="15.75" customHeight="1" outlineLevel="1">
      <c r="A92" s="171"/>
      <c r="B92" s="485" t="str">
        <f>AAK92</f>
        <v>Managers = Andy and program managers</v>
      </c>
      <c r="C92" s="272"/>
      <c r="D92" s="265"/>
      <c r="E92" s="503"/>
      <c r="F92" s="504"/>
      <c r="G92" s="505"/>
      <c r="H92" s="506"/>
      <c r="I92" s="244"/>
      <c r="J92" s="193"/>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s="52"/>
      <c r="AAA92" s="192"/>
      <c r="AAD92" s="90"/>
      <c r="AAE92" s="519">
        <v>1</v>
      </c>
      <c r="AAF92" s="190" t="s">
        <v>52</v>
      </c>
      <c r="AAG92" s="71"/>
      <c r="AAH92" s="71"/>
      <c r="AAI92" s="72"/>
      <c r="AAJ92" s="55"/>
      <c r="AAK92" s="92" t="str">
        <f>"Managers = "&amp;S.Staff.DA&amp;" and program managers"</f>
        <v>Managers = Andy and program managers</v>
      </c>
      <c r="AAL92" s="90"/>
    </row>
    <row r="93" spans="1:727" s="23" customFormat="1" ht="15.75" customHeight="1" outlineLevel="1">
      <c r="A93" s="171"/>
      <c r="B93" s="486" t="s">
        <v>147</v>
      </c>
      <c r="C93" s="271" t="s">
        <v>0</v>
      </c>
      <c r="D93" s="270"/>
      <c r="E93" s="263">
        <f t="shared" ref="E93" si="32">NETWORKDAYS(G93,H93,S.DDL_DEQClosed)</f>
        <v>1</v>
      </c>
      <c r="F93" s="457">
        <f ca="1">IF(YEAR(H93)&gt;2000,NETWORKDAYS(TODAY(),H93,S.DDL_DEQClosed),0)</f>
        <v>-31</v>
      </c>
      <c r="G93" s="264">
        <f t="shared" ref="G93:G95" si="33">AAG93</f>
        <v>41572</v>
      </c>
      <c r="H93" s="264">
        <f t="shared" ref="H93" si="34">AAH93</f>
        <v>41572</v>
      </c>
      <c r="I93" s="244"/>
      <c r="J93" s="193"/>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s="52"/>
      <c r="AAA93" s="192" t="s">
        <v>0</v>
      </c>
      <c r="AAD93" s="90"/>
      <c r="AAE93" s="519">
        <v>1</v>
      </c>
      <c r="AAF93" s="90" t="s">
        <v>0</v>
      </c>
      <c r="AAG93" s="73">
        <f>G91</f>
        <v>41572</v>
      </c>
      <c r="AAH93" s="73">
        <f t="shared" ref="AAH93" si="35">G93</f>
        <v>41572</v>
      </c>
      <c r="AAI93" s="72"/>
      <c r="AAJ93" s="55"/>
      <c r="AAK93" s="60"/>
      <c r="AAL93" s="90"/>
    </row>
    <row r="94" spans="1:727" s="23" customFormat="1" ht="15" customHeight="1" outlineLevel="1">
      <c r="A94" s="171"/>
      <c r="B94" s="361" t="str">
        <f>AAK94</f>
        <v>Andy:</v>
      </c>
      <c r="C94" s="271" t="s">
        <v>0</v>
      </c>
      <c r="D94" s="274"/>
      <c r="E94" s="497"/>
      <c r="F94" s="497"/>
      <c r="G94" s="497"/>
      <c r="H94" s="497"/>
      <c r="I94" s="244"/>
      <c r="J94" s="196"/>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s="52"/>
      <c r="AAA94" s="192"/>
      <c r="AAD94" s="90"/>
      <c r="AAE94" s="519">
        <v>1</v>
      </c>
      <c r="AAF94" s="190" t="s">
        <v>52</v>
      </c>
      <c r="AAG94" s="60"/>
      <c r="AAH94" s="60"/>
      <c r="AAI94" s="72"/>
      <c r="AAJ94" s="55"/>
      <c r="AAK94" s="76" t="str">
        <f>S.Staff.DA&amp;":"</f>
        <v>Andy:</v>
      </c>
      <c r="AAL94" s="90"/>
    </row>
    <row r="95" spans="1:727" s="23" customFormat="1" ht="15.75" customHeight="1" outlineLevel="1">
      <c r="A95" s="171"/>
      <c r="B95" s="439" t="s">
        <v>306</v>
      </c>
      <c r="C95" s="271" t="s">
        <v>0</v>
      </c>
      <c r="D95" s="270"/>
      <c r="E95" s="820">
        <f t="shared" ref="E95" si="36">NETWORKDAYS(G95,H95,S.DDL_DEQClosed)</f>
        <v>4</v>
      </c>
      <c r="F95" s="736">
        <f ca="1">IF(YEAR(H95)&gt;2000,NETWORKDAYS(TODAY(),H95,S.DDL_DEQClosed),0)</f>
        <v>-28</v>
      </c>
      <c r="G95" s="821">
        <f t="shared" si="33"/>
        <v>41572</v>
      </c>
      <c r="H95" s="821">
        <f t="shared" ref="H95:H97" si="37">AAH95</f>
        <v>41577</v>
      </c>
      <c r="I95" s="244"/>
      <c r="J95" s="193"/>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s="52"/>
      <c r="AAA95" s="192"/>
      <c r="AAD95" s="90"/>
      <c r="AAE95" s="519">
        <v>1</v>
      </c>
      <c r="AAF95" s="90" t="s">
        <v>0</v>
      </c>
      <c r="AAG95" s="73">
        <f>G93</f>
        <v>41572</v>
      </c>
      <c r="AAH95" s="73">
        <f>WORKDAY(G$95+4,1,S.DDL_DEQClosed)</f>
        <v>41577</v>
      </c>
      <c r="AAI95" s="72"/>
      <c r="AAJ95" s="55"/>
      <c r="AAK95" s="92" t="s">
        <v>244</v>
      </c>
      <c r="AAL95" s="90"/>
    </row>
    <row r="96" spans="1:727" s="23" customFormat="1" ht="15.75" customHeight="1" outlineLevel="1">
      <c r="A96" s="171"/>
      <c r="B96" s="439" t="s">
        <v>245</v>
      </c>
      <c r="C96" s="262" t="s">
        <v>0</v>
      </c>
      <c r="D96" s="261"/>
      <c r="F96" s="457">
        <f ca="1">IF(YEAR(H96)&gt;2000,NETWORKDAYS(TODAY(),H96,S.DDL_DEQClosed),0)</f>
        <v>-28</v>
      </c>
      <c r="H96" s="264">
        <f t="shared" si="37"/>
        <v>41577</v>
      </c>
      <c r="I96" s="244"/>
      <c r="J96" s="193"/>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s="52"/>
      <c r="AAA96" s="192" t="s">
        <v>0</v>
      </c>
      <c r="AAD96" s="90"/>
      <c r="AAE96" s="519">
        <v>1</v>
      </c>
      <c r="AAF96" s="90" t="s">
        <v>0</v>
      </c>
      <c r="AAG96" s="60"/>
      <c r="AAH96" s="73">
        <f>WORKDAY(G$95+4,1,S.DDL_DEQClosed)</f>
        <v>41577</v>
      </c>
      <c r="AAI96" s="72"/>
      <c r="AAJ96" s="55"/>
      <c r="AAK96" s="60" t="s">
        <v>0</v>
      </c>
      <c r="AAL96" s="90"/>
    </row>
    <row r="97" spans="1:715" s="23" customFormat="1" ht="15.75" customHeight="1" outlineLevel="1">
      <c r="A97" s="171"/>
      <c r="B97" s="439" t="str">
        <f>AAK97</f>
        <v>* emails approval to AndreaRW, MargaretMGR, AndreaDRC &amp; Maggie</v>
      </c>
      <c r="C97" s="262" t="s">
        <v>0</v>
      </c>
      <c r="D97" s="261"/>
      <c r="E97"/>
      <c r="F97" s="457">
        <f ca="1">IF(YEAR(H97)&gt;2000,NETWORKDAYS(TODAY(),H97,S.DDL_DEQClosed),0)</f>
        <v>-28</v>
      </c>
      <c r="G97"/>
      <c r="H97" s="264">
        <f t="shared" si="37"/>
        <v>41577</v>
      </c>
      <c r="I97" s="244"/>
      <c r="J97" s="193"/>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s="52"/>
      <c r="AAA97" s="192" t="s">
        <v>0</v>
      </c>
      <c r="AAD97" s="90"/>
      <c r="AAE97" s="519">
        <v>1</v>
      </c>
      <c r="AAF97" s="90" t="s">
        <v>0</v>
      </c>
      <c r="AAG97" s="60"/>
      <c r="AAH97" s="73">
        <f>WORKDAY(G$95+4,1,S.DDL_DEQClosed)</f>
        <v>41577</v>
      </c>
      <c r="AAI97" s="72"/>
      <c r="AAJ97" s="55"/>
      <c r="AAK97" s="92" t="str">
        <f>"* emails approval to "&amp;S.Staff.Lead&amp;", "&amp;S.Staff.Mgr&amp;", "&amp;S.Staff.DivisionRulesCoordinator&amp;" &amp; "&amp;S.Staff.AgencyRulesCoordinator</f>
        <v>* emails approval to AndreaRW, MargaretMGR, AndreaDRC &amp; Maggie</v>
      </c>
      <c r="AAL97" s="90"/>
    </row>
    <row r="98" spans="1:715" s="23" customFormat="1" ht="15" customHeight="1" outlineLevel="1">
      <c r="A98" s="171"/>
      <c r="B98" s="361" t="str">
        <f>AAK98</f>
        <v>AndreaRW:</v>
      </c>
      <c r="C98" s="271" t="s">
        <v>0</v>
      </c>
      <c r="D98" s="274"/>
      <c r="E98" s="497"/>
      <c r="F98" s="497"/>
      <c r="G98" s="497"/>
      <c r="H98" s="497"/>
      <c r="I98" s="244"/>
      <c r="J98" s="196"/>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s="52"/>
      <c r="AAA98" s="192"/>
      <c r="AAD98" s="90"/>
      <c r="AAE98" s="519">
        <v>1</v>
      </c>
      <c r="AAF98" s="190" t="s">
        <v>52</v>
      </c>
      <c r="AAG98" s="60"/>
      <c r="AAH98" s="60"/>
      <c r="AAI98" s="72"/>
      <c r="AAJ98" s="55"/>
      <c r="AAK98" s="76" t="str">
        <f>S.Staff.Lead&amp;":"</f>
        <v>AndreaRW:</v>
      </c>
      <c r="AAL98" s="90"/>
    </row>
    <row r="99" spans="1:715" s="23" customFormat="1" ht="15.75" customHeight="1" outlineLevel="1" thickBot="1">
      <c r="A99" s="171"/>
      <c r="B99" s="363" t="str">
        <f t="shared" ref="B99" si="38">AAK99</f>
        <v>* saves email as Rule_Development | 1-Planning | DA.APPROVAL.pdf</v>
      </c>
      <c r="C99" s="790" t="str">
        <f>HYPERLINK("\\deqhq1\Rule_Development\Currrent Plan","i")</f>
        <v>i</v>
      </c>
      <c r="D99" s="261"/>
      <c r="E99"/>
      <c r="F99" s="457">
        <f ca="1">IF(YEAR(H99)&gt;2000,NETWORKDAYS(TODAY(),H99,S.DDL_DEQClosed),0)</f>
        <v>-28</v>
      </c>
      <c r="G99"/>
      <c r="H99" s="264">
        <f>AAH99</f>
        <v>41577</v>
      </c>
      <c r="I99" s="244"/>
      <c r="J99" s="193"/>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s="52"/>
      <c r="AAA99" s="192"/>
      <c r="AAD99" s="90"/>
      <c r="AAE99" s="519">
        <f t="shared" ref="AAE99" si="39">IF(S.Planning.DecisionToAddToPlan="A",1,0)</f>
        <v>1</v>
      </c>
      <c r="AAF99" s="90"/>
      <c r="AAG99" s="71"/>
      <c r="AAH99" s="73">
        <f>S.Planning.AddConcepToPlanDate</f>
        <v>41577</v>
      </c>
      <c r="AAI99" s="72"/>
      <c r="AAJ99" s="75"/>
      <c r="AAK99" s="92" t="str">
        <f>"* saves email as Rule_Development | 1-Planning | DA.APPROVAL.pdf"</f>
        <v>* saves email as Rule_Development | 1-Planning | DA.APPROVAL.pdf</v>
      </c>
      <c r="AAL99" s="90"/>
    </row>
    <row r="100" spans="1:715" s="23" customFormat="1" ht="15.75" customHeight="1" outlineLevel="1" thickBot="1">
      <c r="A100" s="171"/>
      <c r="B100" s="413" t="str">
        <f>AAK100</f>
        <v>* selects 'A' if apprroved, 'P' if postponed, 'R' if rejected</v>
      </c>
      <c r="C100" s="273" t="s">
        <v>146</v>
      </c>
      <c r="E100" s="267"/>
      <c r="F100" s="267"/>
      <c r="G100" s="269" t="s">
        <v>0</v>
      </c>
      <c r="H100" s="269"/>
      <c r="I100" s="244"/>
      <c r="J100" s="193"/>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s="52"/>
      <c r="AAA100" s="192"/>
      <c r="AAD100" s="90"/>
      <c r="AAE100" s="519">
        <v>1</v>
      </c>
      <c r="AAF100" s="190" t="s">
        <v>52</v>
      </c>
      <c r="AAG100" s="71"/>
      <c r="AAH100" s="71"/>
      <c r="AAI100" s="72"/>
      <c r="AAJ100" s="55"/>
      <c r="AAK100" s="543" t="str">
        <f>"* selects 'A' if apprroved, 'P' if postponed, 'R' if rejected"</f>
        <v>* selects 'A' if apprroved, 'P' if postponed, 'R' if rejected</v>
      </c>
      <c r="AAL100" s="90"/>
    </row>
    <row r="101" spans="1:715" ht="15.75" customHeight="1" outlineLevel="1">
      <c r="A101" s="171"/>
      <c r="B101" s="740" t="s">
        <v>463</v>
      </c>
      <c r="C101" s="104"/>
      <c r="D101" s="158"/>
      <c r="E101" s="103"/>
      <c r="F101" s="103"/>
      <c r="G101" s="104" t="s">
        <v>0</v>
      </c>
      <c r="H101" s="104"/>
      <c r="I101" s="244"/>
      <c r="J101" s="193"/>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AAA101" s="192"/>
      <c r="AAD101" s="90"/>
      <c r="AAE101" s="519">
        <v>1</v>
      </c>
      <c r="AAF101" s="190" t="s">
        <v>52</v>
      </c>
      <c r="AAG101" s="71"/>
      <c r="AAH101" s="71"/>
      <c r="AAI101" s="72"/>
      <c r="AAJ101" s="55"/>
      <c r="AAK101" s="60" t="s">
        <v>0</v>
      </c>
      <c r="AAL101" s="90"/>
      <c r="AAM101"/>
    </row>
    <row r="102" spans="1:715" s="23" customFormat="1" ht="15.75" customHeight="1" outlineLevel="1">
      <c r="A102" s="171"/>
      <c r="B102" s="427" t="str">
        <f t="shared" ref="B102:B107" si="40">AAK102</f>
        <v xml:space="preserve">AndreaRW drafts EMAIL.AddToPlan </v>
      </c>
      <c r="C102" s="789" t="str">
        <f>HYPERLINK("\\deqhq1\Rule_Resources\i\EMAIL.AddToPlan.docx","I")</f>
        <v>I</v>
      </c>
      <c r="D102" s="261"/>
      <c r="E102" s="817">
        <f t="shared" ref="E102" si="41">NETWORKDAYS(G102,H102,S.DDL_DEQClosed)</f>
        <v>1</v>
      </c>
      <c r="F102" s="457">
        <f ca="1">IF(YEAR(H102)&gt;2000,NETWORKDAYS(TODAY(),H102,S.DDL_DEQClosed),0)</f>
        <v>-28</v>
      </c>
      <c r="G102" s="818">
        <f t="shared" ref="G102" si="42">AAG102</f>
        <v>41577</v>
      </c>
      <c r="H102" s="819">
        <f t="shared" ref="H102" si="43">AAH102</f>
        <v>41577</v>
      </c>
      <c r="I102" s="244"/>
      <c r="J102" s="193"/>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s="52"/>
      <c r="AAA102" s="192" t="s">
        <v>0</v>
      </c>
      <c r="AAD102" s="90"/>
      <c r="AAE102" s="519">
        <f t="shared" ref="AAE102:AAE164" si="44">IF(S.Planning.DecisionToAddToPlan="A",1,0)</f>
        <v>1</v>
      </c>
      <c r="AAF102" s="90" t="s">
        <v>0</v>
      </c>
      <c r="AAG102" s="73">
        <f>S.Planning.AddConcepToPlanDate</f>
        <v>41577</v>
      </c>
      <c r="AAH102" s="73">
        <f t="shared" ref="AAH102" si="45">G102</f>
        <v>41577</v>
      </c>
      <c r="AAI102" s="72"/>
      <c r="AAJ102" s="55"/>
      <c r="AAK102" s="92" t="str">
        <f>IF(S.Planning.DecisionToAddToPlan="A",S.Staff.Lead&amp;" drafts EMAIL.AddToPlan ",S.Staff.AgencyRulesCoordinator&amp;" archives SP/Rule_Develpoment sub sites to Rule_Archive")</f>
        <v xml:space="preserve">AndreaRW drafts EMAIL.AddToPlan </v>
      </c>
      <c r="AAL102" s="90"/>
    </row>
    <row r="103" spans="1:715" s="23" customFormat="1" ht="15.75" customHeight="1" outlineLevel="1">
      <c r="A103" s="171"/>
      <c r="B103" s="633" t="str">
        <f>AAK103</f>
        <v xml:space="preserve"> for Andy to send:</v>
      </c>
      <c r="C103" s="272"/>
      <c r="D103" s="265"/>
      <c r="E103" s="266"/>
      <c r="F103" s="267"/>
      <c r="G103" s="268"/>
      <c r="H103" s="269"/>
      <c r="I103" s="244"/>
      <c r="J103" s="193"/>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s="52"/>
      <c r="AAA103" s="192" t="s">
        <v>0</v>
      </c>
      <c r="AAD103" s="90"/>
      <c r="AAE103" s="519">
        <f t="shared" si="44"/>
        <v>1</v>
      </c>
      <c r="AAF103" s="190" t="s">
        <v>52</v>
      </c>
      <c r="AAG103" s="71"/>
      <c r="AAH103" s="71"/>
      <c r="AAI103" s="72"/>
      <c r="AAJ103" s="55"/>
      <c r="AAK103" s="92" t="str">
        <f>" for "&amp;S.Staff.DA&amp;" to send:"</f>
        <v xml:space="preserve"> for Andy to send:</v>
      </c>
      <c r="AAL103" s="90"/>
    </row>
    <row r="104" spans="1:715" s="23" customFormat="1" ht="15.75" customHeight="1" outlineLevel="1">
      <c r="A104" s="171"/>
      <c r="B104" s="728" t="str">
        <f>AAK104</f>
        <v>To: EMTdescribing addition to DEQ Rulemaking Plan</v>
      </c>
      <c r="C104" s="272"/>
      <c r="D104" s="265"/>
      <c r="E104" s="266"/>
      <c r="F104" s="267"/>
      <c r="G104" s="268"/>
      <c r="H104" s="269"/>
      <c r="I104" s="244"/>
      <c r="J104" s="193"/>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s="52"/>
      <c r="AAA104" s="192" t="s">
        <v>0</v>
      </c>
      <c r="AAD104" s="90"/>
      <c r="AAE104" s="519">
        <f t="shared" si="44"/>
        <v>1</v>
      </c>
      <c r="AAF104" s="190" t="s">
        <v>52</v>
      </c>
      <c r="AAG104" s="71"/>
      <c r="AAH104" s="71"/>
      <c r="AAI104" s="72"/>
      <c r="AAJ104" s="55"/>
      <c r="AAK104" s="92" t="str">
        <f>IF(C100="A","To: EMTdescribing addition to DEQ Rulemaking Plan",S.Staff.AgencyRulesCoordinator&amp;" closes SharePoint sub site")</f>
        <v>To: EMTdescribing addition to DEQ Rulemaking Plan</v>
      </c>
      <c r="AAL104" s="90"/>
    </row>
    <row r="105" spans="1:715" s="23" customFormat="1" ht="15.75" customHeight="1" outlineLevel="1">
      <c r="A105" s="171"/>
      <c r="B105" s="728" t="str">
        <f>AAK105</f>
        <v xml:space="preserve">To: Stephanie to include in monthly Director's Report </v>
      </c>
      <c r="C105" s="272"/>
      <c r="D105" s="265"/>
      <c r="E105" s="266"/>
      <c r="F105" s="267"/>
      <c r="G105" s="268"/>
      <c r="H105" s="269"/>
      <c r="I105" s="244"/>
      <c r="J105" s="193"/>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s="52"/>
      <c r="AAA105" s="192" t="s">
        <v>0</v>
      </c>
      <c r="AAD105" s="90"/>
      <c r="AAE105" s="519">
        <f t="shared" si="44"/>
        <v>1</v>
      </c>
      <c r="AAF105" s="190" t="s">
        <v>52</v>
      </c>
      <c r="AAG105" s="71"/>
      <c r="AAH105" s="71"/>
      <c r="AAI105" s="72"/>
      <c r="AAJ105" s="55"/>
      <c r="AAK105" s="92" t="str">
        <f>IF(C100="A","To: "&amp;S.Staff.EQCAssistant&amp;" to include in monthly Director's Report ",S.Staff.AgencyRulesCoordinator&amp;" closes SharePoint sub site")</f>
        <v xml:space="preserve">To: Stephanie to include in monthly Director's Report </v>
      </c>
      <c r="AAL105" s="90"/>
    </row>
    <row r="106" spans="1:715" s="23" customFormat="1" ht="15.75" customHeight="1" outlineLevel="1">
      <c r="A106" s="171"/>
      <c r="B106" s="729" t="str">
        <f t="shared" si="40"/>
        <v>Dick asks EQC how they want to be involved with rulemaking</v>
      </c>
      <c r="C106" s="262"/>
      <c r="D106"/>
      <c r="E106"/>
      <c r="F106"/>
      <c r="G106"/>
      <c r="H106"/>
      <c r="I106" s="244"/>
      <c r="J106" s="193"/>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s="52"/>
      <c r="AAA106" s="192" t="s">
        <v>0</v>
      </c>
      <c r="AAD106" s="90"/>
      <c r="AAE106" s="519">
        <f t="shared" si="44"/>
        <v>1</v>
      </c>
      <c r="AAF106" s="190" t="s">
        <v>353</v>
      </c>
      <c r="AAG106" s="71"/>
      <c r="AAH106" s="71"/>
      <c r="AAI106" s="72"/>
      <c r="AAJ106" s="55"/>
      <c r="AAK106" s="92" t="str">
        <f>IF(C100="A",S.Staff.Director&amp;" asks EQC how they want to be involved with rulemaking","STOP WORK")</f>
        <v>Dick asks EQC how they want to be involved with rulemaking</v>
      </c>
      <c r="AAL106" s="90"/>
    </row>
    <row r="107" spans="1:715" s="23" customFormat="1" ht="15.75" customHeight="1" outlineLevel="1">
      <c r="A107" s="171" t="s">
        <v>0</v>
      </c>
      <c r="B107" s="729" t="str">
        <f t="shared" si="40"/>
        <v>Stephanie informs team about EQC involvement by email</v>
      </c>
      <c r="C107" s="262"/>
      <c r="D107"/>
      <c r="E107"/>
      <c r="F107"/>
      <c r="G107"/>
      <c r="H107"/>
      <c r="I107" s="244"/>
      <c r="J107" s="193"/>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s="52"/>
      <c r="AAA107" s="192" t="s">
        <v>0</v>
      </c>
      <c r="AAD107" s="90"/>
      <c r="AAE107" s="519">
        <f t="shared" si="44"/>
        <v>1</v>
      </c>
      <c r="AAF107" s="190" t="s">
        <v>52</v>
      </c>
      <c r="AAG107" s="71"/>
      <c r="AAH107" s="71"/>
      <c r="AAI107" s="72"/>
      <c r="AAJ107" s="55"/>
      <c r="AAK107" s="92" t="str">
        <f>S.Staff.EQCAssistant&amp;" informs team about EQC involvement by email"</f>
        <v>Stephanie informs team about EQC involvement by email</v>
      </c>
      <c r="AAL107" s="90"/>
    </row>
    <row r="108" spans="1:715" s="23" customFormat="1" ht="15.75" customHeight="1" outlineLevel="1">
      <c r="A108" s="171"/>
      <c r="B108" s="728" t="str">
        <f>AAK108</f>
        <v>Cc… MargaretMGR, AndreaRW, AndreaDRC, Maggie &amp; program managers</v>
      </c>
      <c r="C108" s="272"/>
      <c r="D108" s="265"/>
      <c r="E108" s="266"/>
      <c r="F108" s="267"/>
      <c r="G108" s="268"/>
      <c r="H108" s="269"/>
      <c r="I108" s="244"/>
      <c r="J108" s="193"/>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s="52"/>
      <c r="AAA108" s="192" t="s">
        <v>0</v>
      </c>
      <c r="AAD108" s="90"/>
      <c r="AAE108" s="519">
        <f t="shared" si="44"/>
        <v>1</v>
      </c>
      <c r="AAF108" s="190" t="s">
        <v>52</v>
      </c>
      <c r="AAG108" s="71"/>
      <c r="AAH108" s="71"/>
      <c r="AAI108" s="72"/>
      <c r="AAJ108" s="55"/>
      <c r="AAK108" s="80" t="str">
        <f>"Cc… "&amp;S.Staff.Mgr&amp;", "&amp;S.Staff.Lead&amp;", "&amp;S.Staff.DivisionRulesCoordinator&amp;", "&amp;S.Staff.AgencyRulesCoordinator&amp;" &amp; program managers"</f>
        <v>Cc… MargaretMGR, AndreaRW, AndreaDRC, Maggie &amp; program managers</v>
      </c>
      <c r="AAL108" s="90"/>
    </row>
    <row r="109" spans="1:715" s="23" customFormat="1" ht="15.75" customHeight="1" outlineLevel="1">
      <c r="A109" s="171"/>
      <c r="B109" s="657" t="s">
        <v>326</v>
      </c>
      <c r="C109" s="272"/>
      <c r="D109" s="265"/>
      <c r="E109" s="266"/>
      <c r="F109" s="267"/>
      <c r="G109" s="268"/>
      <c r="H109" s="269"/>
      <c r="I109" s="244"/>
      <c r="J109" s="193"/>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s="52"/>
      <c r="AAA109" s="192" t="s">
        <v>0</v>
      </c>
      <c r="AAD109" s="90"/>
      <c r="AAE109" s="519">
        <f t="shared" si="44"/>
        <v>1</v>
      </c>
      <c r="AAF109" s="190" t="s">
        <v>52</v>
      </c>
      <c r="AAG109" s="71"/>
      <c r="AAH109" s="71"/>
      <c r="AAI109" s="72"/>
      <c r="AAJ109" s="55"/>
      <c r="AAK109" s="60" t="s">
        <v>0</v>
      </c>
      <c r="AAL109" s="90"/>
    </row>
    <row r="110" spans="1:715" s="23" customFormat="1" ht="15.75" customHeight="1" outlineLevel="1" thickBot="1">
      <c r="A110" s="171"/>
      <c r="B110" s="784" t="s">
        <v>513</v>
      </c>
      <c r="C110" s="104"/>
      <c r="D110" s="158"/>
      <c r="E110" s="103"/>
      <c r="F110" s="103"/>
      <c r="G110" s="104" t="s">
        <v>0</v>
      </c>
      <c r="H110" s="104"/>
      <c r="I110" s="244"/>
      <c r="J110" s="193"/>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s="52"/>
      <c r="AAA110" s="192"/>
      <c r="AAD110" s="90"/>
      <c r="AAE110" s="519">
        <v>1</v>
      </c>
      <c r="AAF110" s="190" t="s">
        <v>52</v>
      </c>
      <c r="AAG110" s="71"/>
      <c r="AAH110" s="71"/>
      <c r="AAI110" s="72"/>
      <c r="AAJ110" s="55"/>
      <c r="AAK110" s="60" t="s">
        <v>0</v>
      </c>
      <c r="AAL110" s="90"/>
    </row>
    <row r="111" spans="1:715" s="23" customFormat="1" ht="15.75" customHeight="1" outlineLevel="1" thickBot="1">
      <c r="A111" s="171" t="s">
        <v>0</v>
      </c>
      <c r="B111" s="361" t="str">
        <f>AAK111</f>
        <v>MargaretMGR &amp; AndreaRW determine whether to expand team      'Y' to expand &gt;</v>
      </c>
      <c r="C111" s="273" t="s">
        <v>17</v>
      </c>
      <c r="D111" s="261"/>
      <c r="E111" s="263">
        <f>NETWORKDAYS(G111,H111,S.DDL_DEQClosed)</f>
        <v>1</v>
      </c>
      <c r="F111" s="457">
        <f ca="1">IF(YEAR(H111)&gt;2000,NETWORKDAYS(TODAY(),H111,S.DDL_DEQClosed),0)</f>
        <v>-28</v>
      </c>
      <c r="G111" s="264">
        <f t="shared" ref="G111:G123" si="46">AAG111</f>
        <v>41577</v>
      </c>
      <c r="H111" s="264">
        <f t="shared" ref="H111" si="47">AAH111</f>
        <v>41577</v>
      </c>
      <c r="I111" s="244"/>
      <c r="J111" s="193"/>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s="52"/>
      <c r="AAA111" s="192" t="s">
        <v>0</v>
      </c>
      <c r="AAB111" s="23" t="s">
        <v>0</v>
      </c>
      <c r="AAD111" s="90"/>
      <c r="AAE111" s="519">
        <f t="shared" si="44"/>
        <v>1</v>
      </c>
      <c r="AAF111" s="90"/>
      <c r="AAG111" s="73">
        <f>S.Planning.AddConcepToPlanDate</f>
        <v>41577</v>
      </c>
      <c r="AAH111" s="73">
        <f>H102</f>
        <v>41577</v>
      </c>
      <c r="AAI111" s="72"/>
      <c r="AAJ111" s="75"/>
      <c r="AAK111" s="92" t="str">
        <f>S.Staff.Mgr&amp;" &amp; "&amp;S.Staff.Lead&amp;" determine whether to expand team      'Y' to expand &gt;"</f>
        <v>MargaretMGR &amp; AndreaRW determine whether to expand team      'Y' to expand &gt;</v>
      </c>
      <c r="AAL111" s="90"/>
    </row>
    <row r="112" spans="1:715" s="23" customFormat="1" ht="15.75" customHeight="1" outlineLevel="1">
      <c r="A112" s="171"/>
      <c r="B112" s="486" t="str">
        <f>AAK112</f>
        <v>MargaretMGR:</v>
      </c>
      <c r="C112" s="272"/>
      <c r="D112" s="265"/>
      <c r="E112" s="266"/>
      <c r="F112" s="267"/>
      <c r="G112" s="268"/>
      <c r="H112" s="269"/>
      <c r="I112" s="244"/>
      <c r="J112" s="193"/>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s="52"/>
      <c r="AAA112" s="192"/>
      <c r="AAD112" s="90"/>
      <c r="AAE112" s="519">
        <f t="shared" si="44"/>
        <v>1</v>
      </c>
      <c r="AAF112" s="190" t="s">
        <v>52</v>
      </c>
      <c r="AAG112" s="71"/>
      <c r="AAH112" s="71"/>
      <c r="AAI112" s="72"/>
      <c r="AAJ112" s="55"/>
      <c r="AAK112" s="92" t="str">
        <f>S.Staff.Mgr&amp;":"</f>
        <v>MargaretMGR:</v>
      </c>
      <c r="AAL112" s="90"/>
    </row>
    <row r="113" spans="1:714" s="23" customFormat="1" ht="15.75" customHeight="1" outlineLevel="1">
      <c r="A113" s="171"/>
      <c r="B113" s="363" t="s">
        <v>471</v>
      </c>
      <c r="C113" s="278"/>
      <c r="D113" s="261"/>
      <c r="E113" s="263">
        <f>NETWORKDAYS(G113,H113,S.DDL_DEQClosed)</f>
        <v>1</v>
      </c>
      <c r="F113" s="457">
        <f ca="1">IF(YEAR(H113)&gt;2000,NETWORKDAYS(TODAY(),H113,S.DDL_DEQClosed),0)</f>
        <v>-28</v>
      </c>
      <c r="G113" s="264">
        <f t="shared" si="46"/>
        <v>41577</v>
      </c>
      <c r="H113" s="264">
        <f>AAH113</f>
        <v>41577</v>
      </c>
      <c r="I113" s="244"/>
      <c r="J113" s="193"/>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s="52"/>
      <c r="AAA113" s="192"/>
      <c r="AAD113" s="90"/>
      <c r="AAE113" s="519">
        <f t="shared" si="44"/>
        <v>1</v>
      </c>
      <c r="AAF113" s="90"/>
      <c r="AAG113" s="73">
        <f>S.Planning.AddConcepToPlanDate</f>
        <v>41577</v>
      </c>
      <c r="AAH113" s="73">
        <f>G113</f>
        <v>41577</v>
      </c>
      <c r="AAI113" s="72"/>
      <c r="AAJ113" s="75"/>
      <c r="AAK113" s="76" t="str">
        <f>"* obtains unique Q-Time number for this rulemaking from "&amp;S.Staff.TimeAccounting</f>
        <v>* obtains unique Q-Time number for this rulemaking from RobertB</v>
      </c>
      <c r="AAL113" s="90"/>
    </row>
    <row r="114" spans="1:714" s="23" customFormat="1" ht="15.75" customHeight="1" outlineLevel="1">
      <c r="A114" s="171"/>
      <c r="B114" s="363" t="s">
        <v>307</v>
      </c>
      <c r="C114" s="278"/>
      <c r="D114" s="261"/>
      <c r="E114" s="263">
        <f>NETWORKDAYS(G114,H114,S.DDL_DEQClosed)</f>
        <v>1</v>
      </c>
      <c r="F114" s="457">
        <f ca="1">IF(YEAR(H114)&gt;2000,NETWORKDAYS(TODAY(),H114,S.DDL_DEQClosed),0)</f>
        <v>-28</v>
      </c>
      <c r="G114" s="264">
        <f t="shared" si="46"/>
        <v>41577</v>
      </c>
      <c r="H114" s="264">
        <f t="shared" ref="H114:H115" si="48">AAH114</f>
        <v>41577</v>
      </c>
      <c r="I114" s="244"/>
      <c r="J114" s="193"/>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s="52"/>
      <c r="AAA114" s="192"/>
      <c r="AAD114" s="90"/>
      <c r="AAE114" s="519">
        <f>IF(S.Planning.ExpandTeam="N",0,IF(S.Planning.DecisionToAddToPlan="A",1,0))</f>
        <v>1</v>
      </c>
      <c r="AAF114" s="90"/>
      <c r="AAG114" s="73">
        <f>S.Planning.AddConcepToPlanDate</f>
        <v>41577</v>
      </c>
      <c r="AAH114" s="73">
        <f>G114</f>
        <v>41577</v>
      </c>
      <c r="AAI114" s="72"/>
      <c r="AAJ114" s="75"/>
      <c r="AAK114" s="491"/>
      <c r="AAL114" s="90"/>
    </row>
    <row r="115" spans="1:714" s="23" customFormat="1" ht="15.75" customHeight="1" outlineLevel="1">
      <c r="A115" s="171"/>
      <c r="B115" s="363" t="s">
        <v>351</v>
      </c>
      <c r="C115" s="278"/>
      <c r="D115" s="261"/>
      <c r="E115" s="263">
        <f>NETWORKDAYS(G115,H115,S.DDL_DEQClosed)</f>
        <v>1</v>
      </c>
      <c r="F115" s="457">
        <f ca="1">IF(YEAR(H115)&gt;2000,NETWORKDAYS(TODAY(),H115,S.DDL_DEQClosed),0)</f>
        <v>-28</v>
      </c>
      <c r="G115" s="264">
        <f t="shared" si="46"/>
        <v>41577</v>
      </c>
      <c r="H115" s="264">
        <f t="shared" si="48"/>
        <v>41577</v>
      </c>
      <c r="I115" s="244"/>
      <c r="J115" s="193"/>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s="52"/>
      <c r="AAA115" s="192"/>
      <c r="AAD115" s="90"/>
      <c r="AAE115" s="519">
        <f>IF(S.Planning.ExpandTeam="N",0,IF(S.Planning.DecisionToAddToPlan="A",1,0))</f>
        <v>1</v>
      </c>
      <c r="AAF115" s="90"/>
      <c r="AAG115" s="73">
        <f>S.Planning.AddConcepToPlanDate</f>
        <v>41577</v>
      </c>
      <c r="AAH115" s="73">
        <f>G115</f>
        <v>41577</v>
      </c>
      <c r="AAI115" s="72"/>
      <c r="AAJ115" s="75"/>
      <c r="AAK115" s="491"/>
      <c r="AAL115" s="90"/>
    </row>
    <row r="116" spans="1:714" s="23" customFormat="1" ht="15" customHeight="1" outlineLevel="1">
      <c r="A116" s="171"/>
      <c r="B116" s="363" t="str">
        <f t="shared" ref="B116" si="49">AAK116</f>
        <v>* obtains additional Q-Time number(s) from RobertB if needed</v>
      </c>
      <c r="C116" s="262"/>
      <c r="D116" s="261"/>
      <c r="E116" s="263">
        <f t="shared" ref="E116" si="50">NETWORKDAYS(G116,H116,S.DDL_DEQClosed)</f>
        <v>1</v>
      </c>
      <c r="F116" s="457">
        <f ca="1">IF(YEAR(H116)&gt;2000,NETWORKDAYS(TODAY(),H116,S.DDL_DEQClosed),0)</f>
        <v>-28</v>
      </c>
      <c r="G116" s="264">
        <f t="shared" si="46"/>
        <v>41577</v>
      </c>
      <c r="H116" s="264">
        <f t="shared" ref="H116" si="51">AAH116</f>
        <v>41577</v>
      </c>
      <c r="I116" s="244"/>
      <c r="J116" s="196"/>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s="52"/>
      <c r="AAA116" s="192"/>
      <c r="AAD116" s="90"/>
      <c r="AAE116" s="519">
        <f>IF(S.Planning.ExpandTeam="N",0,IF(S.Planning.DecisionToAddToPlan="A",1,0))</f>
        <v>1</v>
      </c>
      <c r="AAF116" s="90" t="s">
        <v>0</v>
      </c>
      <c r="AAG116" s="73">
        <f>S.Planning.AddConcepToPlanDate</f>
        <v>41577</v>
      </c>
      <c r="AAH116" s="73">
        <f>G116</f>
        <v>41577</v>
      </c>
      <c r="AAI116" s="72"/>
      <c r="AAJ116" s="55"/>
      <c r="AAK116" s="76" t="str">
        <f>"* obtains additional Q-Time number(s) from "&amp;S.Staff.TimeAccounting&amp;" if needed"</f>
        <v>* obtains additional Q-Time number(s) from RobertB if needed</v>
      </c>
      <c r="AAL116" s="90"/>
    </row>
    <row r="117" spans="1:714" s="23" customFormat="1" ht="15" customHeight="1" outlineLevel="1">
      <c r="A117" s="171"/>
      <c r="B117" s="361" t="str">
        <f>AAK117</f>
        <v>AndreaRW oraganizes team meetings to discuss and refine:</v>
      </c>
      <c r="C117" s="271" t="s">
        <v>0</v>
      </c>
      <c r="D117" s="274"/>
      <c r="E117" s="497"/>
      <c r="F117" s="497"/>
      <c r="G117" s="497"/>
      <c r="H117" s="497"/>
      <c r="I117" s="244"/>
      <c r="J117" s="196"/>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s="52"/>
      <c r="AAA117" s="192"/>
      <c r="AAD117" s="90"/>
      <c r="AAE117" s="519">
        <f>IF(OR(S.Planning.CommunicationsPlan="Y",S.Planning.MessageMap="Y",S.Planning.ProgramWebPage="Y"),1,0)</f>
        <v>0</v>
      </c>
      <c r="AAF117" s="190" t="s">
        <v>52</v>
      </c>
      <c r="AAG117" s="60"/>
      <c r="AAH117" s="60"/>
      <c r="AAI117" s="72"/>
      <c r="AAJ117" s="55"/>
      <c r="AAK117" s="76" t="str">
        <f>IF(S.Planning.ExpandTeam="N",S.Staff.Lead&amp;" refines:",S.Staff.Lead&amp;" oraganizes team meetings to discuss and refine:")</f>
        <v>AndreaRW oraganizes team meetings to discuss and refine:</v>
      </c>
      <c r="AAL117" s="90"/>
    </row>
    <row r="118" spans="1:714" s="23" customFormat="1" ht="15.75" customHeight="1" outlineLevel="1">
      <c r="A118" s="171"/>
      <c r="B118" s="363" t="s">
        <v>464</v>
      </c>
      <c r="C118" s="278"/>
      <c r="D118" s="261"/>
      <c r="E118" s="263">
        <f>NETWORKDAYS(G118,H118,S.DDL_DEQClosed)</f>
        <v>1</v>
      </c>
      <c r="F118" s="457">
        <f ca="1">IF(YEAR(H118)&gt;2000,NETWORKDAYS(TODAY(),H118,S.DDL_DEQClosed),0)</f>
        <v>-28</v>
      </c>
      <c r="G118" s="264">
        <f t="shared" si="46"/>
        <v>41577</v>
      </c>
      <c r="H118" s="264">
        <f t="shared" ref="H118:H121" si="52">AAH118</f>
        <v>41577</v>
      </c>
      <c r="I118" s="244"/>
      <c r="J118" s="193"/>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s="52"/>
      <c r="AAA118" s="192" t="s">
        <v>0</v>
      </c>
      <c r="AAB118"/>
      <c r="AAC118"/>
      <c r="AAD118" s="90"/>
      <c r="AAE118" s="519">
        <f t="shared" si="44"/>
        <v>1</v>
      </c>
      <c r="AAF118" s="90"/>
      <c r="AAG118" s="73">
        <f>S.Planning.AddConcepToPlanDate</f>
        <v>41577</v>
      </c>
      <c r="AAH118" s="73">
        <f>G118</f>
        <v>41577</v>
      </c>
      <c r="AAI118" s="72"/>
      <c r="AAJ118" s="75"/>
      <c r="AAK118" s="85" t="s">
        <v>0</v>
      </c>
      <c r="AAL118" s="90"/>
    </row>
    <row r="119" spans="1:714" s="23" customFormat="1" ht="15.75" customHeight="1" outlineLevel="1">
      <c r="A119" s="171"/>
      <c r="B119" s="363" t="s">
        <v>465</v>
      </c>
      <c r="C119" s="278"/>
      <c r="D119" s="261"/>
      <c r="E119" s="263">
        <f>NETWORKDAYS(G119,H119,S.DDL_DEQClosed)</f>
        <v>1</v>
      </c>
      <c r="F119" s="457">
        <f ca="1">IF(YEAR(H119)&gt;2000,NETWORKDAYS(TODAY(),H119,S.DDL_DEQClosed),0)</f>
        <v>-28</v>
      </c>
      <c r="G119" s="264">
        <f t="shared" si="46"/>
        <v>41577</v>
      </c>
      <c r="H119" s="264">
        <f t="shared" si="52"/>
        <v>41577</v>
      </c>
      <c r="I119" s="244"/>
      <c r="J119" s="193"/>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s="52"/>
      <c r="AAA119" s="192" t="s">
        <v>0</v>
      </c>
      <c r="AAD119" s="90"/>
      <c r="AAE119" s="519">
        <f t="shared" si="44"/>
        <v>1</v>
      </c>
      <c r="AAF119" s="90"/>
      <c r="AAG119" s="73">
        <f>S.Planning.AddConcepToPlanDate</f>
        <v>41577</v>
      </c>
      <c r="AAH119" s="73">
        <f>G119</f>
        <v>41577</v>
      </c>
      <c r="AAI119" s="72"/>
      <c r="AAJ119" s="75"/>
      <c r="AAK119" s="85" t="s">
        <v>0</v>
      </c>
      <c r="AAL119" s="90"/>
    </row>
    <row r="120" spans="1:714" s="23" customFormat="1" ht="15.75" customHeight="1" outlineLevel="1">
      <c r="A120" s="171" t="s">
        <v>0</v>
      </c>
      <c r="B120" s="363" t="s">
        <v>466</v>
      </c>
      <c r="C120" s="278"/>
      <c r="D120" s="261"/>
      <c r="E120" s="263">
        <f>NETWORKDAYS(G120,H120,S.DDL_DEQClosed)</f>
        <v>1</v>
      </c>
      <c r="F120" s="457">
        <f ca="1">IF(YEAR(H120)&gt;2000,NETWORKDAYS(TODAY(),H120,S.DDL_DEQClosed),0)</f>
        <v>-28</v>
      </c>
      <c r="G120" s="264">
        <f t="shared" si="46"/>
        <v>41577</v>
      </c>
      <c r="H120" s="264">
        <f t="shared" si="52"/>
        <v>41577</v>
      </c>
      <c r="I120" s="244"/>
      <c r="J120" s="193"/>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s="52"/>
      <c r="AAA120" s="192" t="s">
        <v>0</v>
      </c>
      <c r="AAD120" s="90"/>
      <c r="AAE120" s="519">
        <f t="shared" si="44"/>
        <v>1</v>
      </c>
      <c r="AAF120" s="90"/>
      <c r="AAG120" s="73">
        <f>S.Planning.AddConcepToPlanDate</f>
        <v>41577</v>
      </c>
      <c r="AAH120" s="73">
        <f>G120</f>
        <v>41577</v>
      </c>
      <c r="AAI120" s="72"/>
      <c r="AAJ120" s="75"/>
      <c r="AAK120" s="85" t="s">
        <v>0</v>
      </c>
      <c r="AAL120" s="90"/>
    </row>
    <row r="121" spans="1:714" s="23" customFormat="1" ht="15.75" customHeight="1" outlineLevel="1">
      <c r="A121" s="171" t="s">
        <v>353</v>
      </c>
      <c r="B121" s="363" t="s">
        <v>467</v>
      </c>
      <c r="C121" s="278"/>
      <c r="D121" s="261"/>
      <c r="E121" s="263">
        <f>NETWORKDAYS(G121,H121,S.DDL_DEQClosed)</f>
        <v>1</v>
      </c>
      <c r="F121" s="457">
        <f ca="1">IF(YEAR(H121)&gt;2000,NETWORKDAYS(TODAY(),H121,S.DDL_DEQClosed),0)</f>
        <v>-28</v>
      </c>
      <c r="G121" s="264">
        <f t="shared" si="46"/>
        <v>41577</v>
      </c>
      <c r="H121" s="264">
        <f t="shared" si="52"/>
        <v>41577</v>
      </c>
      <c r="I121" s="244"/>
      <c r="J121" s="193"/>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s="52"/>
      <c r="AAA121" s="192" t="s">
        <v>0</v>
      </c>
      <c r="AAD121" s="90"/>
      <c r="AAE121" s="519">
        <f t="shared" si="44"/>
        <v>1</v>
      </c>
      <c r="AAF121" s="90"/>
      <c r="AAG121" s="73">
        <f>S.Planning.AddConcepToPlanDate</f>
        <v>41577</v>
      </c>
      <c r="AAH121" s="73">
        <f>G121</f>
        <v>41577</v>
      </c>
      <c r="AAI121" s="72"/>
      <c r="AAJ121" s="75"/>
      <c r="AAK121" s="85" t="s">
        <v>0</v>
      </c>
      <c r="AAL121" s="90"/>
    </row>
    <row r="122" spans="1:714" s="23" customFormat="1" ht="15.75" customHeight="1" outlineLevel="1">
      <c r="A122" s="171"/>
      <c r="B122" s="740" t="s">
        <v>462</v>
      </c>
      <c r="C122" s="104"/>
      <c r="D122" s="158"/>
      <c r="E122" s="103"/>
      <c r="F122" s="103"/>
      <c r="G122" s="104" t="s">
        <v>0</v>
      </c>
      <c r="H122" s="104"/>
      <c r="I122" s="244"/>
      <c r="J122" s="193"/>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s="52"/>
      <c r="AAA122" s="192"/>
      <c r="AAD122" s="90"/>
      <c r="AAE122" s="519">
        <v>1</v>
      </c>
      <c r="AAF122" s="190" t="s">
        <v>52</v>
      </c>
      <c r="AAG122" s="71"/>
      <c r="AAH122" s="71"/>
      <c r="AAI122" s="72"/>
      <c r="AAJ122" s="55"/>
      <c r="AAK122" s="60" t="s">
        <v>0</v>
      </c>
      <c r="AAL122" s="90"/>
    </row>
    <row r="123" spans="1:714" s="23" customFormat="1" ht="15.75" customHeight="1" outlineLevel="1">
      <c r="A123" s="171"/>
      <c r="B123" s="361" t="str">
        <f>AAK123</f>
        <v>AndreaRW schedules/holds meeting with team, especially MargaretMGR and</v>
      </c>
      <c r="C123" s="278"/>
      <c r="D123" s="261"/>
      <c r="E123" s="263">
        <f t="shared" ref="E123" si="53">NETWORKDAYS(G123,H123,S.DDL_DEQClosed)</f>
        <v>1</v>
      </c>
      <c r="F123" s="457">
        <f t="shared" ref="F123" ca="1" si="54">IF(YEAR(H123)&gt;2000,NETWORKDAYS(TODAY(),H123,S.DDL_DEQClosed),0)</f>
        <v>-28</v>
      </c>
      <c r="G123" s="264">
        <f t="shared" si="46"/>
        <v>41577</v>
      </c>
      <c r="H123" s="264">
        <f t="shared" ref="H123" si="55">AAH123</f>
        <v>41577</v>
      </c>
      <c r="I123" s="244" t="s">
        <v>504</v>
      </c>
      <c r="J123" s="193"/>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s="52"/>
      <c r="AAA123" s="192"/>
      <c r="AAD123" s="90"/>
      <c r="AAE123" s="519">
        <f t="shared" si="44"/>
        <v>1</v>
      </c>
      <c r="AAF123" s="90"/>
      <c r="AAG123" s="73">
        <f>AAG121</f>
        <v>41577</v>
      </c>
      <c r="AAH123" s="73">
        <f t="shared" ref="AAH123:AAH163" si="56">G123</f>
        <v>41577</v>
      </c>
      <c r="AAI123" s="72"/>
      <c r="AAJ123" s="75"/>
      <c r="AAK123" s="92" t="str">
        <f>IF(S.Planning.ExpandTeam="N",S.Staff.Lead&amp;" schedules/holds meeting with "&amp;S.Staff.Mgr&amp;" and",S.Staff.Lead&amp;" schedules/holds meeting with team, especially "&amp;S.Staff.Mgr&amp;" and")</f>
        <v>AndreaRW schedules/holds meeting with team, especially MargaretMGR and</v>
      </c>
      <c r="AAL123" s="90"/>
    </row>
    <row r="124" spans="1:714" s="23" customFormat="1" ht="15.75" customHeight="1" outlineLevel="1" thickBot="1">
      <c r="A124" s="171" t="s">
        <v>353</v>
      </c>
      <c r="B124" s="363" t="str">
        <f>AAK124</f>
        <v>JoanieS, WilliamK to discuss/determine need for:</v>
      </c>
      <c r="C124" s="278"/>
      <c r="D124"/>
      <c r="E124"/>
      <c r="F124"/>
      <c r="G124"/>
      <c r="H124"/>
      <c r="I124" s="244"/>
      <c r="J124" s="193"/>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s="52"/>
      <c r="AAA124" s="192"/>
      <c r="AAD124" s="90"/>
      <c r="AAE124" s="519">
        <f t="shared" si="44"/>
        <v>1</v>
      </c>
      <c r="AAF124" s="190" t="s">
        <v>52</v>
      </c>
      <c r="AAG124" s="72"/>
      <c r="AAH124" s="72"/>
      <c r="AAI124" s="72"/>
      <c r="AAJ124" s="75"/>
      <c r="AAK124" s="92" t="str">
        <f>S.Staff.CheifPublicAffairsOfficer&amp;", "&amp;S.Staff.OCOCommunication&amp;" to discuss/determine need for:"</f>
        <v>JoanieS, WilliamK to discuss/determine need for:</v>
      </c>
      <c r="AAL124" s="90"/>
    </row>
    <row r="125" spans="1:714" s="23" customFormat="1" ht="15.75" customHeight="1" outlineLevel="1" thickBot="1">
      <c r="A125" s="171"/>
      <c r="B125" s="628" t="s">
        <v>437</v>
      </c>
      <c r="C125" s="273" t="s">
        <v>303</v>
      </c>
      <c r="D125" s="261"/>
      <c r="E125"/>
      <c r="F125"/>
      <c r="G125"/>
      <c r="H125"/>
      <c r="I125" s="244"/>
      <c r="J125" s="193"/>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s="52"/>
      <c r="AAA125" s="192" t="s">
        <v>0</v>
      </c>
      <c r="AAD125" s="90"/>
      <c r="AAE125" s="519">
        <f>IF(S.Planning.CommunicationsPlan="Y",1,0)</f>
        <v>0</v>
      </c>
      <c r="AAF125" s="190" t="s">
        <v>52</v>
      </c>
      <c r="AAG125" s="72"/>
      <c r="AAH125" s="72"/>
      <c r="AAI125" s="72"/>
      <c r="AAJ125" s="75"/>
      <c r="AAK125" s="56"/>
      <c r="AAL125" s="90"/>
    </row>
    <row r="126" spans="1:714" s="23" customFormat="1" ht="15.75" customHeight="1" outlineLevel="1" thickBot="1">
      <c r="A126" s="171"/>
      <c r="B126" s="628" t="s">
        <v>435</v>
      </c>
      <c r="C126" s="377" t="s">
        <v>303</v>
      </c>
      <c r="D126" s="261"/>
      <c r="E126"/>
      <c r="F126"/>
      <c r="G126"/>
      <c r="H126"/>
      <c r="I126" s="244"/>
      <c r="J126" s="193"/>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s="52"/>
      <c r="AAA126" s="192" t="s">
        <v>0</v>
      </c>
      <c r="AAD126" s="90"/>
      <c r="AAE126" s="519">
        <f>IF(S.Planning.MessageMap="Y",1,0)</f>
        <v>0</v>
      </c>
      <c r="AAF126" s="190" t="s">
        <v>52</v>
      </c>
      <c r="AAG126" s="72"/>
      <c r="AAH126" s="72"/>
      <c r="AAI126" s="72"/>
      <c r="AAJ126" s="75"/>
      <c r="AAK126" s="56"/>
      <c r="AAL126" s="90"/>
    </row>
    <row r="127" spans="1:714" s="23" customFormat="1" ht="15" customHeight="1" outlineLevel="1" thickBot="1">
      <c r="A127" s="171"/>
      <c r="B127" s="628" t="s">
        <v>436</v>
      </c>
      <c r="C127" s="377" t="s">
        <v>303</v>
      </c>
      <c r="D127" s="261"/>
      <c r="E127" s="344" t="s">
        <v>0</v>
      </c>
      <c r="F127" s="345" t="s">
        <v>0</v>
      </c>
      <c r="G127" s="346"/>
      <c r="H127" s="346"/>
      <c r="I127" s="244"/>
      <c r="J127" s="194"/>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s="52"/>
      <c r="AAA127" s="192"/>
      <c r="AAD127" s="90"/>
      <c r="AAE127" s="519">
        <f t="shared" ref="AAE127:AAE145" si="57">IF(S.Planning.ProgramWebPage="Y",1,0)</f>
        <v>0</v>
      </c>
      <c r="AAF127" s="190" t="s">
        <v>52</v>
      </c>
      <c r="AAG127" s="71" t="s">
        <v>0</v>
      </c>
      <c r="AAH127" s="71"/>
      <c r="AAI127" s="71"/>
      <c r="AAJ127" s="79"/>
      <c r="AAK127" s="56"/>
      <c r="AAL127" s="90"/>
    </row>
    <row r="128" spans="1:714" s="23" customFormat="1" ht="15.75" customHeight="1" outlineLevel="1" thickBot="1">
      <c r="A128" s="171"/>
      <c r="B128" s="702" t="s">
        <v>460</v>
      </c>
      <c r="C128" s="377" t="s">
        <v>303</v>
      </c>
      <c r="D128" s="608"/>
      <c r="E128" s="350"/>
      <c r="F128" s="350"/>
      <c r="G128" s="346" t="s">
        <v>0</v>
      </c>
      <c r="H128" s="346"/>
      <c r="I128" s="244"/>
      <c r="J128" s="193"/>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s="52"/>
      <c r="AAA128" s="192"/>
      <c r="AAD128" s="90"/>
      <c r="AAE128" s="519">
        <f>IF(S.Notice.InformationMeeting="N",,1)</f>
        <v>0</v>
      </c>
      <c r="AAF128" s="190" t="s">
        <v>52</v>
      </c>
      <c r="AAG128" s="71"/>
      <c r="AAH128" s="71"/>
      <c r="AAI128" s="72"/>
      <c r="AAJ128" s="55"/>
      <c r="AAK128" s="558"/>
      <c r="AAL128" s="90"/>
    </row>
    <row r="129" spans="1:715" s="23" customFormat="1" ht="15" hidden="1" customHeight="1" outlineLevel="2">
      <c r="A129" s="171"/>
      <c r="B129" s="808" t="s">
        <v>425</v>
      </c>
      <c r="C129"/>
      <c r="D129" s="366"/>
      <c r="E129" s="344" t="s">
        <v>0</v>
      </c>
      <c r="F129" s="345" t="s">
        <v>0</v>
      </c>
      <c r="G129" s="346"/>
      <c r="H129" s="346"/>
      <c r="I129" s="244"/>
      <c r="J129" s="194"/>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s="52"/>
      <c r="AAA129" s="192"/>
      <c r="AAD129" s="90"/>
      <c r="AAE129" s="519">
        <f>IF(OR(S.Planning.CommunicationsPlan="Y",S.Planning.MessageMap="Y",S.Planning.ProgramWebPage="Y"),1,0)</f>
        <v>0</v>
      </c>
      <c r="AAF129" s="190" t="s">
        <v>52</v>
      </c>
      <c r="AAG129" s="71" t="s">
        <v>0</v>
      </c>
      <c r="AAH129" s="71"/>
      <c r="AAI129" s="71"/>
      <c r="AAJ129" s="79"/>
      <c r="AAK129" s="56"/>
      <c r="AAL129" s="90"/>
    </row>
    <row r="130" spans="1:715" s="23" customFormat="1" ht="15" hidden="1" customHeight="1" outlineLevel="2">
      <c r="A130" s="171"/>
      <c r="B130" s="809" t="str">
        <f>AAK130</f>
        <v>AndreaRW leads:</v>
      </c>
      <c r="C130" s="271" t="s">
        <v>0</v>
      </c>
      <c r="D130" s="274"/>
      <c r="E130" s="497"/>
      <c r="F130" s="497"/>
      <c r="G130" s="497"/>
      <c r="H130" s="497"/>
      <c r="I130" s="244"/>
      <c r="J130" s="196"/>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s="52"/>
      <c r="AAA130" s="192"/>
      <c r="AAD130" s="90"/>
      <c r="AAE130" s="519">
        <f>IF(OR(S.Planning.CommunicationsPlan="Y",S.Planning.MessageMap="Y",S.Planning.ProgramWebPage="Y"),1,0)</f>
        <v>0</v>
      </c>
      <c r="AAF130" s="190" t="s">
        <v>52</v>
      </c>
      <c r="AAG130" s="60"/>
      <c r="AAH130" s="60"/>
      <c r="AAI130" s="72"/>
      <c r="AAJ130" s="55"/>
      <c r="AAK130" s="76" t="str">
        <f>S.Staff.Lead&amp;" leads:"</f>
        <v>AndreaRW leads:</v>
      </c>
      <c r="AAL130" s="90"/>
    </row>
    <row r="131" spans="1:715" s="23" customFormat="1" ht="15" hidden="1" customHeight="1" outlineLevel="2">
      <c r="A131" s="171"/>
      <c r="B131" s="810" t="s">
        <v>431</v>
      </c>
      <c r="C131" s="364" t="s">
        <v>0</v>
      </c>
      <c r="D131" s="378"/>
      <c r="E131" s="342">
        <f>NETWORKDAYS(G131,H131,S.DDL_DEQClosed)</f>
        <v>1</v>
      </c>
      <c r="F131" s="457">
        <f ca="1">IF(YEAR(H131)&gt;2000,NETWORKDAYS(TODAY(),H131,S.DDL_DEQClosed),0)</f>
        <v>-28</v>
      </c>
      <c r="G131" s="264">
        <f t="shared" ref="G131:H133" si="58">AAG131</f>
        <v>41577</v>
      </c>
      <c r="H131" s="343">
        <f t="shared" si="58"/>
        <v>41577</v>
      </c>
      <c r="I131" s="244" t="s">
        <v>504</v>
      </c>
      <c r="J131" s="194"/>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s="52"/>
      <c r="AAA131" s="192"/>
      <c r="AAD131" s="90"/>
      <c r="AAE131" s="519">
        <f>IF(OR(S.Planning.CommunicationsPlan="Y",S.Planning.MessageMap="Y",S.Planning.ProgramWebPage="Y"),1,0)</f>
        <v>0</v>
      </c>
      <c r="AAF131" s="90"/>
      <c r="AAG131" s="73">
        <f>H123</f>
        <v>41577</v>
      </c>
      <c r="AAH131" s="73">
        <f>G131</f>
        <v>41577</v>
      </c>
      <c r="AAI131" s="60"/>
      <c r="AAJ131" s="56"/>
      <c r="AAK131" s="56"/>
      <c r="AAL131" s="90"/>
    </row>
    <row r="132" spans="1:715" s="23" customFormat="1" ht="15.75" hidden="1" customHeight="1" outlineLevel="2">
      <c r="A132" s="171"/>
      <c r="B132" s="811" t="str">
        <f>AAK132</f>
        <v>* drafting COMMUNICATION.PLAN with WilliamK</v>
      </c>
      <c r="C132" s="790" t="str">
        <f>HYPERLINK("http://deq05/intranet/communication/publicinvolvement/index.htm","i")</f>
        <v>i</v>
      </c>
      <c r="D132" s="261"/>
      <c r="E132" s="263">
        <f>NETWORKDAYS(G132,H132,S.DDL_DEQClosed)</f>
        <v>1</v>
      </c>
      <c r="F132" s="457">
        <f ca="1">IF(YEAR(H132)&gt;2000,NETWORKDAYS(TODAY(),H132,S.DDL_DEQClosed),0)</f>
        <v>-28</v>
      </c>
      <c r="G132" s="264">
        <f t="shared" si="58"/>
        <v>41577</v>
      </c>
      <c r="H132" s="264">
        <f t="shared" si="58"/>
        <v>41577</v>
      </c>
      <c r="I132" s="244"/>
      <c r="J132" s="193"/>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s="52"/>
      <c r="AAA132" s="192" t="s">
        <v>0</v>
      </c>
      <c r="AAD132" s="90"/>
      <c r="AAE132" s="519">
        <f>IF(S.Planning.CommunicationsPlan="Y",1,0)</f>
        <v>0</v>
      </c>
      <c r="AAF132" s="90"/>
      <c r="AAG132" s="73">
        <f>G131</f>
        <v>41577</v>
      </c>
      <c r="AAH132" s="73">
        <f>G132</f>
        <v>41577</v>
      </c>
      <c r="AAI132" s="72"/>
      <c r="AAJ132" s="75"/>
      <c r="AAK132" s="92" t="str">
        <f>"* drafting COMMUNICATION.PLAN with "&amp;S.Staff.OCOCommunication</f>
        <v>* drafting COMMUNICATION.PLAN with WilliamK</v>
      </c>
      <c r="AAL132" s="90"/>
    </row>
    <row r="133" spans="1:715" ht="15.75" hidden="1" customHeight="1" outlineLevel="2">
      <c r="A133" s="171"/>
      <c r="B133" s="810" t="str">
        <f>AAK133</f>
        <v>* drafting MESSAGE.MAP with WilliamK</v>
      </c>
      <c r="C133" s="790" t="str">
        <f>HYPERLINK("http://deq05/intranet/communication/index.htm","i")</f>
        <v>i</v>
      </c>
      <c r="D133" s="261"/>
      <c r="E133" s="432">
        <f>NETWORKDAYS(G133,H133,S.DDL_DEQClosed)</f>
        <v>1</v>
      </c>
      <c r="F133" s="457">
        <f ca="1">IF(YEAR(H133)&gt;2000,NETWORKDAYS(TODAY(),H133,S.DDL_DEQClosed),0)</f>
        <v>-28</v>
      </c>
      <c r="G133" s="446">
        <f t="shared" si="58"/>
        <v>41577</v>
      </c>
      <c r="H133" s="347">
        <f t="shared" si="58"/>
        <v>41577</v>
      </c>
      <c r="I133" s="244"/>
      <c r="J133" s="193"/>
      <c r="K133" s="193"/>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AAA133" s="192" t="s">
        <v>0</v>
      </c>
      <c r="AAD133" s="90"/>
      <c r="AAE133" s="520">
        <f>IF(S.Planning.MessageMap="Y",1,0)</f>
        <v>0</v>
      </c>
      <c r="AAF133" s="90" t="s">
        <v>0</v>
      </c>
      <c r="AAG133" s="73">
        <f>G132</f>
        <v>41577</v>
      </c>
      <c r="AAH133" s="73">
        <f>G133</f>
        <v>41577</v>
      </c>
      <c r="AAI133" s="72"/>
      <c r="AAJ133" s="72"/>
      <c r="AAK133" s="92" t="str">
        <f>"* drafting MESSAGE.MAP with "&amp;S.Staff.OCOCommunication</f>
        <v>* drafting MESSAGE.MAP with WilliamK</v>
      </c>
      <c r="AAL133" s="90"/>
      <c r="AAM133"/>
    </row>
    <row r="134" spans="1:715" s="23" customFormat="1" ht="15" hidden="1" customHeight="1" outlineLevel="2">
      <c r="A134" s="171"/>
      <c r="B134" s="810" t="str">
        <f>AAK134</f>
        <v>* drafting  PROGRAM.WEB.PAGE content with team and Michele</v>
      </c>
      <c r="C134" s="362"/>
      <c r="D134" s="261"/>
      <c r="E134" s="432">
        <f>NETWORKDAYS(G134,H134,S.DDL_DEQClosed)</f>
        <v>1</v>
      </c>
      <c r="F134" s="457">
        <f ca="1">IF(YEAR(H134)&gt;2000,NETWORKDAYS(TODAY(),H134,S.DDL_DEQClosed),0)</f>
        <v>-28</v>
      </c>
      <c r="G134" s="446">
        <f t="shared" ref="G134" si="59">AAG134</f>
        <v>41577</v>
      </c>
      <c r="H134" s="347">
        <f t="shared" ref="H134" si="60">AAH134</f>
        <v>41577</v>
      </c>
      <c r="I134" s="244"/>
      <c r="J134" s="194"/>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s="52"/>
      <c r="AAA134" s="192"/>
      <c r="AAD134" s="90"/>
      <c r="AAE134" s="520">
        <f>IF(S.Planning.MessageMap="Y",1,0)</f>
        <v>0</v>
      </c>
      <c r="AAF134" s="90" t="s">
        <v>0</v>
      </c>
      <c r="AAG134" s="73">
        <f>G133</f>
        <v>41577</v>
      </c>
      <c r="AAH134" s="73">
        <f>G134</f>
        <v>41577</v>
      </c>
      <c r="AAI134" s="71"/>
      <c r="AAJ134" s="56"/>
      <c r="AAK134" s="254" t="str">
        <f>"* drafting  PROGRAM.WEB.PAGE content with team and "&amp;S.Staff.WebMaster</f>
        <v>* drafting  PROGRAM.WEB.PAGE content with team and Michele</v>
      </c>
      <c r="AAL134" s="90"/>
    </row>
    <row r="135" spans="1:715" s="23" customFormat="1" ht="15" hidden="1" customHeight="1" outlineLevel="2">
      <c r="A135" s="171"/>
      <c r="B135" s="810" t="s">
        <v>426</v>
      </c>
      <c r="C135" s="362"/>
      <c r="D135" s="378"/>
      <c r="E135" s="342">
        <f t="shared" ref="E135:E145" si="61">NETWORKDAYS(G135,H135,S.DDL_DEQClosed)</f>
        <v>1</v>
      </c>
      <c r="F135" s="457">
        <f t="shared" ref="F135:F145" ca="1" si="62">IF(YEAR(H135)&gt;2000,NETWORKDAYS(TODAY(),H135,S.DDL_DEQClosed),0)</f>
        <v>-28</v>
      </c>
      <c r="G135" s="347">
        <f t="shared" ref="G135" si="63">AAG135</f>
        <v>41577</v>
      </c>
      <c r="H135" s="343">
        <f t="shared" ref="H135:H145" si="64">AAH135</f>
        <v>41577</v>
      </c>
      <c r="I135" s="244"/>
      <c r="J135" s="194"/>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s="52"/>
      <c r="AAA135" s="192"/>
      <c r="AAD135" s="90"/>
      <c r="AAE135" s="519">
        <f>IF(OR(S.Planning.CommunicationsPlan="Y",S.Planning.MessageMap="Y",S.Planning.ProgramWebPage="Y"),1,0)</f>
        <v>0</v>
      </c>
      <c r="AAF135" s="90"/>
      <c r="AAG135" s="73">
        <f>G134</f>
        <v>41577</v>
      </c>
      <c r="AAH135" s="73">
        <f t="shared" ref="AAH135:AAH145" si="65">G135</f>
        <v>41577</v>
      </c>
      <c r="AAI135" s="71"/>
      <c r="AAJ135" s="56"/>
      <c r="AAK135" s="85"/>
      <c r="AAL135" s="90"/>
    </row>
    <row r="136" spans="1:715" s="23" customFormat="1" ht="15" hidden="1" customHeight="1" outlineLevel="2">
      <c r="A136" s="171"/>
      <c r="B136" s="809" t="str">
        <f>AAK136</f>
        <v>MargaretMGR::</v>
      </c>
      <c r="C136" s="271" t="s">
        <v>0</v>
      </c>
      <c r="D136" s="274"/>
      <c r="E136" s="497"/>
      <c r="F136" s="497"/>
      <c r="G136" s="497"/>
      <c r="H136" s="497"/>
      <c r="I136" s="244"/>
      <c r="J136" s="196"/>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s="52"/>
      <c r="AAA136" s="192"/>
      <c r="AAD136" s="90"/>
      <c r="AAE136" s="519">
        <f>IF(OR(S.Planning.CommunicationsPlan="Y",S.Planning.MessageMap="Y",S.Planning.ProgramWebPage="Y"),1,0)</f>
        <v>0</v>
      </c>
      <c r="AAF136" s="190" t="s">
        <v>52</v>
      </c>
      <c r="AAG136" s="60"/>
      <c r="AAH136" s="60"/>
      <c r="AAI136" s="72"/>
      <c r="AAJ136" s="55"/>
      <c r="AAK136" s="76" t="str">
        <f>S.Staff.Mgr&amp;"::"</f>
        <v>MargaretMGR::</v>
      </c>
      <c r="AAL136" s="90"/>
    </row>
    <row r="137" spans="1:715" s="23" customFormat="1" ht="15" hidden="1" customHeight="1" outlineLevel="2">
      <c r="A137" s="171"/>
      <c r="B137" s="810" t="str">
        <f>AAK137</f>
        <v>* shares content with Andy and approves content:</v>
      </c>
      <c r="C137" s="362"/>
      <c r="D137" s="378"/>
      <c r="E137" s="342">
        <f t="shared" ref="E137" si="66">NETWORKDAYS(G137,H137,S.DDL_DEQClosed)</f>
        <v>1</v>
      </c>
      <c r="F137" s="457">
        <f t="shared" ref="F137" ca="1" si="67">IF(YEAR(H137)&gt;2000,NETWORKDAYS(TODAY(),H137,S.DDL_DEQClosed),0)</f>
        <v>-28</v>
      </c>
      <c r="G137" s="343">
        <f t="shared" ref="G137" si="68">AAG137</f>
        <v>41577</v>
      </c>
      <c r="H137" s="343">
        <f t="shared" ref="H137" si="69">AAH137</f>
        <v>41577</v>
      </c>
      <c r="I137" s="244"/>
      <c r="J137" s="194"/>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s="52"/>
      <c r="AAA137" s="192"/>
      <c r="AAD137" s="90"/>
      <c r="AAE137" s="519">
        <f>IF(OR(S.Planning.CommunicationsPlan="Y",S.Planning.MessageMap="Y",S.Planning.ProgramWebPage="Y"),1,0)</f>
        <v>0</v>
      </c>
      <c r="AAF137" s="90"/>
      <c r="AAG137" s="73">
        <f>H135</f>
        <v>41577</v>
      </c>
      <c r="AAH137" s="73">
        <f t="shared" ref="AAH137" si="70">G137</f>
        <v>41577</v>
      </c>
      <c r="AAI137" s="71"/>
      <c r="AAJ137" s="56"/>
      <c r="AAK137" s="254" t="str">
        <f>"* shares content with "&amp;S.Staff.DA&amp;" and approves content:"</f>
        <v>* shares content with Andy and approves content:</v>
      </c>
      <c r="AAL137" s="90"/>
    </row>
    <row r="138" spans="1:715" s="23" customFormat="1" ht="15" hidden="1" customHeight="1" outlineLevel="2" thickBot="1">
      <c r="A138" s="171"/>
      <c r="B138" s="812" t="s">
        <v>427</v>
      </c>
      <c r="C138" s="360" t="s">
        <v>0</v>
      </c>
      <c r="D138" s="378"/>
      <c r="E138" s="342">
        <f t="shared" si="61"/>
        <v>1</v>
      </c>
      <c r="F138" s="457">
        <f t="shared" ca="1" si="62"/>
        <v>-28</v>
      </c>
      <c r="G138" s="343">
        <f>AAG138</f>
        <v>41577</v>
      </c>
      <c r="H138" s="343">
        <f t="shared" si="64"/>
        <v>41577</v>
      </c>
      <c r="I138" s="244"/>
      <c r="J138" s="19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s="52"/>
      <c r="AAA138" s="192" t="s">
        <v>0</v>
      </c>
      <c r="AAD138" s="90"/>
      <c r="AAE138" s="519">
        <f>IF(OR(S.Planning.CommunicationsPlan="Y",S.Planning.MessageMap="Y",S.Planning.ProgramWebPage="Y"),1,0)</f>
        <v>0</v>
      </c>
      <c r="AAF138" s="90"/>
      <c r="AAG138" s="73">
        <f>H137</f>
        <v>41577</v>
      </c>
      <c r="AAH138" s="73">
        <f t="shared" si="65"/>
        <v>41577</v>
      </c>
      <c r="AAI138" s="60"/>
      <c r="AAJ138" s="56"/>
      <c r="AAK138" s="85"/>
      <c r="AAL138" s="90"/>
    </row>
    <row r="139" spans="1:715" s="23" customFormat="1" ht="15" hidden="1" customHeight="1" outlineLevel="2" thickBot="1">
      <c r="A139" s="171"/>
      <c r="B139" s="666" t="s">
        <v>428</v>
      </c>
      <c r="C139" s="611" t="s">
        <v>303</v>
      </c>
      <c r="D139" s="378"/>
      <c r="E139" s="342">
        <f t="shared" si="61"/>
        <v>0</v>
      </c>
      <c r="F139" s="457">
        <f t="shared" ca="1" si="62"/>
        <v>0</v>
      </c>
      <c r="G139" s="347">
        <f>AAG139</f>
        <v>0</v>
      </c>
      <c r="H139" s="343">
        <f t="shared" si="64"/>
        <v>0</v>
      </c>
      <c r="I139" s="244"/>
      <c r="J139" s="19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s="52"/>
      <c r="AAA139" s="192"/>
      <c r="AAD139" s="90"/>
      <c r="AAE139" s="519">
        <f>IF(S.Planning.ApproveCommunicationsLoop2="N",,IF(OR(S.Planning.CommunicationsPlan="Y",S.Planning.MessageMap="Y",S.Planning.ProgramWebPage="Y"),1,0))</f>
        <v>0</v>
      </c>
      <c r="AAF139" s="90"/>
      <c r="AAG139" s="73">
        <f>IF(AAE139=0,,H138)</f>
        <v>0</v>
      </c>
      <c r="AAH139" s="73">
        <f t="shared" si="65"/>
        <v>0</v>
      </c>
      <c r="AAI139" s="60"/>
      <c r="AAJ139" s="56"/>
      <c r="AAK139" s="85"/>
      <c r="AAL139" s="90"/>
    </row>
    <row r="140" spans="1:715" s="23" customFormat="1" ht="15" hidden="1" customHeight="1" outlineLevel="2" thickBot="1">
      <c r="A140" s="171"/>
      <c r="B140" s="663" t="s">
        <v>429</v>
      </c>
      <c r="C140" s="611" t="s">
        <v>303</v>
      </c>
      <c r="D140" s="378"/>
      <c r="E140" s="342">
        <f t="shared" si="61"/>
        <v>0</v>
      </c>
      <c r="F140" s="457">
        <f t="shared" ca="1" si="62"/>
        <v>0</v>
      </c>
      <c r="G140" s="347">
        <f>AAG140</f>
        <v>0</v>
      </c>
      <c r="H140" s="343">
        <f t="shared" si="64"/>
        <v>0</v>
      </c>
      <c r="I140" s="244"/>
      <c r="J140" s="19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s="52"/>
      <c r="AAA140" s="192"/>
      <c r="AAD140" s="90"/>
      <c r="AAE140" s="519">
        <f>IF(S.Planning.ApproveCommunicationsLoop3="N",,IF(OR(S.Planning.CommunicationsPlan="Y",S.Planning.MessageMap="Y",S.Planning.ProgramWebPage="Y"),1,0))</f>
        <v>0</v>
      </c>
      <c r="AAF140" s="90"/>
      <c r="AAG140" s="73">
        <f>IF(AAE140=0,,H139)</f>
        <v>0</v>
      </c>
      <c r="AAH140" s="73">
        <f t="shared" si="65"/>
        <v>0</v>
      </c>
      <c r="AAI140" s="60"/>
      <c r="AAJ140" s="56"/>
      <c r="AAK140" s="85"/>
      <c r="AAL140" s="90"/>
    </row>
    <row r="141" spans="1:715" s="23" customFormat="1" ht="15" hidden="1" customHeight="1" outlineLevel="2" thickBot="1">
      <c r="A141" s="171"/>
      <c r="B141" s="813" t="s">
        <v>432</v>
      </c>
      <c r="C141" s="611" t="s">
        <v>303</v>
      </c>
      <c r="D141" s="378"/>
      <c r="E141" s="342">
        <f t="shared" si="61"/>
        <v>0</v>
      </c>
      <c r="F141" s="457">
        <f t="shared" ca="1" si="62"/>
        <v>0</v>
      </c>
      <c r="G141" s="347">
        <f>AAG141</f>
        <v>0</v>
      </c>
      <c r="H141" s="343">
        <f t="shared" si="64"/>
        <v>0</v>
      </c>
      <c r="I141" s="244"/>
      <c r="J141" s="19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s="52"/>
      <c r="AAA141" s="192"/>
      <c r="AAD141" s="90"/>
      <c r="AAE141" s="519">
        <f>IF(S.Planning.ApproveCommunicationsLoop4="N",,IF(OR(S.Planning.CommunicationsPlan="Y",S.Planning.MessageMap="Y",S.Planning.ProgramWebPage="Y"),1,0))</f>
        <v>0</v>
      </c>
      <c r="AAF141" s="90"/>
      <c r="AAG141" s="73">
        <f>IF(AAE141=0,,H140)</f>
        <v>0</v>
      </c>
      <c r="AAH141" s="73">
        <f t="shared" si="65"/>
        <v>0</v>
      </c>
      <c r="AAI141" s="60"/>
      <c r="AAJ141" s="56"/>
      <c r="AAK141" s="85"/>
      <c r="AAL141" s="90"/>
    </row>
    <row r="142" spans="1:715" s="23" customFormat="1" ht="15" hidden="1" customHeight="1" outlineLevel="2">
      <c r="A142" s="171"/>
      <c r="B142" s="809" t="str">
        <f>AAK142</f>
        <v>AndreaRW:</v>
      </c>
      <c r="C142" s="271" t="s">
        <v>0</v>
      </c>
      <c r="D142" s="274"/>
      <c r="E142" s="497"/>
      <c r="F142" s="497"/>
      <c r="G142" s="796"/>
      <c r="H142" s="497"/>
      <c r="I142" s="244"/>
      <c r="J142" s="196"/>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s="52"/>
      <c r="AAA142" s="192"/>
      <c r="AAD142" s="90"/>
      <c r="AAE142" s="519">
        <f t="shared" si="57"/>
        <v>0</v>
      </c>
      <c r="AAF142" s="190" t="s">
        <v>52</v>
      </c>
      <c r="AAG142" s="60"/>
      <c r="AAH142" s="60"/>
      <c r="AAI142" s="72"/>
      <c r="AAJ142" s="55"/>
      <c r="AAK142" s="76" t="str">
        <f>S.Staff.Lead&amp;":"</f>
        <v>AndreaRW:</v>
      </c>
      <c r="AAL142" s="90"/>
    </row>
    <row r="143" spans="1:715" s="23" customFormat="1" ht="15" hidden="1" customHeight="1" outlineLevel="2">
      <c r="A143" s="171"/>
      <c r="B143" s="810" t="s">
        <v>266</v>
      </c>
      <c r="C143" s="364" t="s">
        <v>0</v>
      </c>
      <c r="D143" s="378"/>
      <c r="E143" s="342">
        <f t="shared" si="61"/>
        <v>0</v>
      </c>
      <c r="F143" s="457">
        <f t="shared" ca="1" si="62"/>
        <v>0</v>
      </c>
      <c r="G143" s="347">
        <f>AAG143</f>
        <v>0</v>
      </c>
      <c r="H143" s="343">
        <f t="shared" si="64"/>
        <v>0</v>
      </c>
      <c r="I143" s="244"/>
      <c r="J143" s="19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s="52"/>
      <c r="AAA143" s="192" t="s">
        <v>0</v>
      </c>
      <c r="AAD143" s="90"/>
      <c r="AAE143" s="519">
        <f t="shared" si="57"/>
        <v>0</v>
      </c>
      <c r="AAF143" s="90"/>
      <c r="AAG143" s="73">
        <f t="shared" ref="AAG143:AAG198" si="71">S.AC.BANNER.Begin</f>
        <v>0</v>
      </c>
      <c r="AAH143" s="73">
        <f t="shared" si="65"/>
        <v>0</v>
      </c>
      <c r="AAI143" s="60"/>
      <c r="AAJ143" s="56"/>
      <c r="AAK143" s="85"/>
      <c r="AAL143" s="90"/>
    </row>
    <row r="144" spans="1:715" s="23" customFormat="1" ht="15" hidden="1" customHeight="1" outlineLevel="2">
      <c r="A144" s="171" t="s">
        <v>353</v>
      </c>
      <c r="B144" s="810" t="s">
        <v>430</v>
      </c>
      <c r="C144" s="364" t="s">
        <v>0</v>
      </c>
      <c r="D144" s="378"/>
      <c r="E144" s="342">
        <f t="shared" ref="E144" si="72">NETWORKDAYS(G144,H144,S.DDL_DEQClosed)</f>
        <v>0</v>
      </c>
      <c r="F144" s="457">
        <f t="shared" ref="F144" ca="1" si="73">IF(YEAR(H144)&gt;2000,NETWORKDAYS(TODAY(),H144,S.DDL_DEQClosed),0)</f>
        <v>0</v>
      </c>
      <c r="G144" s="347">
        <f>AAG144</f>
        <v>0</v>
      </c>
      <c r="H144" s="343">
        <f t="shared" ref="H144" si="74">AAH144</f>
        <v>0</v>
      </c>
      <c r="I144" s="244"/>
      <c r="J144" s="19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s="52"/>
      <c r="AAA144" s="192" t="s">
        <v>0</v>
      </c>
      <c r="AAD144" s="90"/>
      <c r="AAE144" s="519">
        <f t="shared" si="57"/>
        <v>0</v>
      </c>
      <c r="AAF144" s="90"/>
      <c r="AAG144" s="73">
        <f t="shared" si="71"/>
        <v>0</v>
      </c>
      <c r="AAH144" s="73">
        <f t="shared" ref="AAH144" si="75">G144</f>
        <v>0</v>
      </c>
      <c r="AAI144" s="60"/>
      <c r="AAJ144" s="56"/>
      <c r="AAK144" s="85"/>
      <c r="AAL144" s="90"/>
    </row>
    <row r="145" spans="1:715" s="23" customFormat="1" ht="15" hidden="1" customHeight="1" outlineLevel="2">
      <c r="A145" s="171"/>
      <c r="B145" s="811" t="str">
        <f t="shared" ref="B145" si="76">AAK145</f>
        <v>* works with Michele to make adjustments</v>
      </c>
      <c r="C145" s="364" t="s">
        <v>0</v>
      </c>
      <c r="D145" s="378"/>
      <c r="E145" s="342">
        <f t="shared" si="61"/>
        <v>0</v>
      </c>
      <c r="F145" s="457">
        <f t="shared" ca="1" si="62"/>
        <v>0</v>
      </c>
      <c r="G145" s="347">
        <f>AAG145</f>
        <v>0</v>
      </c>
      <c r="H145" s="343">
        <f t="shared" si="64"/>
        <v>0</v>
      </c>
      <c r="I145" s="244"/>
      <c r="J145" s="19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s="52"/>
      <c r="AAA145" s="192"/>
      <c r="AAD145" s="90"/>
      <c r="AAE145" s="519">
        <f t="shared" si="57"/>
        <v>0</v>
      </c>
      <c r="AAF145" s="90"/>
      <c r="AAG145" s="73">
        <f t="shared" si="71"/>
        <v>0</v>
      </c>
      <c r="AAH145" s="73">
        <f t="shared" si="65"/>
        <v>0</v>
      </c>
      <c r="AAI145" s="60"/>
      <c r="AAJ145" s="56"/>
      <c r="AAK145" s="254" t="str">
        <f>"* works with "&amp;S.Staff.WebMaster&amp;" to make adjustments"</f>
        <v>* works with Michele to make adjustments</v>
      </c>
      <c r="AAL145" s="90"/>
    </row>
    <row r="146" spans="1:715" s="23" customFormat="1" ht="15.75" customHeight="1" outlineLevel="1" collapsed="1">
      <c r="A146" s="171"/>
      <c r="B146" s="814" t="s">
        <v>461</v>
      </c>
      <c r="I146" s="244"/>
      <c r="J146" s="193"/>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s="52"/>
      <c r="AAA146" s="192"/>
      <c r="AAD146" s="90"/>
      <c r="AAE146" s="519">
        <f t="shared" si="44"/>
        <v>1</v>
      </c>
      <c r="AAF146" s="190" t="s">
        <v>52</v>
      </c>
      <c r="AAG146" s="72"/>
      <c r="AAH146" s="72"/>
      <c r="AAI146" s="72"/>
      <c r="AAJ146" s="75"/>
      <c r="AAK146" s="491"/>
      <c r="AAL146" s="90"/>
    </row>
    <row r="147" spans="1:715" s="23" customFormat="1" ht="15.75" customHeight="1" outlineLevel="1">
      <c r="A147" s="171"/>
      <c r="B147" s="486" t="str">
        <f>AAK147</f>
        <v>AndreaRW coordinates with Team to:</v>
      </c>
      <c r="C147" s="272"/>
      <c r="D147" s="265"/>
      <c r="E147" s="266"/>
      <c r="F147" s="267"/>
      <c r="G147" s="268"/>
      <c r="H147" s="269"/>
      <c r="I147" s="244"/>
      <c r="J147" s="193"/>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s="52"/>
      <c r="AAA147" s="192"/>
      <c r="AAD147" s="90"/>
      <c r="AAE147" s="519">
        <f t="shared" si="44"/>
        <v>1</v>
      </c>
      <c r="AAF147" s="190" t="s">
        <v>52</v>
      </c>
      <c r="AAG147" s="71"/>
      <c r="AAH147" s="71"/>
      <c r="AAI147" s="72"/>
      <c r="AAJ147" s="55"/>
      <c r="AAK147" s="92" t="str">
        <f>S.Staff.Lead&amp;" coordinates with Team to:"</f>
        <v>AndreaRW coordinates with Team to:</v>
      </c>
      <c r="AAL147" s="90"/>
    </row>
    <row r="148" spans="1:715" s="23" customFormat="1" ht="15.75" customHeight="1" outlineLevel="1">
      <c r="A148" s="171"/>
      <c r="B148" s="363" t="str">
        <f>AAK148</f>
        <v>* refine communications plan with WilliamK</v>
      </c>
      <c r="C148" s="272"/>
      <c r="D148" s="261"/>
      <c r="E148" s="263">
        <f t="shared" ref="E148" si="77">NETWORKDAYS(G148,H148,S.DDL_DEQClosed)</f>
        <v>1</v>
      </c>
      <c r="F148" s="457">
        <f ca="1">IF(YEAR(H148)&gt;2000,NETWORKDAYS(TODAY(),H148,S.DDL_DEQClosed),0)</f>
        <v>-28</v>
      </c>
      <c r="G148" s="264">
        <f t="shared" ref="G148" si="78">AAG148</f>
        <v>41577</v>
      </c>
      <c r="H148" s="264">
        <f t="shared" ref="H148" si="79">AAH148</f>
        <v>41577</v>
      </c>
      <c r="I148" s="244"/>
      <c r="J148" s="193"/>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s="52"/>
      <c r="AAA148" s="192" t="s">
        <v>0</v>
      </c>
      <c r="AAD148" s="90"/>
      <c r="AAE148" s="519">
        <f>IF(S.Planning.CommunicationsPlan="Y",1,0)</f>
        <v>0</v>
      </c>
      <c r="AAF148" s="90"/>
      <c r="AAG148" s="73">
        <f>S.Planning.AddConcepToPlanDate</f>
        <v>41577</v>
      </c>
      <c r="AAH148" s="73">
        <f t="shared" ref="AAH148" si="80">G148</f>
        <v>41577</v>
      </c>
      <c r="AAI148" s="72"/>
      <c r="AAJ148" s="75"/>
      <c r="AAK148" s="92" t="str">
        <f>"* refine communications plan with "&amp;S.Staff.OCOCommunication</f>
        <v>* refine communications plan with WilliamK</v>
      </c>
      <c r="AAL148" s="90"/>
    </row>
    <row r="149" spans="1:715" s="23" customFormat="1" ht="15.75" customHeight="1" outlineLevel="1">
      <c r="A149" s="171"/>
      <c r="B149" s="363" t="s">
        <v>458</v>
      </c>
      <c r="C149" s="272"/>
      <c r="D149" s="261"/>
      <c r="E149" s="263">
        <f t="shared" ref="E149" si="81">NETWORKDAYS(G149,H149,S.DDL_DEQClosed)</f>
        <v>1</v>
      </c>
      <c r="F149" s="457">
        <f ca="1">IF(YEAR(H149)&gt;2000,NETWORKDAYS(TODAY(),H149,S.DDL_DEQClosed),0)</f>
        <v>-28</v>
      </c>
      <c r="G149" s="264">
        <f t="shared" ref="G149" si="82">AAG149</f>
        <v>41577</v>
      </c>
      <c r="H149" s="264">
        <f t="shared" ref="H149" si="83">AAH149</f>
        <v>41577</v>
      </c>
      <c r="I149" s="244"/>
      <c r="J149" s="193"/>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s="52"/>
      <c r="AAA149" s="192" t="s">
        <v>0</v>
      </c>
      <c r="AAD149" s="90"/>
      <c r="AAE149" s="519">
        <f>IF(S.Planning.CommunicationsPlan="Y",1,0)</f>
        <v>0</v>
      </c>
      <c r="AAF149" s="90"/>
      <c r="AAG149" s="73">
        <f>S.Planning.AddConcepToPlanDate</f>
        <v>41577</v>
      </c>
      <c r="AAH149" s="73">
        <f t="shared" ref="AAH149" si="84">G149</f>
        <v>41577</v>
      </c>
      <c r="AAI149" s="72"/>
      <c r="AAJ149" s="75"/>
      <c r="AAK149" s="92" t="str">
        <f>"* reach consensus with communication plan"</f>
        <v>* reach consensus with communication plan</v>
      </c>
      <c r="AAL149" s="90"/>
    </row>
    <row r="150" spans="1:715" s="23" customFormat="1" ht="15.75" customHeight="1" outlineLevel="1">
      <c r="A150" s="171"/>
      <c r="B150" s="363" t="s">
        <v>459</v>
      </c>
      <c r="C150" s="272"/>
      <c r="D150" s="261"/>
      <c r="E150" s="263">
        <f t="shared" ref="E150:E151" si="85">NETWORKDAYS(G150,H150,S.DDL_DEQClosed)</f>
        <v>1</v>
      </c>
      <c r="F150" s="457">
        <f ca="1">IF(YEAR(H150)&gt;2000,NETWORKDAYS(TODAY(),H150,S.DDL_DEQClosed),0)</f>
        <v>-28</v>
      </c>
      <c r="G150" s="264">
        <f t="shared" ref="G150:G151" si="86">AAG150</f>
        <v>41577</v>
      </c>
      <c r="H150" s="264">
        <f t="shared" ref="H150:H151" si="87">AAH150</f>
        <v>41577</v>
      </c>
      <c r="I150" s="244"/>
      <c r="J150" s="193"/>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s="52"/>
      <c r="AAA150" s="192" t="s">
        <v>0</v>
      </c>
      <c r="AAD150" s="90"/>
      <c r="AAE150" s="519">
        <f>IF(S.Planning.MessageMap="Y",1,0)</f>
        <v>0</v>
      </c>
      <c r="AAF150" s="90"/>
      <c r="AAG150" s="73">
        <f>S.Planning.AddConcepToPlanDate</f>
        <v>41577</v>
      </c>
      <c r="AAH150" s="73">
        <f t="shared" ref="AAH150:AAH151" si="88">G150</f>
        <v>41577</v>
      </c>
      <c r="AAI150" s="72"/>
      <c r="AAJ150" s="75"/>
      <c r="AAK150" s="92" t="str">
        <f>"* reach consensus with Message Map"</f>
        <v>* reach consensus with Message Map</v>
      </c>
      <c r="AAL150" s="90"/>
    </row>
    <row r="151" spans="1:715" s="23" customFormat="1" ht="15.75" customHeight="1" outlineLevel="1">
      <c r="A151" s="171"/>
      <c r="B151" s="363" t="s">
        <v>421</v>
      </c>
      <c r="C151" s="790" t="str">
        <f>HYPERLINK("http://arcweb.sos.state.or.us/pages/rules/oars_300/oar_340/340_018.html","i")</f>
        <v>i</v>
      </c>
      <c r="D151" s="507"/>
      <c r="E151" s="494">
        <f t="shared" si="85"/>
        <v>1</v>
      </c>
      <c r="F151" s="457">
        <f t="shared" ref="F151" ca="1" si="89">IF(YEAR(H151)&gt;2000,NETWORKDAYS(TODAY(),H151,S.DDL_DEQClosed),0)</f>
        <v>-28</v>
      </c>
      <c r="G151" s="264">
        <f t="shared" si="86"/>
        <v>41577</v>
      </c>
      <c r="H151" s="264">
        <f t="shared" si="87"/>
        <v>41577</v>
      </c>
      <c r="I151" s="244"/>
      <c r="J151" s="193"/>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s="52"/>
      <c r="AAA151" s="192"/>
      <c r="AAD151" s="90"/>
      <c r="AAE151" s="519">
        <f t="shared" si="44"/>
        <v>1</v>
      </c>
      <c r="AAF151" s="90"/>
      <c r="AAG151" s="73">
        <f>G162</f>
        <v>41577</v>
      </c>
      <c r="AAH151" s="73">
        <f t="shared" si="88"/>
        <v>41577</v>
      </c>
      <c r="AAI151" s="72"/>
      <c r="AAJ151" s="55"/>
      <c r="AAK151" s="71" t="s">
        <v>0</v>
      </c>
      <c r="AAL151" s="90"/>
    </row>
    <row r="152" spans="1:715" s="23" customFormat="1" ht="15.75" customHeight="1" outlineLevel="1">
      <c r="A152" s="171"/>
      <c r="B152" s="814" t="s">
        <v>278</v>
      </c>
      <c r="C152"/>
      <c r="E152"/>
      <c r="F152"/>
      <c r="G152"/>
      <c r="H152"/>
      <c r="I152" s="244"/>
      <c r="J152" s="193"/>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s="52"/>
      <c r="AAA152" s="192"/>
      <c r="AAD152" s="90"/>
      <c r="AAE152" s="519">
        <f t="shared" si="44"/>
        <v>1</v>
      </c>
      <c r="AAF152" s="190" t="s">
        <v>52</v>
      </c>
      <c r="AAG152" s="72"/>
      <c r="AAH152" s="72"/>
      <c r="AAI152" s="72"/>
      <c r="AAJ152" s="75"/>
      <c r="AAK152" s="491"/>
      <c r="AAL152" s="90"/>
    </row>
    <row r="153" spans="1:715" s="23" customFormat="1" ht="15.75" customHeight="1" outlineLevel="1">
      <c r="A153" s="171"/>
      <c r="B153" s="486" t="str">
        <f>AAK153</f>
        <v>AndreaRW:</v>
      </c>
      <c r="C153" s="272"/>
      <c r="D153" s="265"/>
      <c r="E153" s="266"/>
      <c r="F153" s="267"/>
      <c r="G153" s="268"/>
      <c r="H153" s="269"/>
      <c r="I153" s="244"/>
      <c r="J153" s="193"/>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s="52"/>
      <c r="AAA153" s="192"/>
      <c r="AAD153" s="90"/>
      <c r="AAE153" s="519">
        <f t="shared" si="44"/>
        <v>1</v>
      </c>
      <c r="AAF153" s="190" t="s">
        <v>52</v>
      </c>
      <c r="AAG153" s="71"/>
      <c r="AAH153" s="71"/>
      <c r="AAI153" s="72"/>
      <c r="AAJ153" s="55"/>
      <c r="AAK153" s="92" t="str">
        <f>S.Staff.Lead&amp;":"</f>
        <v>AndreaRW:</v>
      </c>
      <c r="AAL153" s="90"/>
    </row>
    <row r="154" spans="1:715" s="23" customFormat="1" ht="15.75" customHeight="1" outlineLevel="1">
      <c r="A154" s="171"/>
      <c r="B154" s="363" t="s">
        <v>246</v>
      </c>
      <c r="C154" s="790" t="str">
        <f>HYPERLINK("http://arcweb.sos.state.or.us/pages/rules/oars_300/oar_340/340_tofc.html","i")</f>
        <v>i</v>
      </c>
      <c r="D154" s="507"/>
      <c r="E154"/>
      <c r="F154" s="457">
        <f t="shared" ref="F154:F166" ca="1" si="90">IF(YEAR(H154)&gt;2000,NETWORKDAYS(TODAY(),H154,S.DDL_DEQClosed),0)</f>
        <v>-28</v>
      </c>
      <c r="G154"/>
      <c r="H154" s="264">
        <f t="shared" ref="H154" si="91">AAH154</f>
        <v>41577</v>
      </c>
      <c r="I154" s="244"/>
      <c r="J154" s="193"/>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s="52"/>
      <c r="AAA154" s="192" t="s">
        <v>0</v>
      </c>
      <c r="AAD154" s="90"/>
      <c r="AAE154" s="519">
        <f t="shared" si="44"/>
        <v>1</v>
      </c>
      <c r="AAF154" s="90"/>
      <c r="AAG154" s="71"/>
      <c r="AAH154" s="73">
        <f>IF(S.Planning.DecisionToAddToPlan="A",H97)</f>
        <v>41577</v>
      </c>
      <c r="AAI154" s="72"/>
      <c r="AAJ154" s="75"/>
      <c r="AAK154" s="491"/>
      <c r="AAL154" s="90"/>
    </row>
    <row r="155" spans="1:715" ht="15.75" customHeight="1" outlineLevel="1">
      <c r="A155" s="171"/>
      <c r="B155" s="363" t="s">
        <v>308</v>
      </c>
      <c r="C155" s="256" t="s">
        <v>0</v>
      </c>
      <c r="D155"/>
      <c r="E155"/>
      <c r="F155"/>
      <c r="G155"/>
      <c r="H155"/>
      <c r="I155" s="244"/>
      <c r="J155" s="193"/>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AAA155" s="192"/>
      <c r="AAD155" s="90"/>
      <c r="AAE155" s="519">
        <f t="shared" si="44"/>
        <v>1</v>
      </c>
      <c r="AAF155" s="90"/>
      <c r="AAG155" s="71"/>
      <c r="AAH155" s="71"/>
      <c r="AAI155" s="72"/>
      <c r="AAJ155" s="62"/>
      <c r="AAK155" s="491"/>
      <c r="AAL155" s="90"/>
      <c r="AAM155"/>
    </row>
    <row r="156" spans="1:715" s="23" customFormat="1" ht="15.75" customHeight="1" outlineLevel="1">
      <c r="A156" s="171"/>
      <c r="B156" s="486" t="s">
        <v>390</v>
      </c>
      <c r="C156" s="272"/>
      <c r="D156" s="265"/>
      <c r="E156" s="266"/>
      <c r="F156" s="267"/>
      <c r="G156" s="268"/>
      <c r="H156" s="269"/>
      <c r="I156" s="244"/>
      <c r="J156" s="193"/>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s="52"/>
      <c r="AAA156" s="192"/>
      <c r="AAD156" s="90"/>
      <c r="AAE156" s="519">
        <f t="shared" si="44"/>
        <v>1</v>
      </c>
      <c r="AAF156" s="190" t="s">
        <v>52</v>
      </c>
      <c r="AAG156" s="71"/>
      <c r="AAH156" s="71"/>
      <c r="AAI156" s="72"/>
      <c r="AAJ156" s="55"/>
      <c r="AAK156" s="491"/>
      <c r="AAL156" s="90"/>
    </row>
    <row r="157" spans="1:715" s="23" customFormat="1" ht="15.75" customHeight="1" outlineLevel="1">
      <c r="A157" s="171"/>
      <c r="B157" s="439" t="s">
        <v>392</v>
      </c>
      <c r="C157" s="272"/>
      <c r="D157" s="265"/>
      <c r="E157" s="266"/>
      <c r="F157" s="267"/>
      <c r="G157" s="268"/>
      <c r="H157" s="269"/>
      <c r="I157" s="244"/>
      <c r="J157" s="193"/>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s="52"/>
      <c r="AAA157" s="192"/>
      <c r="AAD157" s="90"/>
      <c r="AAE157" s="519">
        <f t="shared" si="44"/>
        <v>1</v>
      </c>
      <c r="AAF157" s="190" t="s">
        <v>52</v>
      </c>
      <c r="AAG157" s="71"/>
      <c r="AAH157" s="71"/>
      <c r="AAI157" s="72"/>
      <c r="AAJ157" s="55"/>
      <c r="AAK157" s="491"/>
      <c r="AAL157" s="90"/>
    </row>
    <row r="158" spans="1:715" s="23" customFormat="1" ht="15.75" customHeight="1" outlineLevel="1">
      <c r="A158" s="171"/>
      <c r="B158" s="716" t="s">
        <v>391</v>
      </c>
      <c r="C158" s="272"/>
      <c r="D158" s="265"/>
      <c r="E158" s="266"/>
      <c r="F158" s="267"/>
      <c r="G158" s="268"/>
      <c r="H158" s="269"/>
      <c r="I158" s="244"/>
      <c r="J158" s="193"/>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s="52"/>
      <c r="AAA158" s="192"/>
      <c r="AAD158" s="90"/>
      <c r="AAE158" s="519">
        <f t="shared" si="44"/>
        <v>1</v>
      </c>
      <c r="AAF158" s="190" t="s">
        <v>52</v>
      </c>
      <c r="AAG158" s="71"/>
      <c r="AAH158" s="71"/>
      <c r="AAI158" s="72"/>
      <c r="AAJ158" s="55"/>
      <c r="AAK158" s="491"/>
      <c r="AAL158" s="90"/>
    </row>
    <row r="159" spans="1:715" s="23" customFormat="1" ht="15.75" customHeight="1" outlineLevel="1">
      <c r="A159" s="171"/>
      <c r="B159" s="363" t="s">
        <v>309</v>
      </c>
      <c r="C159" s="256" t="s">
        <v>0</v>
      </c>
      <c r="D159" s="259"/>
      <c r="E159" s="263">
        <f t="shared" ref="E159:E163" si="92">NETWORKDAYS(G159,H159,S.DDL_DEQClosed)</f>
        <v>1</v>
      </c>
      <c r="F159" s="457">
        <f t="shared" ca="1" si="90"/>
        <v>-28</v>
      </c>
      <c r="G159" s="264">
        <f t="shared" ref="G159" si="93">AAG159</f>
        <v>41577</v>
      </c>
      <c r="H159" s="264">
        <f t="shared" ref="H159" si="94">AAH159</f>
        <v>41577</v>
      </c>
      <c r="I159" s="244"/>
      <c r="J159" s="193"/>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s="52"/>
      <c r="AAA159" s="192"/>
      <c r="AAD159" s="90"/>
      <c r="AAE159" s="519">
        <f t="shared" si="44"/>
        <v>1</v>
      </c>
      <c r="AAF159" s="90"/>
      <c r="AAG159" s="73">
        <f>H154</f>
        <v>41577</v>
      </c>
      <c r="AAH159" s="73">
        <f t="shared" si="56"/>
        <v>41577</v>
      </c>
      <c r="AAI159" s="72"/>
      <c r="AAJ159" s="62"/>
      <c r="AAK159" s="491"/>
      <c r="AAL159" s="90"/>
    </row>
    <row r="160" spans="1:715" s="23" customFormat="1" ht="15.75" customHeight="1" outlineLevel="1">
      <c r="A160" s="171"/>
      <c r="B160" s="486" t="s">
        <v>420</v>
      </c>
      <c r="C160" s="272"/>
      <c r="D160" s="265"/>
      <c r="E160" s="266"/>
      <c r="F160" s="267"/>
      <c r="G160" s="268"/>
      <c r="H160" s="269"/>
      <c r="I160" s="244"/>
      <c r="J160" s="193"/>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s="52"/>
      <c r="AAA160" s="192"/>
      <c r="AAD160" s="90"/>
      <c r="AAE160" s="519">
        <f t="shared" si="44"/>
        <v>1</v>
      </c>
      <c r="AAF160" s="190" t="s">
        <v>52</v>
      </c>
      <c r="AAG160" s="71"/>
      <c r="AAH160" s="71"/>
      <c r="AAI160" s="72"/>
      <c r="AAJ160" s="55"/>
      <c r="AAK160" s="491"/>
      <c r="AAL160" s="90"/>
    </row>
    <row r="161" spans="1:715" s="23" customFormat="1" ht="15.75" customHeight="1" outlineLevel="1">
      <c r="A161" s="171"/>
      <c r="B161" s="363" t="str">
        <f t="shared" ref="B161:B166" si="95">AAK161</f>
        <v>* requests Maggie provide numbers for new rules/divisions</v>
      </c>
      <c r="C161" s="256" t="s">
        <v>0</v>
      </c>
      <c r="D161" s="259"/>
      <c r="E161" s="263">
        <f t="shared" si="92"/>
        <v>1</v>
      </c>
      <c r="F161" s="457">
        <f t="shared" ca="1" si="90"/>
        <v>-28</v>
      </c>
      <c r="G161" s="264">
        <f t="shared" ref="G161" si="96">AAG161</f>
        <v>41577</v>
      </c>
      <c r="H161" s="264">
        <f t="shared" ref="H161" si="97">AAH161</f>
        <v>41577</v>
      </c>
      <c r="I161" s="244"/>
      <c r="J161" s="193"/>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s="52"/>
      <c r="AAA161" s="192"/>
      <c r="AAD161" s="90"/>
      <c r="AAE161" s="519">
        <f t="shared" si="44"/>
        <v>1</v>
      </c>
      <c r="AAF161" s="90"/>
      <c r="AAG161" s="73">
        <f>G159</f>
        <v>41577</v>
      </c>
      <c r="AAH161" s="73">
        <f t="shared" si="56"/>
        <v>41577</v>
      </c>
      <c r="AAI161" s="72"/>
      <c r="AAJ161" s="62"/>
      <c r="AAK161" s="92" t="str">
        <f>"* requests "&amp;S.Staff.AgencyRulesCoordinator&amp;" provide numbers for new rules/divisions"</f>
        <v>* requests Maggie provide numbers for new rules/divisions</v>
      </c>
      <c r="AAL161" s="90"/>
    </row>
    <row r="162" spans="1:715" s="23" customFormat="1" ht="15.75" customHeight="1" outlineLevel="1">
      <c r="A162" s="171"/>
      <c r="B162" s="291" t="str">
        <f t="shared" si="95"/>
        <v>Maggie obtains, verifies, provides previously unused numbers</v>
      </c>
      <c r="C162" s="256" t="s">
        <v>0</v>
      </c>
      <c r="D162" s="259"/>
      <c r="E162" s="263">
        <f t="shared" si="92"/>
        <v>1</v>
      </c>
      <c r="F162" s="457">
        <f t="shared" ca="1" si="90"/>
        <v>-28</v>
      </c>
      <c r="G162" s="264">
        <f t="shared" ref="G162:G163" si="98">AAG162</f>
        <v>41577</v>
      </c>
      <c r="H162" s="264">
        <f t="shared" ref="H162:H163" si="99">AAH162</f>
        <v>41577</v>
      </c>
      <c r="I162" s="244"/>
      <c r="J162" s="193"/>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s="52"/>
      <c r="AAA162" s="192"/>
      <c r="AAD162" s="90"/>
      <c r="AAE162" s="519">
        <f t="shared" si="44"/>
        <v>1</v>
      </c>
      <c r="AAF162" s="90"/>
      <c r="AAG162" s="73">
        <f t="shared" ref="AAG162:AAG163" si="100">G161</f>
        <v>41577</v>
      </c>
      <c r="AAH162" s="73">
        <f t="shared" si="56"/>
        <v>41577</v>
      </c>
      <c r="AAI162" s="72"/>
      <c r="AAJ162" s="62"/>
      <c r="AAK162" s="92" t="str">
        <f>S.Staff.AgencyRulesCoordinator&amp;" obtains, verifies, provides previously unused numbers"</f>
        <v>Maggie obtains, verifies, provides previously unused numbers</v>
      </c>
      <c r="AAL162" s="90"/>
    </row>
    <row r="163" spans="1:715" s="23" customFormat="1" ht="15.75" customHeight="1" outlineLevel="1">
      <c r="A163" s="171"/>
      <c r="B163" s="291" t="str">
        <f t="shared" si="95"/>
        <v xml:space="preserve">AndreaDRC identifies rules that may be involved in other rulemakings </v>
      </c>
      <c r="C163" s="256" t="s">
        <v>0</v>
      </c>
      <c r="D163" s="259"/>
      <c r="E163" s="263">
        <f t="shared" si="92"/>
        <v>1</v>
      </c>
      <c r="F163" s="457">
        <f t="shared" ca="1" si="90"/>
        <v>-28</v>
      </c>
      <c r="G163" s="264">
        <f t="shared" si="98"/>
        <v>41577</v>
      </c>
      <c r="H163" s="264">
        <f t="shared" si="99"/>
        <v>41577</v>
      </c>
      <c r="I163" s="244"/>
      <c r="J163" s="193"/>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s="52"/>
      <c r="AAA163" s="192"/>
      <c r="AAD163" s="90"/>
      <c r="AAE163" s="519">
        <f t="shared" si="44"/>
        <v>1</v>
      </c>
      <c r="AAF163" s="90"/>
      <c r="AAG163" s="73">
        <f t="shared" si="100"/>
        <v>41577</v>
      </c>
      <c r="AAH163" s="73">
        <f t="shared" si="56"/>
        <v>41577</v>
      </c>
      <c r="AAI163" s="72"/>
      <c r="AAJ163" s="62"/>
      <c r="AAK163" s="92" t="str">
        <f>S.Staff.DivisionRulesCoordinator&amp;" identifies rules that may be involved in other rulemakings "</f>
        <v xml:space="preserve">AndreaDRC identifies rules that may be involved in other rulemakings </v>
      </c>
      <c r="AAL163" s="90"/>
    </row>
    <row r="164" spans="1:715" s="23" customFormat="1" ht="15.75" customHeight="1" outlineLevel="1">
      <c r="A164" s="171"/>
      <c r="B164" s="486" t="str">
        <f>AAK164</f>
        <v>AndreaRW:</v>
      </c>
      <c r="C164" s="272"/>
      <c r="D164" s="265"/>
      <c r="E164" s="266"/>
      <c r="F164" s="267"/>
      <c r="G164" s="268"/>
      <c r="H164" s="269"/>
      <c r="I164" s="244"/>
      <c r="J164" s="193"/>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s="52"/>
      <c r="AAA164" s="192"/>
      <c r="AAD164" s="90"/>
      <c r="AAE164" s="519">
        <f t="shared" si="44"/>
        <v>1</v>
      </c>
      <c r="AAF164" s="190" t="s">
        <v>52</v>
      </c>
      <c r="AAG164" s="71"/>
      <c r="AAH164" s="71"/>
      <c r="AAI164" s="72"/>
      <c r="AAJ164" s="55"/>
      <c r="AAK164" s="92" t="str">
        <f>S.Staff.Lead&amp;":"</f>
        <v>AndreaRW:</v>
      </c>
      <c r="AAL164" s="90"/>
    </row>
    <row r="165" spans="1:715" s="23" customFormat="1" ht="15.75" customHeight="1" outlineLevel="1">
      <c r="A165" s="171"/>
      <c r="B165" s="363" t="str">
        <f t="shared" si="95"/>
        <v>* coordinates with AndreaSIP to identify SIP rules</v>
      </c>
      <c r="C165" s="257"/>
      <c r="D165" s="259"/>
      <c r="E165" s="494">
        <f t="shared" ref="E165" si="101">NETWORKDAYS(G165,H165,S.DDL_DEQClosed)</f>
        <v>1</v>
      </c>
      <c r="F165" s="457">
        <f t="shared" ca="1" si="90"/>
        <v>-28</v>
      </c>
      <c r="G165" s="495">
        <f>AAG165</f>
        <v>41577</v>
      </c>
      <c r="H165" s="495">
        <f>AAH165</f>
        <v>41577</v>
      </c>
      <c r="I165" s="244"/>
      <c r="J165" s="194"/>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s="52"/>
      <c r="AAA165" s="192" t="s">
        <v>0</v>
      </c>
      <c r="AAB165"/>
      <c r="AAC165"/>
      <c r="AAD165" s="90"/>
      <c r="AAE165" s="519">
        <f>IF(AND(S.Planning.DecisionToAddToPlan="A",S.SIP.Involved="Y"),1,0)</f>
        <v>1</v>
      </c>
      <c r="AAF165" s="90" t="s">
        <v>0</v>
      </c>
      <c r="AAG165" s="73">
        <f>IF(S.SIP.Involved="Y",S.Planning.AddConcepToPlanDate,)</f>
        <v>41577</v>
      </c>
      <c r="AAH165" s="73">
        <f t="shared" ref="AAH165" si="102">G165</f>
        <v>41577</v>
      </c>
      <c r="AAI165" s="72"/>
      <c r="AAJ165" s="72"/>
      <c r="AAK165" s="92" t="str">
        <f>"* coordinates with "&amp;S.Staff.SIPCo&amp;" to identify SIP rules"</f>
        <v>* coordinates with AndreaSIP to identify SIP rules</v>
      </c>
      <c r="AAL165" s="90"/>
    </row>
    <row r="166" spans="1:715" s="23" customFormat="1" ht="15.75" customHeight="1" outlineLevel="1">
      <c r="A166" s="171"/>
      <c r="B166" s="363" t="str">
        <f t="shared" si="95"/>
        <v>* gathers all planning emails for the Rule Record and saves as:</v>
      </c>
      <c r="C166" s="789" t="str">
        <f>HYPERLINK("\\deqhq1\Rule_Development\Currrent Plan","i")</f>
        <v>i</v>
      </c>
      <c r="D166" s="259"/>
      <c r="E166" s="494">
        <f t="shared" ref="E166" si="103">NETWORKDAYS(G166,H166,S.DDL_DEQClosed)</f>
        <v>1</v>
      </c>
      <c r="F166" s="457">
        <f t="shared" ca="1" si="90"/>
        <v>-31</v>
      </c>
      <c r="G166" s="264">
        <f>AAG166</f>
        <v>41572</v>
      </c>
      <c r="H166" s="264">
        <f t="shared" ref="H166" si="104">AAH166</f>
        <v>41572</v>
      </c>
      <c r="I166" s="244"/>
      <c r="J166" s="194"/>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s="52"/>
      <c r="AAA166" s="192"/>
      <c r="AAD166" s="90"/>
      <c r="AAE166" s="519">
        <f>IF(S.Planning.DecisionToAddToPlan="A",1,0)</f>
        <v>1</v>
      </c>
      <c r="AAF166" s="90"/>
      <c r="AAG166" s="73">
        <f>S.Planning.BANNER.Begin</f>
        <v>41572</v>
      </c>
      <c r="AAH166" s="73">
        <f>G166</f>
        <v>41572</v>
      </c>
      <c r="AAI166" s="72"/>
      <c r="AAJ166" s="72"/>
      <c r="AAK166" s="92" t="str">
        <f>"* gathers all planning emails for the Rule Record and saves as:"</f>
        <v>* gathers all planning emails for the Rule Record and saves as:</v>
      </c>
      <c r="AAL166" s="90"/>
    </row>
    <row r="167" spans="1:715" s="23" customFormat="1" ht="15.75" customHeight="1" outlineLevel="1">
      <c r="A167" s="171"/>
      <c r="B167" s="372" t="s">
        <v>170</v>
      </c>
      <c r="C167" s="111"/>
      <c r="D167" s="302"/>
      <c r="E167" s="161"/>
      <c r="F167" s="161"/>
      <c r="G167" s="157"/>
      <c r="H167" s="157"/>
      <c r="I167" s="244"/>
      <c r="J167" s="194"/>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s="52"/>
      <c r="AAA167" s="192"/>
      <c r="AAD167" s="90"/>
      <c r="AAE167" s="519">
        <f>IF(S.Planning.DecisionToAddToPlan="A",1,0)</f>
        <v>1</v>
      </c>
      <c r="AAF167" s="190" t="s">
        <v>52</v>
      </c>
      <c r="AAG167" s="71"/>
      <c r="AAH167" s="71"/>
      <c r="AAI167" s="71"/>
      <c r="AAJ167" s="56"/>
      <c r="AAK167" s="71" t="s">
        <v>0</v>
      </c>
      <c r="AAL167" s="90"/>
    </row>
    <row r="168" spans="1:715" ht="6" customHeight="1">
      <c r="A168" s="171"/>
      <c r="B168" s="159"/>
      <c r="C168" s="105"/>
      <c r="D168" s="236"/>
      <c r="E168" s="106"/>
      <c r="F168" s="106"/>
      <c r="G168" s="105"/>
      <c r="H168" s="105"/>
      <c r="I168" s="244"/>
      <c r="J168" s="218"/>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AAA168" s="192"/>
      <c r="AAD168" s="90"/>
      <c r="AAE168" s="519" t="s">
        <v>21</v>
      </c>
      <c r="AAF168" s="190" t="s">
        <v>52</v>
      </c>
      <c r="AAG168" s="71"/>
      <c r="AAH168" s="71"/>
      <c r="AAI168" s="72"/>
      <c r="AAJ168" s="55"/>
      <c r="AAK168" s="491"/>
      <c r="AAL168" s="90"/>
      <c r="AAM168"/>
    </row>
    <row r="169" spans="1:715" s="23" customFormat="1" ht="18" customHeight="1">
      <c r="A169" s="171"/>
      <c r="B169" s="864" t="str">
        <f>AAK16</f>
        <v>Advisory Committee - not involved</v>
      </c>
      <c r="C169" s="864"/>
      <c r="D169" s="864"/>
      <c r="E169" s="864"/>
      <c r="F169" s="864"/>
      <c r="G169" s="864"/>
      <c r="H169" s="99" t="s">
        <v>0</v>
      </c>
      <c r="I169" s="244"/>
      <c r="J169" s="21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s="52"/>
      <c r="AAA169" s="192"/>
      <c r="AAB169"/>
      <c r="AAC169"/>
      <c r="AAD169" s="90"/>
      <c r="AAE169" s="519" t="s">
        <v>22</v>
      </c>
      <c r="AAF169" s="190" t="s">
        <v>52</v>
      </c>
      <c r="AAG169" s="90"/>
      <c r="AAH169" s="90"/>
      <c r="AAI169" s="72"/>
      <c r="AAJ169" s="81"/>
      <c r="AAK169" s="491"/>
      <c r="AAL169" s="90"/>
    </row>
    <row r="170" spans="1:715" s="23" customFormat="1" ht="14.25" hidden="1" customHeight="1" outlineLevel="1">
      <c r="A170" s="171"/>
      <c r="B170" s="141" t="s">
        <v>0</v>
      </c>
      <c r="C170" s="100" t="s">
        <v>0</v>
      </c>
      <c r="D170" s="237"/>
      <c r="E170" s="865" t="s">
        <v>225</v>
      </c>
      <c r="F170" s="865"/>
      <c r="G170" s="865" t="s">
        <v>12</v>
      </c>
      <c r="H170" s="865"/>
      <c r="I170" s="244"/>
      <c r="J170" s="195"/>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s="52"/>
      <c r="AAA170" s="192"/>
      <c r="AAD170" s="90"/>
      <c r="AAE170" s="519" t="s">
        <v>63</v>
      </c>
      <c r="AAF170" s="190" t="s">
        <v>52</v>
      </c>
      <c r="AAG170" s="90"/>
      <c r="AAH170" s="90"/>
      <c r="AAI170" s="72"/>
      <c r="AAJ170" s="81"/>
      <c r="AAK170" s="71"/>
      <c r="AAL170" s="90"/>
    </row>
    <row r="171" spans="1:715" s="552" customFormat="1" ht="24" hidden="1" customHeight="1" outlineLevel="1">
      <c r="A171" s="545"/>
      <c r="B171" s="686" t="str">
        <f>S.General.RulemakingTitle</f>
        <v>Incorporate Lane Regional Air Protection Agency Rules into State Implementation Plan</v>
      </c>
      <c r="C171" s="547" t="s">
        <v>0</v>
      </c>
      <c r="D171" s="547"/>
      <c r="E171" s="559" t="s">
        <v>228</v>
      </c>
      <c r="F171" s="560" t="s">
        <v>226</v>
      </c>
      <c r="G171" s="548" t="s">
        <v>61</v>
      </c>
      <c r="H171" s="548" t="s">
        <v>227</v>
      </c>
      <c r="I171" s="549"/>
      <c r="J171" s="550"/>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s="52"/>
      <c r="AAA171" s="770"/>
      <c r="AAD171" s="553"/>
      <c r="AAE171" s="554" t="s">
        <v>63</v>
      </c>
      <c r="AAF171" s="555" t="s">
        <v>52</v>
      </c>
      <c r="AAG171" s="553"/>
      <c r="AAH171" s="553"/>
      <c r="AAI171" s="556"/>
      <c r="AAJ171" s="557"/>
      <c r="AAK171" s="558"/>
      <c r="AAL171" s="553"/>
    </row>
    <row r="172" spans="1:715" ht="18" hidden="1" customHeight="1" outlineLevel="1">
      <c r="A172" s="171"/>
      <c r="B172" s="562" t="s">
        <v>12</v>
      </c>
      <c r="C172" s="130" t="s">
        <v>0</v>
      </c>
      <c r="D172" s="238"/>
      <c r="E172" s="130"/>
      <c r="F172" s="277">
        <f>NETWORKDAYS(G172,S.AC.BANNER.End,S.DDL_DEQClosed)</f>
        <v>0</v>
      </c>
      <c r="G172" s="276">
        <f>S.AC.BANNER.Begin</f>
        <v>0</v>
      </c>
      <c r="H172" s="276">
        <f>S.AC.BANNER.End</f>
        <v>0</v>
      </c>
      <c r="I172" s="244"/>
      <c r="J172" s="216"/>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AAA172" s="192"/>
      <c r="AAD172" s="90"/>
      <c r="AAE172" s="519" t="s">
        <v>63</v>
      </c>
      <c r="AAF172" s="190" t="s">
        <v>52</v>
      </c>
      <c r="AAG172" s="73">
        <f>S.AC.BANNER.Begin</f>
        <v>0</v>
      </c>
      <c r="AAH172" s="73">
        <f>S.AC.BANNER.End</f>
        <v>0</v>
      </c>
      <c r="AAI172" s="60"/>
      <c r="AAJ172" s="74"/>
      <c r="AAK172" s="491"/>
      <c r="AAL172" s="90"/>
      <c r="AAM172"/>
    </row>
    <row r="173" spans="1:715" ht="6" hidden="1" customHeight="1" outlineLevel="1">
      <c r="A173" s="171"/>
      <c r="B173" s="120"/>
      <c r="C173" s="112"/>
      <c r="D173" s="230"/>
      <c r="E173" s="113"/>
      <c r="F173" s="113"/>
      <c r="G173" s="112"/>
      <c r="H173" s="112"/>
      <c r="I173" s="244"/>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AAA173" s="192"/>
      <c r="AAD173" s="90"/>
      <c r="AAE173" s="520" t="s">
        <v>17</v>
      </c>
      <c r="AAF173" s="190" t="s">
        <v>52</v>
      </c>
      <c r="AAG173" s="60"/>
      <c r="AAH173" s="60"/>
      <c r="AAI173" s="60"/>
      <c r="AAJ173" s="55"/>
      <c r="AAK173" s="491"/>
      <c r="AAL173" s="90"/>
      <c r="AAM173"/>
    </row>
    <row r="174" spans="1:715" s="23" customFormat="1" ht="12.75" hidden="1" customHeight="1" outlineLevel="1">
      <c r="A174" s="171"/>
      <c r="B174" s="798" t="s">
        <v>514</v>
      </c>
      <c r="C174" s="797" t="str">
        <f>HYPERLINK("","i")</f>
        <v>i</v>
      </c>
      <c r="D174" s="231"/>
      <c r="E174" s="97"/>
      <c r="F174" s="97"/>
      <c r="G174" s="96"/>
      <c r="H174" s="96"/>
      <c r="I174" s="244"/>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ZZ174" s="52"/>
      <c r="AAA174" s="192"/>
      <c r="AAD174" s="90"/>
      <c r="AAE174" s="520" t="s">
        <v>21</v>
      </c>
      <c r="AAF174" s="190" t="s">
        <v>52</v>
      </c>
      <c r="AAG174" s="60"/>
      <c r="AAH174" s="60"/>
      <c r="AAI174" s="82"/>
      <c r="AAJ174" s="82"/>
      <c r="AAK174" s="40"/>
      <c r="AAL174" s="90"/>
    </row>
    <row r="175" spans="1:715" s="23" customFormat="1" ht="15.75" hidden="1" customHeight="1" outlineLevel="1">
      <c r="A175" s="171"/>
      <c r="B175" s="437" t="str">
        <f>AAK175</f>
        <v xml:space="preserve">During team meeting, AndreaDRC leads discussion on:    (future iLearn) </v>
      </c>
      <c r="C175" s="375" t="s">
        <v>0</v>
      </c>
      <c r="D175" s="442"/>
      <c r="E175" s="443"/>
      <c r="F175" s="444"/>
      <c r="G175" s="443"/>
      <c r="H175" s="443"/>
      <c r="I175" s="244"/>
      <c r="J175" s="193"/>
      <c r="K175" s="193"/>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s="52"/>
      <c r="AAA175" s="192"/>
      <c r="AAD175" s="90"/>
      <c r="AAE175" s="520">
        <f t="shared" ref="AAE175:AAE194" si="105">IF(S.AC.CommitteeInvolved="Y",1,0)</f>
        <v>0</v>
      </c>
      <c r="AAF175" s="190" t="s">
        <v>52</v>
      </c>
      <c r="AAG175" s="39"/>
      <c r="AAH175" s="39" t="s">
        <v>0</v>
      </c>
      <c r="AAI175" s="72"/>
      <c r="AAJ175" s="72"/>
      <c r="AAK175" s="92" t="str">
        <f>"During team meeting, "&amp;S.Staff.DivisionRulesCoordinator&amp;" leads discussion on:    (future iLearn) "</f>
        <v xml:space="preserve">During team meeting, AndreaDRC leads discussion on:    (future iLearn) </v>
      </c>
      <c r="AAL175" s="90"/>
    </row>
    <row r="176" spans="1:715" s="23" customFormat="1" ht="15.75" hidden="1" customHeight="1" outlineLevel="1">
      <c r="A176" s="171"/>
      <c r="B176" s="635" t="s">
        <v>493</v>
      </c>
      <c r="C176" s="789" t="str">
        <f>HYPERLINK("\\deqhq1\Rule_Resources\i\2-AdvisoryCommittee.pdf","i")</f>
        <v>i</v>
      </c>
      <c r="D176" s="508"/>
      <c r="E176" s="445">
        <f t="shared" ref="E176" si="106">NETWORKDAYS(G176,H176,S.DDL_DEQClosed)</f>
        <v>0</v>
      </c>
      <c r="F176" s="457">
        <f t="shared" ref="F176:F184" ca="1" si="107">IF(YEAR(H176)&gt;2000,NETWORKDAYS(TODAY(),H176,S.DDL_DEQClosed),0)</f>
        <v>0</v>
      </c>
      <c r="G176" s="446">
        <f t="shared" ref="G176:G184" si="108">AAG176</f>
        <v>0</v>
      </c>
      <c r="H176" s="347">
        <f t="shared" ref="H176:H184" si="109">AAH176</f>
        <v>0</v>
      </c>
      <c r="I176" s="244" t="s">
        <v>0</v>
      </c>
      <c r="J176" s="193"/>
      <c r="K176" s="193"/>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s="52"/>
      <c r="AAA176" s="192"/>
      <c r="AAD176" s="90"/>
      <c r="AAE176" s="520">
        <f t="shared" si="105"/>
        <v>0</v>
      </c>
      <c r="AAF176" s="90" t="s">
        <v>0</v>
      </c>
      <c r="AAG176" s="73">
        <f t="shared" ref="AAG176:AAG184" si="110">S.AC.BANNER.Begin</f>
        <v>0</v>
      </c>
      <c r="AAH176" s="73">
        <f t="shared" ref="AAH176:AAH183" si="111">G176</f>
        <v>0</v>
      </c>
      <c r="AAI176" s="72"/>
      <c r="AAJ176" s="72"/>
      <c r="AAK176" s="491"/>
      <c r="AAL176" s="90"/>
    </row>
    <row r="177" spans="1:715" ht="15.75" hidden="1" customHeight="1" outlineLevel="1">
      <c r="A177" s="171"/>
      <c r="B177" s="638" t="str">
        <f>AAK177</f>
        <v>* Public Involvement Resources including when to engage WilliamK</v>
      </c>
      <c r="C177" s="790" t="str">
        <f>HYPERLINK("http://deq05/intranet/communication/publicinvolvement/index.htm","i")</f>
        <v>i</v>
      </c>
      <c r="D177" s="510"/>
      <c r="E177" s="445">
        <f t="shared" ref="E177:E195" si="112">NETWORKDAYS(G177,H177,S.DDL_DEQClosed)</f>
        <v>0</v>
      </c>
      <c r="F177" s="457">
        <f t="shared" ca="1" si="107"/>
        <v>0</v>
      </c>
      <c r="G177" s="446">
        <f t="shared" si="108"/>
        <v>0</v>
      </c>
      <c r="H177" s="347">
        <f t="shared" si="109"/>
        <v>0</v>
      </c>
      <c r="I177" s="244" t="s">
        <v>0</v>
      </c>
      <c r="J177" s="193"/>
      <c r="K177" s="193"/>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AAA177" s="192" t="s">
        <v>0</v>
      </c>
      <c r="AAD177" s="90"/>
      <c r="AAE177" s="520">
        <f t="shared" si="105"/>
        <v>0</v>
      </c>
      <c r="AAF177" s="90" t="s">
        <v>0</v>
      </c>
      <c r="AAG177" s="73">
        <f t="shared" si="110"/>
        <v>0</v>
      </c>
      <c r="AAH177" s="73">
        <f t="shared" si="111"/>
        <v>0</v>
      </c>
      <c r="AAI177" s="72"/>
      <c r="AAJ177" s="72"/>
      <c r="AAK177" s="92" t="str">
        <f>"* Public Involvement Resources including when to engage "&amp;S.Staff.OCOCommunication</f>
        <v>* Public Involvement Resources including when to engage WilliamK</v>
      </c>
      <c r="AAL177" s="90"/>
      <c r="AAM177"/>
    </row>
    <row r="178" spans="1:715" s="23" customFormat="1" ht="15.75" hidden="1" customHeight="1" outlineLevel="1">
      <c r="A178" s="171"/>
      <c r="B178" s="636" t="s">
        <v>149</v>
      </c>
      <c r="C178" s="448"/>
      <c r="D178" s="447"/>
      <c r="E178" s="449">
        <f t="shared" ref="E178" si="113">NETWORKDAYS(G178,H178,S.DDL_DEQClosed)</f>
        <v>0</v>
      </c>
      <c r="F178" s="457">
        <f t="shared" ca="1" si="107"/>
        <v>0</v>
      </c>
      <c r="G178" s="446">
        <f t="shared" si="108"/>
        <v>0</v>
      </c>
      <c r="H178" s="347">
        <f t="shared" si="109"/>
        <v>0</v>
      </c>
      <c r="I178" s="244"/>
      <c r="J178" s="193"/>
      <c r="K178" s="193"/>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s="52"/>
      <c r="AAA178" s="192"/>
      <c r="AAD178" s="90"/>
      <c r="AAE178" s="520">
        <f t="shared" si="105"/>
        <v>0</v>
      </c>
      <c r="AAF178" s="90"/>
      <c r="AAG178" s="73">
        <f t="shared" si="110"/>
        <v>0</v>
      </c>
      <c r="AAH178" s="73">
        <f t="shared" si="111"/>
        <v>0</v>
      </c>
      <c r="AAI178" s="60"/>
      <c r="AAJ178" s="55"/>
      <c r="AAK178" s="491"/>
      <c r="AAL178" s="90"/>
    </row>
    <row r="179" spans="1:715" ht="15.75" hidden="1" customHeight="1" outlineLevel="1" thickBot="1">
      <c r="A179" s="171"/>
      <c r="B179" s="636" t="s">
        <v>148</v>
      </c>
      <c r="C179" s="790" t="str">
        <f>HYPERLINK("http://www.doj.state.or.us/pdf/public_records_and_meetings_manual.pdf","i")</f>
        <v>i</v>
      </c>
      <c r="D179" s="510"/>
      <c r="E179" s="432"/>
      <c r="F179" s="457">
        <f t="shared" ca="1" si="107"/>
        <v>0</v>
      </c>
      <c r="G179" s="446">
        <f t="shared" si="108"/>
        <v>0</v>
      </c>
      <c r="H179" s="347">
        <f t="shared" si="109"/>
        <v>0</v>
      </c>
      <c r="I179" s="244"/>
      <c r="J179" s="193"/>
      <c r="K179" s="193"/>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AAA179" s="192"/>
      <c r="AAD179" s="90"/>
      <c r="AAE179" s="520">
        <f t="shared" si="105"/>
        <v>0</v>
      </c>
      <c r="AAF179" s="90" t="s">
        <v>0</v>
      </c>
      <c r="AAG179" s="73">
        <f t="shared" si="110"/>
        <v>0</v>
      </c>
      <c r="AAH179" s="73">
        <f t="shared" si="111"/>
        <v>0</v>
      </c>
      <c r="AAI179" s="60"/>
      <c r="AAJ179" s="55"/>
      <c r="AAK179" s="39" t="s">
        <v>317</v>
      </c>
      <c r="AAL179" s="90"/>
      <c r="AAM179"/>
    </row>
    <row r="180" spans="1:715" ht="15.75" hidden="1" customHeight="1" outlineLevel="1" thickBot="1">
      <c r="A180" s="171"/>
      <c r="B180" s="636" t="s">
        <v>316</v>
      </c>
      <c r="C180" s="790" t="str">
        <f>HYPERLINK("http://www.oregonlaws.org/ors/192.630","i")</f>
        <v>i</v>
      </c>
      <c r="D180" s="510"/>
      <c r="E180" s="432">
        <f t="shared" ref="E180" si="114">NETWORKDAYS(G180,H180,S.DDL_DEQClosed)</f>
        <v>0</v>
      </c>
      <c r="F180" s="457">
        <f t="shared" ca="1" si="107"/>
        <v>0</v>
      </c>
      <c r="G180" s="446">
        <f t="shared" si="108"/>
        <v>0</v>
      </c>
      <c r="H180" s="347">
        <f t="shared" si="109"/>
        <v>0</v>
      </c>
      <c r="I180" s="244"/>
      <c r="J180" s="193"/>
      <c r="K180" s="193"/>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AAA180" s="192"/>
      <c r="AAD180" s="90"/>
      <c r="AAE180" s="520">
        <f t="shared" si="105"/>
        <v>0</v>
      </c>
      <c r="AAF180" s="90" t="s">
        <v>0</v>
      </c>
      <c r="AAG180" s="73">
        <f t="shared" si="110"/>
        <v>0</v>
      </c>
      <c r="AAH180" s="73">
        <f t="shared" si="111"/>
        <v>0</v>
      </c>
      <c r="AAI180" s="60"/>
      <c r="AAJ180" s="55"/>
      <c r="AAK180" s="660" t="s">
        <v>310</v>
      </c>
      <c r="AAL180" s="509" t="s">
        <v>53</v>
      </c>
      <c r="AAM180"/>
    </row>
    <row r="181" spans="1:715" s="23" customFormat="1" ht="15.75" hidden="1" customHeight="1" outlineLevel="1">
      <c r="A181" s="171"/>
      <c r="B181" s="636" t="s">
        <v>423</v>
      </c>
      <c r="C181" s="448"/>
      <c r="D181" s="447"/>
      <c r="E181" s="449">
        <f t="shared" ref="E181" si="115">NETWORKDAYS(G181,H181,S.DDL_DEQClosed)</f>
        <v>0</v>
      </c>
      <c r="F181" s="659">
        <f t="shared" ca="1" si="107"/>
        <v>0</v>
      </c>
      <c r="G181" s="446">
        <f t="shared" si="108"/>
        <v>0</v>
      </c>
      <c r="H181" s="347">
        <f t="shared" si="109"/>
        <v>0</v>
      </c>
      <c r="I181" s="244"/>
      <c r="J181" s="193"/>
      <c r="K181" s="193"/>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s="52"/>
      <c r="AAA181" s="192"/>
      <c r="AAD181" s="90"/>
      <c r="AAE181" s="520">
        <f t="shared" si="105"/>
        <v>0</v>
      </c>
      <c r="AAF181" s="90"/>
      <c r="AAG181" s="73">
        <f t="shared" si="110"/>
        <v>0</v>
      </c>
      <c r="AAH181" s="73">
        <f t="shared" si="111"/>
        <v>0</v>
      </c>
      <c r="AAI181" s="60"/>
      <c r="AAJ181" s="55"/>
      <c r="AAK181" s="491"/>
      <c r="AAL181" s="90"/>
    </row>
    <row r="182" spans="1:715" s="23" customFormat="1" ht="15.75" hidden="1" customHeight="1" outlineLevel="1">
      <c r="A182" s="171"/>
      <c r="B182" s="636" t="s">
        <v>422</v>
      </c>
      <c r="C182" s="448"/>
      <c r="D182" s="447"/>
      <c r="E182" s="449">
        <f t="shared" ref="E182" si="116">NETWORKDAYS(G182,H182,S.DDL_DEQClosed)</f>
        <v>0</v>
      </c>
      <c r="F182" s="659">
        <f t="shared" ref="F182" ca="1" si="117">IF(YEAR(H182)&gt;2000,NETWORKDAYS(TODAY(),H182,S.DDL_DEQClosed),0)</f>
        <v>0</v>
      </c>
      <c r="G182" s="446">
        <f t="shared" ref="G182" si="118">AAG182</f>
        <v>0</v>
      </c>
      <c r="H182" s="347">
        <f t="shared" ref="H182" si="119">AAH182</f>
        <v>0</v>
      </c>
      <c r="I182" s="244"/>
      <c r="J182" s="193"/>
      <c r="K182" s="193"/>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s="52"/>
      <c r="AAA182" s="192"/>
      <c r="AAD182" s="90"/>
      <c r="AAE182" s="520">
        <f t="shared" si="105"/>
        <v>0</v>
      </c>
      <c r="AAF182" s="90"/>
      <c r="AAG182" s="73">
        <f t="shared" si="110"/>
        <v>0</v>
      </c>
      <c r="AAH182" s="73">
        <f t="shared" ref="AAH182" si="120">G182</f>
        <v>0</v>
      </c>
      <c r="AAI182" s="60"/>
      <c r="AAJ182" s="55"/>
      <c r="AAK182" s="491"/>
      <c r="AAL182" s="90"/>
    </row>
    <row r="183" spans="1:715" s="23" customFormat="1" ht="15.75" hidden="1" customHeight="1" outlineLevel="1">
      <c r="A183" s="171"/>
      <c r="B183" s="636" t="s">
        <v>150</v>
      </c>
      <c r="C183" s="448"/>
      <c r="D183" s="447"/>
      <c r="E183" s="449">
        <f t="shared" ref="E183:E184" si="121">NETWORKDAYS(G183,H183,S.DDL_DEQClosed)</f>
        <v>0</v>
      </c>
      <c r="F183" s="457">
        <f t="shared" ca="1" si="107"/>
        <v>0</v>
      </c>
      <c r="G183" s="446">
        <f t="shared" si="108"/>
        <v>0</v>
      </c>
      <c r="H183" s="347">
        <f t="shared" si="109"/>
        <v>0</v>
      </c>
      <c r="I183" s="244"/>
      <c r="J183" s="193"/>
      <c r="K183" s="193"/>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s="52"/>
      <c r="AAA183" s="192"/>
      <c r="AAD183" s="90"/>
      <c r="AAE183" s="520">
        <f t="shared" si="105"/>
        <v>0</v>
      </c>
      <c r="AAF183" s="90"/>
      <c r="AAG183" s="73">
        <f t="shared" si="110"/>
        <v>0</v>
      </c>
      <c r="AAH183" s="73">
        <f t="shared" si="111"/>
        <v>0</v>
      </c>
      <c r="AAI183" s="60"/>
      <c r="AAJ183" s="55"/>
      <c r="AAK183" s="491"/>
      <c r="AAL183" s="90"/>
    </row>
    <row r="184" spans="1:715" s="23" customFormat="1" ht="15.75" hidden="1" customHeight="1" outlineLevel="1">
      <c r="A184" s="171"/>
      <c r="B184" s="635" t="s">
        <v>151</v>
      </c>
      <c r="C184" s="425" t="s">
        <v>0</v>
      </c>
      <c r="D184" s="447"/>
      <c r="E184" s="342">
        <f t="shared" si="121"/>
        <v>0</v>
      </c>
      <c r="F184" s="457">
        <f t="shared" ca="1" si="107"/>
        <v>0</v>
      </c>
      <c r="G184" s="446">
        <f t="shared" si="108"/>
        <v>0</v>
      </c>
      <c r="H184" s="347">
        <f t="shared" si="109"/>
        <v>0</v>
      </c>
      <c r="I184" s="244"/>
      <c r="J184" s="193"/>
      <c r="K184" s="193"/>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s="52"/>
      <c r="AAA184" s="192"/>
      <c r="AAD184" s="90"/>
      <c r="AAE184" s="520">
        <f t="shared" si="105"/>
        <v>0</v>
      </c>
      <c r="AAF184" s="90" t="s">
        <v>0</v>
      </c>
      <c r="AAG184" s="73">
        <f t="shared" si="110"/>
        <v>0</v>
      </c>
      <c r="AAH184" s="73">
        <f t="shared" ref="AAH184" si="122">G184</f>
        <v>0</v>
      </c>
      <c r="AAI184" s="72"/>
      <c r="AAJ184" s="72"/>
      <c r="AAK184" s="491"/>
      <c r="AAL184" s="90"/>
    </row>
    <row r="185" spans="1:715" s="23" customFormat="1" ht="15.75" hidden="1" customHeight="1" outlineLevel="1">
      <c r="A185" s="171"/>
      <c r="B185" s="438" t="str">
        <f>AAK185</f>
        <v>AndreaRW coordinates with team to:</v>
      </c>
      <c r="C185" s="425" t="s">
        <v>0</v>
      </c>
      <c r="D185" s="374"/>
      <c r="E185" s="374"/>
      <c r="F185" s="374"/>
      <c r="G185" s="374"/>
      <c r="H185" s="374"/>
      <c r="I185" s="244"/>
      <c r="J185" s="193"/>
      <c r="K185" s="193"/>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s="52"/>
      <c r="AAA185" s="192"/>
      <c r="AAD185" s="90"/>
      <c r="AAE185" s="520">
        <f t="shared" si="105"/>
        <v>0</v>
      </c>
      <c r="AAF185" s="190" t="s">
        <v>52</v>
      </c>
      <c r="AAG185" s="39"/>
      <c r="AAH185" s="39" t="s">
        <v>0</v>
      </c>
      <c r="AAI185" s="72"/>
      <c r="AAJ185" s="72"/>
      <c r="AAK185" s="92" t="str">
        <f>S.Staff.Lead&amp;" coordinates with team to:"</f>
        <v>AndreaRW coordinates with team to:</v>
      </c>
      <c r="AAL185" s="90"/>
    </row>
    <row r="186" spans="1:715" ht="15.75" hidden="1" customHeight="1" outlineLevel="1">
      <c r="A186" s="171"/>
      <c r="B186" s="637" t="s">
        <v>312</v>
      </c>
      <c r="C186" s="425" t="s">
        <v>0</v>
      </c>
      <c r="D186" s="450"/>
      <c r="E186" s="342">
        <f t="shared" si="112"/>
        <v>0</v>
      </c>
      <c r="F186" s="457">
        <f t="shared" ref="F186:F195" ca="1" si="123">IF(YEAR(H186)&gt;2000,NETWORKDAYS(TODAY(),H186,S.DDL_DEQClosed),0)</f>
        <v>0</v>
      </c>
      <c r="G186" s="451">
        <f t="shared" ref="G186:G195" si="124">AAG186</f>
        <v>0</v>
      </c>
      <c r="H186" s="343">
        <f t="shared" ref="H186:H195" si="125">AAH186</f>
        <v>0</v>
      </c>
      <c r="I186" s="244"/>
      <c r="J186" s="193"/>
      <c r="K186" s="193"/>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AAA186" s="192"/>
      <c r="AAD186" s="90"/>
      <c r="AAE186" s="520">
        <f t="shared" si="105"/>
        <v>0</v>
      </c>
      <c r="AAF186" s="90" t="s">
        <v>0</v>
      </c>
      <c r="AAG186" s="73">
        <f t="shared" si="71"/>
        <v>0</v>
      </c>
      <c r="AAH186" s="73">
        <f t="shared" ref="AAH186:AAH195" si="126">G186</f>
        <v>0</v>
      </c>
      <c r="AAI186" s="72"/>
      <c r="AAJ186" s="72"/>
      <c r="AAK186" s="491"/>
      <c r="AAL186" s="90"/>
      <c r="AAM186"/>
    </row>
    <row r="187" spans="1:715" s="23" customFormat="1" ht="15.75" hidden="1" customHeight="1" outlineLevel="1">
      <c r="A187" s="171"/>
      <c r="B187" s="637" t="s">
        <v>512</v>
      </c>
      <c r="C187" s="425" t="s">
        <v>0</v>
      </c>
      <c r="D187" s="450"/>
      <c r="E187" s="342">
        <f t="shared" ref="E187" si="127">NETWORKDAYS(G187,H187,S.DDL_DEQClosed)</f>
        <v>0</v>
      </c>
      <c r="F187" s="457">
        <f t="shared" ref="F187" ca="1" si="128">IF(YEAR(H187)&gt;2000,NETWORKDAYS(TODAY(),H187,S.DDL_DEQClosed),0)</f>
        <v>0</v>
      </c>
      <c r="G187" s="451">
        <f t="shared" ref="G187" si="129">AAG187</f>
        <v>0</v>
      </c>
      <c r="H187" s="343">
        <f t="shared" ref="H187" si="130">AAH187</f>
        <v>0</v>
      </c>
      <c r="I187" s="244"/>
      <c r="J187" s="193"/>
      <c r="K187" s="193"/>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ZZ187" s="52"/>
      <c r="AAA187" s="192"/>
      <c r="AAD187" s="90"/>
      <c r="AAE187" s="520">
        <f t="shared" si="105"/>
        <v>0</v>
      </c>
      <c r="AAF187" s="90" t="s">
        <v>0</v>
      </c>
      <c r="AAG187" s="73">
        <f t="shared" si="71"/>
        <v>0</v>
      </c>
      <c r="AAH187" s="73">
        <f t="shared" ref="AAH187" si="131">G187</f>
        <v>0</v>
      </c>
      <c r="AAI187" s="72"/>
      <c r="AAJ187" s="72"/>
      <c r="AAK187" s="491"/>
      <c r="AAL187" s="90"/>
    </row>
    <row r="188" spans="1:715" s="23" customFormat="1" ht="15" hidden="1" customHeight="1" outlineLevel="1">
      <c r="A188" s="171"/>
      <c r="B188" s="799" t="s">
        <v>507</v>
      </c>
      <c r="C188" s="376"/>
      <c r="I188" s="244"/>
      <c r="J188" s="194"/>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ZZ188" s="52"/>
      <c r="AAA188" s="192"/>
      <c r="AAD188" s="90"/>
      <c r="AAE188" s="519">
        <f t="shared" ref="AAE188:AAE192" si="132">IF(S.Notice.Involved="Y",1,0)</f>
        <v>1</v>
      </c>
      <c r="AAF188" s="190" t="s">
        <v>52</v>
      </c>
      <c r="AAG188" s="94"/>
      <c r="AAH188" s="94"/>
      <c r="AAI188" s="72"/>
      <c r="AAJ188" s="56"/>
      <c r="AAK188" s="56"/>
      <c r="AAL188" s="90"/>
    </row>
    <row r="189" spans="1:715" s="23" customFormat="1" ht="15" hidden="1" customHeight="1" outlineLevel="1">
      <c r="A189" s="171"/>
      <c r="B189" s="800" t="s">
        <v>508</v>
      </c>
      <c r="C189" s="376"/>
      <c r="I189" s="244"/>
      <c r="J189" s="194"/>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ZZ189" s="52"/>
      <c r="AAA189" s="192"/>
      <c r="AAD189" s="90"/>
      <c r="AAE189" s="519">
        <f t="shared" si="132"/>
        <v>1</v>
      </c>
      <c r="AAF189" s="190" t="s">
        <v>52</v>
      </c>
      <c r="AAG189" s="94"/>
      <c r="AAH189" s="94"/>
      <c r="AAI189" s="72"/>
      <c r="AAJ189" s="56"/>
      <c r="AAK189" s="56"/>
      <c r="AAL189" s="90"/>
    </row>
    <row r="190" spans="1:715" s="23" customFormat="1" ht="15" hidden="1" customHeight="1" outlineLevel="1">
      <c r="A190" s="171"/>
      <c r="B190" s="799" t="s">
        <v>509</v>
      </c>
      <c r="C190" s="376"/>
      <c r="I190" s="244"/>
      <c r="J190" s="194"/>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ZZ190" s="52"/>
      <c r="AAA190" s="192"/>
      <c r="AAD190" s="90"/>
      <c r="AAE190" s="519">
        <f t="shared" si="132"/>
        <v>1</v>
      </c>
      <c r="AAF190" s="190" t="s">
        <v>52</v>
      </c>
      <c r="AAG190" s="94"/>
      <c r="AAH190" s="94"/>
      <c r="AAI190" s="72"/>
      <c r="AAJ190" s="56"/>
      <c r="AAK190" s="56"/>
      <c r="AAL190" s="90"/>
    </row>
    <row r="191" spans="1:715" s="23" customFormat="1" ht="15" hidden="1" customHeight="1" outlineLevel="1">
      <c r="A191" s="171"/>
      <c r="B191" s="799" t="s">
        <v>510</v>
      </c>
      <c r="C191" s="376"/>
      <c r="I191" s="244"/>
      <c r="J191" s="194"/>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ZZ191" s="52"/>
      <c r="AAA191" s="192"/>
      <c r="AAD191" s="90"/>
      <c r="AAE191" s="519">
        <f t="shared" si="132"/>
        <v>1</v>
      </c>
      <c r="AAF191" s="190" t="s">
        <v>52</v>
      </c>
      <c r="AAG191" s="94"/>
      <c r="AAH191" s="94"/>
      <c r="AAI191" s="72"/>
      <c r="AAJ191" s="56"/>
      <c r="AAK191" s="56"/>
      <c r="AAL191" s="90"/>
    </row>
    <row r="192" spans="1:715" s="23" customFormat="1" ht="15" hidden="1" customHeight="1" outlineLevel="1">
      <c r="A192" s="171"/>
      <c r="B192" s="801" t="s">
        <v>511</v>
      </c>
      <c r="C192" s="376"/>
      <c r="I192" s="244"/>
      <c r="J192" s="194"/>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ZZ192" s="52"/>
      <c r="AAA192" s="192"/>
      <c r="AAD192" s="90"/>
      <c r="AAE192" s="519">
        <f t="shared" si="132"/>
        <v>1</v>
      </c>
      <c r="AAF192" s="190" t="s">
        <v>52</v>
      </c>
      <c r="AAG192" s="94"/>
      <c r="AAH192" s="94"/>
      <c r="AAI192" s="72"/>
      <c r="AAJ192" s="56"/>
      <c r="AAK192" s="56"/>
      <c r="AAL192" s="90"/>
    </row>
    <row r="193" spans="1:715" ht="15.75" hidden="1" customHeight="1" outlineLevel="1">
      <c r="A193" s="171"/>
      <c r="B193" s="638" t="s">
        <v>313</v>
      </c>
      <c r="C193" s="425" t="s">
        <v>0</v>
      </c>
      <c r="D193" s="380"/>
      <c r="E193" s="342">
        <f t="shared" si="112"/>
        <v>0</v>
      </c>
      <c r="F193" s="457">
        <f t="shared" ca="1" si="123"/>
        <v>0</v>
      </c>
      <c r="G193" s="446">
        <f t="shared" si="124"/>
        <v>0</v>
      </c>
      <c r="H193" s="347">
        <f t="shared" si="125"/>
        <v>0</v>
      </c>
      <c r="I193" s="244"/>
      <c r="J193" s="193"/>
      <c r="K193" s="193"/>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AAA193" s="192"/>
      <c r="AAD193" s="90"/>
      <c r="AAE193" s="520">
        <f t="shared" si="105"/>
        <v>0</v>
      </c>
      <c r="AAF193" s="90" t="s">
        <v>0</v>
      </c>
      <c r="AAG193" s="73">
        <f t="shared" si="71"/>
        <v>0</v>
      </c>
      <c r="AAH193" s="73">
        <f t="shared" si="126"/>
        <v>0</v>
      </c>
      <c r="AAI193" s="72"/>
      <c r="AAJ193" s="72"/>
      <c r="AAK193" s="491"/>
      <c r="AAL193" s="90"/>
      <c r="AAM193"/>
    </row>
    <row r="194" spans="1:715" ht="15.75" hidden="1" customHeight="1" outlineLevel="1" thickBot="1">
      <c r="A194" s="171"/>
      <c r="B194" s="638" t="s">
        <v>314</v>
      </c>
      <c r="C194" s="425" t="s">
        <v>0</v>
      </c>
      <c r="D194" s="380"/>
      <c r="E194" s="342">
        <f t="shared" si="112"/>
        <v>0</v>
      </c>
      <c r="F194" s="457">
        <f t="shared" ca="1" si="123"/>
        <v>0</v>
      </c>
      <c r="G194" s="446">
        <f t="shared" si="124"/>
        <v>0</v>
      </c>
      <c r="H194" s="347">
        <f t="shared" si="125"/>
        <v>0</v>
      </c>
      <c r="I194" s="244"/>
      <c r="J194" s="193"/>
      <c r="K194" s="193"/>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AAA194" s="192"/>
      <c r="AAD194" s="90"/>
      <c r="AAE194" s="520">
        <f t="shared" si="105"/>
        <v>0</v>
      </c>
      <c r="AAF194" s="90" t="s">
        <v>0</v>
      </c>
      <c r="AAG194" s="73">
        <f t="shared" si="71"/>
        <v>0</v>
      </c>
      <c r="AAH194" s="73">
        <f t="shared" si="126"/>
        <v>0</v>
      </c>
      <c r="AAI194" s="72"/>
      <c r="AAJ194" s="72"/>
      <c r="AAK194" s="491"/>
      <c r="AAL194" s="90"/>
      <c r="AAM194"/>
    </row>
    <row r="195" spans="1:715" ht="15.75" hidden="1" customHeight="1" outlineLevel="1" thickBot="1">
      <c r="A195" s="171"/>
      <c r="B195" s="657" t="s">
        <v>394</v>
      </c>
      <c r="C195" s="377" t="s">
        <v>17</v>
      </c>
      <c r="D195" s="380"/>
      <c r="E195" s="342">
        <f t="shared" si="112"/>
        <v>0</v>
      </c>
      <c r="F195" s="457">
        <f t="shared" ca="1" si="123"/>
        <v>0</v>
      </c>
      <c r="G195" s="446">
        <f t="shared" si="124"/>
        <v>0</v>
      </c>
      <c r="H195" s="347">
        <f t="shared" si="125"/>
        <v>0</v>
      </c>
      <c r="I195" s="244" t="s">
        <v>0</v>
      </c>
      <c r="J195" s="193"/>
      <c r="K195" s="193"/>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AAA195" s="192"/>
      <c r="AAD195" s="90"/>
      <c r="AAE195" s="520">
        <f>IF(AND(S.AC.WebPage="Y",S.AC.CommitteeInvolved="Y"),1,0)</f>
        <v>0</v>
      </c>
      <c r="AAF195" s="90" t="s">
        <v>0</v>
      </c>
      <c r="AAG195" s="73">
        <f t="shared" si="71"/>
        <v>0</v>
      </c>
      <c r="AAH195" s="73">
        <f t="shared" si="126"/>
        <v>0</v>
      </c>
      <c r="AAI195" s="72"/>
      <c r="AAJ195" s="72"/>
      <c r="AAK195" s="491"/>
      <c r="AAL195" s="90"/>
      <c r="AAM195"/>
    </row>
    <row r="196" spans="1:715" ht="15.75" hidden="1" customHeight="1" outlineLevel="1" thickBot="1">
      <c r="A196" s="171"/>
      <c r="B196" s="802" t="s">
        <v>315</v>
      </c>
      <c r="C196" s="377" t="s">
        <v>17</v>
      </c>
      <c r="D196" s="380"/>
      <c r="E196" s="342">
        <f>NETWORKDAYS(G196,H196,S.DDL_DEQClosed)</f>
        <v>0</v>
      </c>
      <c r="F196" s="457">
        <f ca="1">IF(YEAR(H196)&gt;2000,NETWORKDAYS(TODAY(),H196,S.DDL_DEQClosed),0)</f>
        <v>0</v>
      </c>
      <c r="G196" s="446">
        <f>AAG196</f>
        <v>0</v>
      </c>
      <c r="H196" s="347">
        <f>AAH196</f>
        <v>0</v>
      </c>
      <c r="I196" s="244"/>
      <c r="J196" s="193"/>
      <c r="K196" s="193"/>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AAA196" s="192"/>
      <c r="AAD196" s="90"/>
      <c r="AAE196" s="520">
        <f>IF(AND(S.AC.Charter="Y",S.AC.CommitteeInvolved="Y"),1,0)</f>
        <v>0</v>
      </c>
      <c r="AAF196" s="90" t="s">
        <v>0</v>
      </c>
      <c r="AAG196" s="73">
        <f t="shared" si="71"/>
        <v>0</v>
      </c>
      <c r="AAH196" s="73">
        <f>G196</f>
        <v>0</v>
      </c>
      <c r="AAI196" s="72"/>
      <c r="AAJ196" s="72"/>
      <c r="AAK196" s="491"/>
      <c r="AAL196" s="90"/>
      <c r="AAM196"/>
    </row>
    <row r="197" spans="1:715" s="23" customFormat="1" ht="15.75" hidden="1" customHeight="1" outlineLevel="1">
      <c r="A197" s="171"/>
      <c r="B197" s="486" t="str">
        <f t="shared" ref="B197" si="133">AAK197</f>
        <v>MargaretMGR shares draft roster and invitation with Andy</v>
      </c>
      <c r="C197" s="362" t="s">
        <v>0</v>
      </c>
      <c r="D197" s="380"/>
      <c r="E197" s="342">
        <f t="shared" ref="E197" si="134">NETWORKDAYS(G197,H197,S.DDL_DEQClosed)</f>
        <v>0</v>
      </c>
      <c r="F197" s="457">
        <f t="shared" ref="F197:F203" ca="1" si="135">IF(YEAR(H197)&gt;2000,NETWORKDAYS(TODAY(),H197,S.DDL_DEQClosed),0)</f>
        <v>0</v>
      </c>
      <c r="G197" s="451">
        <f t="shared" ref="G197:G202" si="136">AAG197</f>
        <v>0</v>
      </c>
      <c r="H197" s="343">
        <f t="shared" ref="H197:H202" si="137">AAH197</f>
        <v>0</v>
      </c>
      <c r="I197" s="244"/>
      <c r="J197" s="193"/>
      <c r="K197" s="193"/>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s="52"/>
      <c r="AAA197" s="192" t="s">
        <v>0</v>
      </c>
      <c r="AAD197" s="90"/>
      <c r="AAE197" s="520">
        <f>IF(S.AC.CommitteeInvolved="Y",1,0)</f>
        <v>0</v>
      </c>
      <c r="AAF197" s="90" t="s">
        <v>0</v>
      </c>
      <c r="AAG197" s="73">
        <f t="shared" si="71"/>
        <v>0</v>
      </c>
      <c r="AAH197" s="73">
        <f t="shared" ref="AAH197:AAH203" si="138">G197</f>
        <v>0</v>
      </c>
      <c r="AAI197" s="60"/>
      <c r="AAJ197" s="55"/>
      <c r="AAK197" s="92" t="str">
        <f>S.Staff.Mgr&amp;" shares draft roster and invitation with "&amp;S.Staff.DA</f>
        <v>MargaretMGR shares draft roster and invitation with Andy</v>
      </c>
      <c r="AAL197" s="90"/>
    </row>
    <row r="198" spans="1:715" s="23" customFormat="1" ht="15.75" hidden="1" customHeight="1" outlineLevel="1">
      <c r="A198" s="171"/>
      <c r="B198" s="486" t="s">
        <v>239</v>
      </c>
      <c r="C198" s="362" t="s">
        <v>0</v>
      </c>
      <c r="D198" s="380"/>
      <c r="E198" s="342">
        <f t="shared" ref="E198" si="139">NETWORKDAYS(G198,H198,S.DDL_DEQClosed)</f>
        <v>0</v>
      </c>
      <c r="F198" s="457">
        <f t="shared" ca="1" si="135"/>
        <v>0</v>
      </c>
      <c r="G198" s="451">
        <f t="shared" si="136"/>
        <v>0</v>
      </c>
      <c r="H198" s="343">
        <f t="shared" si="137"/>
        <v>0</v>
      </c>
      <c r="I198" s="244"/>
      <c r="J198" s="193"/>
      <c r="K198" s="193"/>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s="52"/>
      <c r="AAA198" s="192"/>
      <c r="AAD198" s="90"/>
      <c r="AAE198" s="520">
        <f>IF(S.AC.CommitteeInvolved="Y",1,0)</f>
        <v>0</v>
      </c>
      <c r="AAF198" s="90" t="s">
        <v>0</v>
      </c>
      <c r="AAG198" s="73">
        <f t="shared" si="71"/>
        <v>0</v>
      </c>
      <c r="AAH198" s="73">
        <f t="shared" si="138"/>
        <v>0</v>
      </c>
      <c r="AAI198" s="60"/>
      <c r="AAJ198" s="55"/>
      <c r="AAK198" s="39"/>
      <c r="AAL198" s="90"/>
    </row>
    <row r="199" spans="1:715" s="23" customFormat="1" ht="15.75" hidden="1" customHeight="1" outlineLevel="1">
      <c r="A199" s="171"/>
      <c r="B199" s="486" t="str">
        <f>AAK199</f>
        <v>MargaretMGR approves:</v>
      </c>
      <c r="C199" s="272"/>
      <c r="D199" s="265"/>
      <c r="E199" s="266"/>
      <c r="F199" s="267"/>
      <c r="G199" s="268"/>
      <c r="H199" s="269"/>
      <c r="I199" s="244"/>
      <c r="J199" s="193"/>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s="52"/>
      <c r="AAA199" s="192"/>
      <c r="AAD199" s="90"/>
      <c r="AAE199" s="519">
        <f t="shared" ref="AAE199" si="140">IF(S.Planning.DecisionToAddToPlan="A",1,0)</f>
        <v>1</v>
      </c>
      <c r="AAF199" s="190" t="s">
        <v>52</v>
      </c>
      <c r="AAG199" s="71"/>
      <c r="AAH199" s="71"/>
      <c r="AAI199" s="72"/>
      <c r="AAJ199" s="55"/>
      <c r="AAK199" s="92" t="str">
        <f>S.Staff.Mgr&amp;" approves:"</f>
        <v>MargaretMGR approves:</v>
      </c>
      <c r="AAL199" s="90"/>
    </row>
    <row r="200" spans="1:715" s="23" customFormat="1" ht="15.75" hidden="1" customHeight="1" outlineLevel="1">
      <c r="A200" s="171"/>
      <c r="B200" s="658" t="str">
        <f>"* potential committee roster"</f>
        <v>* potential committee roster</v>
      </c>
      <c r="C200" s="362" t="s">
        <v>0</v>
      </c>
      <c r="D200" s="380"/>
      <c r="E200" s="342">
        <f t="shared" ref="E200" si="141">NETWORKDAYS(G200,H200,S.DDL_DEQClosed)</f>
        <v>0</v>
      </c>
      <c r="F200" s="457">
        <f ca="1">IF(YEAR(H200)&gt;2000,NETWORKDAYS(TODAY(),H200,S.DDL_DEQClosed),0)</f>
        <v>0</v>
      </c>
      <c r="G200" s="451">
        <f>AAG200</f>
        <v>0</v>
      </c>
      <c r="H200" s="343">
        <f>AAH200</f>
        <v>0</v>
      </c>
      <c r="I200" s="244"/>
      <c r="J200" s="193"/>
      <c r="K200" s="193"/>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s="52"/>
      <c r="AAA200" s="192"/>
      <c r="AAD200" s="90"/>
      <c r="AAE200" s="520">
        <f>IF(S.AC.CommitteeInvolved="Y",1,0)</f>
        <v>0</v>
      </c>
      <c r="AAF200" s="90" t="s">
        <v>0</v>
      </c>
      <c r="AAG200" s="73">
        <f>H197</f>
        <v>0</v>
      </c>
      <c r="AAH200" s="73">
        <f>G200</f>
        <v>0</v>
      </c>
      <c r="AAI200" s="60"/>
      <c r="AAJ200" s="55"/>
      <c r="AAK200" s="39"/>
      <c r="AAL200" s="90"/>
    </row>
    <row r="201" spans="1:715" s="23" customFormat="1" ht="15.75" hidden="1" customHeight="1" outlineLevel="1">
      <c r="A201" s="171"/>
      <c r="B201" s="486" t="s">
        <v>167</v>
      </c>
      <c r="C201" s="272"/>
      <c r="D201" s="265"/>
      <c r="E201" s="266"/>
      <c r="F201" s="267"/>
      <c r="G201" s="268"/>
      <c r="H201" s="269"/>
      <c r="I201" s="244"/>
      <c r="J201" s="193"/>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s="52"/>
      <c r="AAA201" s="192"/>
      <c r="AAD201" s="90"/>
      <c r="AAE201" s="519">
        <f t="shared" ref="AAE201" si="142">IF(S.Planning.DecisionToAddToPlan="A",1,0)</f>
        <v>1</v>
      </c>
      <c r="AAF201" s="190" t="s">
        <v>52</v>
      </c>
      <c r="AAG201" s="71"/>
      <c r="AAH201" s="71"/>
      <c r="AAI201" s="72"/>
      <c r="AAJ201" s="55"/>
      <c r="AAK201" s="39"/>
      <c r="AAL201" s="90"/>
    </row>
    <row r="202" spans="1:715" ht="15.75" hidden="1" customHeight="1" outlineLevel="1">
      <c r="A202" s="171"/>
      <c r="B202" s="440" t="s">
        <v>238</v>
      </c>
      <c r="C202" s="362" t="s">
        <v>0</v>
      </c>
      <c r="D202" s="380"/>
      <c r="E202" s="342">
        <f t="shared" ref="E202:E210" si="143">NETWORKDAYS(G202,H202,S.DDL_DEQClosed)</f>
        <v>0</v>
      </c>
      <c r="F202" s="457">
        <f t="shared" ca="1" si="135"/>
        <v>0</v>
      </c>
      <c r="G202" s="451">
        <f t="shared" si="136"/>
        <v>0</v>
      </c>
      <c r="H202" s="343">
        <f t="shared" si="137"/>
        <v>0</v>
      </c>
      <c r="I202" s="244"/>
      <c r="J202" s="193"/>
      <c r="K202" s="193"/>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AAA202" s="192" t="s">
        <v>0</v>
      </c>
      <c r="AAD202" s="90"/>
      <c r="AAE202" s="520">
        <f>IF(S.AC.CommitteeInvolved="Y",1,0)</f>
        <v>0</v>
      </c>
      <c r="AAF202" s="90" t="s">
        <v>0</v>
      </c>
      <c r="AAG202" s="73">
        <f>H200</f>
        <v>0</v>
      </c>
      <c r="AAH202" s="73">
        <f t="shared" si="138"/>
        <v>0</v>
      </c>
      <c r="AAI202" s="60"/>
      <c r="AAJ202" s="55"/>
      <c r="AAK202" s="39"/>
      <c r="AAL202" s="90"/>
      <c r="AAM202"/>
    </row>
    <row r="203" spans="1:715" s="23" customFormat="1" ht="15.75" hidden="1" customHeight="1" outlineLevel="1">
      <c r="A203" s="171"/>
      <c r="B203" s="440" t="s">
        <v>311</v>
      </c>
      <c r="C203" s="362" t="s">
        <v>0</v>
      </c>
      <c r="D203" s="380"/>
      <c r="E203" s="342">
        <f t="shared" ref="E203" si="144">NETWORKDAYS(G203,H203,S.DDL_DEQClosed)</f>
        <v>0</v>
      </c>
      <c r="F203" s="457">
        <f t="shared" ca="1" si="135"/>
        <v>0</v>
      </c>
      <c r="G203" s="451">
        <f t="shared" ref="G203" si="145">AAG203</f>
        <v>0</v>
      </c>
      <c r="H203" s="343">
        <f t="shared" ref="H203" si="146">AAH203</f>
        <v>0</v>
      </c>
      <c r="I203" s="244"/>
      <c r="J203" s="193"/>
      <c r="K203" s="193"/>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s="52"/>
      <c r="AAA203" s="192" t="s">
        <v>0</v>
      </c>
      <c r="AAD203" s="90"/>
      <c r="AAE203" s="520">
        <f>IF(S.AC.CommitteeInvolved="Y",1,0)</f>
        <v>0</v>
      </c>
      <c r="AAF203" s="90" t="s">
        <v>0</v>
      </c>
      <c r="AAG203" s="73">
        <f>H202</f>
        <v>0</v>
      </c>
      <c r="AAH203" s="73">
        <f t="shared" si="138"/>
        <v>0</v>
      </c>
      <c r="AAI203" s="60"/>
      <c r="AAJ203" s="55"/>
      <c r="AAK203" s="39"/>
      <c r="AAL203" s="90"/>
    </row>
    <row r="204" spans="1:715" s="23" customFormat="1" ht="15.75" hidden="1" customHeight="1" outlineLevel="1">
      <c r="A204" s="171"/>
      <c r="B204" s="614" t="str">
        <f>AAK204</f>
        <v>AndreaRW:</v>
      </c>
      <c r="C204" s="362" t="s">
        <v>0</v>
      </c>
      <c r="D204" s="374"/>
      <c r="E204" s="374"/>
      <c r="F204" s="374"/>
      <c r="G204" s="374"/>
      <c r="H204" s="374"/>
      <c r="I204" s="244"/>
      <c r="J204" s="193"/>
      <c r="K204" s="193"/>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s="52"/>
      <c r="AAA204" s="192"/>
      <c r="AAD204" s="90"/>
      <c r="AAE204" s="520">
        <f>IF(S.AC.CommitteeInvolved="Y",1,0)</f>
        <v>0</v>
      </c>
      <c r="AAF204" s="190" t="s">
        <v>52</v>
      </c>
      <c r="AAG204" s="39"/>
      <c r="AAH204" s="39" t="s">
        <v>0</v>
      </c>
      <c r="AAI204" s="72"/>
      <c r="AAJ204" s="72"/>
      <c r="AAK204" s="92" t="str">
        <f>S.Staff.Lead&amp;":"</f>
        <v>AndreaRW:</v>
      </c>
      <c r="AAL204" s="90"/>
    </row>
    <row r="205" spans="1:715" s="23" customFormat="1" ht="15.75" hidden="1" customHeight="1" outlineLevel="1">
      <c r="A205" s="171"/>
      <c r="B205" s="439" t="s">
        <v>242</v>
      </c>
      <c r="C205" s="792" t="str">
        <f>HYPERLINK("http://deq05/intranet/communication/WebRequests.htm","i")</f>
        <v>i</v>
      </c>
      <c r="D205" s="380"/>
      <c r="E205" s="342">
        <f t="shared" ref="E205" si="147">NETWORKDAYS(G205,H205,S.DDL_DEQClosed)</f>
        <v>0</v>
      </c>
      <c r="F205" s="457">
        <f t="shared" ref="F205:F208" ca="1" si="148">IF(YEAR(H205)&gt;2000,NETWORKDAYS(TODAY(),H205,S.DDL_DEQClosed),0)</f>
        <v>0</v>
      </c>
      <c r="G205" s="451">
        <f t="shared" ref="G205:H231" si="149">AAG205</f>
        <v>0</v>
      </c>
      <c r="H205" s="343">
        <f t="shared" si="149"/>
        <v>0</v>
      </c>
      <c r="I205" s="244"/>
      <c r="J205" s="193"/>
      <c r="K205" s="193"/>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s="52"/>
      <c r="AAA205" s="192"/>
      <c r="AAD205" s="90"/>
      <c r="AAE205" s="520">
        <f>IF(AND(S.AC.WebPage="Y",S.AC.CommitteeInvolved="Y"),1,0)</f>
        <v>0</v>
      </c>
      <c r="AAF205" s="90" t="s">
        <v>0</v>
      </c>
      <c r="AAG205" s="73">
        <f t="shared" ref="AAG205:AAG208" si="150">S.AC.BANNER.Begin</f>
        <v>0</v>
      </c>
      <c r="AAH205" s="73">
        <f t="shared" ref="AAH205" si="151">G205</f>
        <v>0</v>
      </c>
      <c r="AAI205" s="60"/>
      <c r="AAJ205" s="55"/>
      <c r="AAK205" s="39" t="s">
        <v>0</v>
      </c>
      <c r="AAL205" s="90"/>
    </row>
    <row r="206" spans="1:715" ht="15.75" hidden="1" customHeight="1" outlineLevel="1">
      <c r="A206" s="171"/>
      <c r="B206" s="437" t="s">
        <v>243</v>
      </c>
      <c r="C206" s="362" t="s">
        <v>0</v>
      </c>
      <c r="D206" s="380"/>
      <c r="E206" s="342">
        <f>NETWORKDAYS(G206,H206,S.DDL_DEQClosed)</f>
        <v>0</v>
      </c>
      <c r="F206" s="457">
        <f t="shared" ca="1" si="148"/>
        <v>0</v>
      </c>
      <c r="G206" s="451">
        <f t="shared" si="149"/>
        <v>0</v>
      </c>
      <c r="H206" s="343">
        <f t="shared" si="149"/>
        <v>0</v>
      </c>
      <c r="I206" s="244"/>
      <c r="J206" s="193"/>
      <c r="K206" s="193"/>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AAA206" s="192"/>
      <c r="AAD206" s="90"/>
      <c r="AAE206" s="520">
        <f>IF(AND(S.AC.WebPage="Y",S.AC.CommitteeInvolved="Y"),1,0)</f>
        <v>0</v>
      </c>
      <c r="AAF206" s="90" t="s">
        <v>0</v>
      </c>
      <c r="AAG206" s="73">
        <f t="shared" si="150"/>
        <v>0</v>
      </c>
      <c r="AAH206" s="73">
        <f>S.AC.BANNER.End</f>
        <v>0</v>
      </c>
      <c r="AAI206" s="60"/>
      <c r="AAJ206" s="55"/>
      <c r="AAK206" s="39" t="s">
        <v>0</v>
      </c>
      <c r="AAL206" s="90"/>
      <c r="AAM206"/>
    </row>
    <row r="207" spans="1:715" ht="15.75" hidden="1" customHeight="1" outlineLevel="1">
      <c r="A207" s="171"/>
      <c r="B207" s="439" t="s">
        <v>152</v>
      </c>
      <c r="C207" s="362" t="s">
        <v>0</v>
      </c>
      <c r="D207" s="380"/>
      <c r="E207" s="342">
        <f t="shared" si="143"/>
        <v>0</v>
      </c>
      <c r="F207" s="457">
        <f t="shared" ca="1" si="148"/>
        <v>0</v>
      </c>
      <c r="G207" s="451">
        <f t="shared" si="149"/>
        <v>0</v>
      </c>
      <c r="H207" s="343">
        <f t="shared" si="149"/>
        <v>0</v>
      </c>
      <c r="I207" s="244"/>
      <c r="J207" s="193"/>
      <c r="K207" s="193"/>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AAA207" s="192"/>
      <c r="AAD207" s="90"/>
      <c r="AAE207" s="520">
        <f>IF(S.AC.CommitteeInvolved="Y",1,0)</f>
        <v>0</v>
      </c>
      <c r="AAF207" s="90" t="s">
        <v>0</v>
      </c>
      <c r="AAG207" s="73">
        <f t="shared" si="150"/>
        <v>0</v>
      </c>
      <c r="AAH207" s="73">
        <f t="shared" ref="AAH207" si="152">G207</f>
        <v>0</v>
      </c>
      <c r="AAI207" s="60"/>
      <c r="AAJ207" s="55"/>
      <c r="AAK207" s="39" t="s">
        <v>0</v>
      </c>
      <c r="AAL207" s="90"/>
      <c r="AAM207"/>
    </row>
    <row r="208" spans="1:715" s="23" customFormat="1" ht="15" hidden="1" customHeight="1" outlineLevel="1" thickBot="1">
      <c r="A208" s="171"/>
      <c r="B208" s="286" t="s">
        <v>153</v>
      </c>
      <c r="C208" s="362" t="s">
        <v>0</v>
      </c>
      <c r="D208" s="380"/>
      <c r="E208" s="342">
        <f t="shared" ref="E208" si="153">NETWORKDAYS(G208,H208,S.DDL_DEQClosed)</f>
        <v>0</v>
      </c>
      <c r="F208" s="457">
        <f t="shared" ca="1" si="148"/>
        <v>0</v>
      </c>
      <c r="G208" s="451">
        <f t="shared" ref="G208" si="154">AAG208</f>
        <v>0</v>
      </c>
      <c r="H208" s="343">
        <f t="shared" si="149"/>
        <v>0</v>
      </c>
      <c r="I208" s="244"/>
      <c r="J208" s="193"/>
      <c r="K208" s="193"/>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s="52"/>
      <c r="AAA208" s="192"/>
      <c r="AAD208" s="90"/>
      <c r="AAE208" s="520">
        <f>IF(S.AC.CommitteeInvolved="Y",1,0)</f>
        <v>0</v>
      </c>
      <c r="AAF208" s="90" t="s">
        <v>0</v>
      </c>
      <c r="AAG208" s="73">
        <f t="shared" si="150"/>
        <v>0</v>
      </c>
      <c r="AAH208" s="73">
        <f>S.AC.BANNER.End</f>
        <v>0</v>
      </c>
      <c r="AAI208" s="60"/>
      <c r="AAJ208" s="55"/>
      <c r="AAK208" s="39"/>
      <c r="AAL208" s="90"/>
    </row>
    <row r="209" spans="1:715" ht="15" hidden="1" customHeight="1" outlineLevel="1" thickBot="1">
      <c r="A209" s="171"/>
      <c r="B209" s="528" t="s">
        <v>26</v>
      </c>
      <c r="C209" s="377" t="s">
        <v>17</v>
      </c>
      <c r="D209" s="374"/>
      <c r="E209" s="374"/>
      <c r="F209" s="374"/>
      <c r="G209" s="339">
        <f>AAG209</f>
        <v>16</v>
      </c>
      <c r="H209" s="524" t="s">
        <v>54</v>
      </c>
      <c r="I209" s="244"/>
      <c r="J209" s="193"/>
      <c r="K209" s="193"/>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AAA209" s="192"/>
      <c r="AAD209" s="90"/>
      <c r="AAE209" s="520">
        <f t="shared" ref="AAE209:AAE219" si="155">IF(AND(S.AC.InvolveMeeting1="Y",S.AC.CommitteeInvolved="Y"),1,0)</f>
        <v>0</v>
      </c>
      <c r="AAF209" s="190" t="s">
        <v>52</v>
      </c>
      <c r="AAG209" s="73">
        <f>WORKDAY(S.AC.SendInvitation+13,1,S.DDL_DEQClosed)</f>
        <v>16</v>
      </c>
      <c r="AAH209" s="39" t="s">
        <v>0</v>
      </c>
      <c r="AAI209" s="39"/>
      <c r="AAJ209" s="55"/>
      <c r="AAK209" s="39"/>
      <c r="AAL209" s="90"/>
      <c r="AAM209"/>
    </row>
    <row r="210" spans="1:715" ht="15" hidden="1" customHeight="1" outlineLevel="2">
      <c r="A210" s="171"/>
      <c r="B210" s="613" t="s">
        <v>154</v>
      </c>
      <c r="C210" s="346"/>
      <c r="D210" s="380"/>
      <c r="E210" s="342">
        <f t="shared" si="143"/>
        <v>1</v>
      </c>
      <c r="F210" s="457">
        <f ca="1">IF(YEAR(H210)&gt;2000,NETWORKDAYS(TODAY(),H210,S.DDL_DEQClosed),0)</f>
        <v>0</v>
      </c>
      <c r="G210" s="451">
        <f t="shared" si="149"/>
        <v>2</v>
      </c>
      <c r="H210" s="343">
        <f t="shared" si="149"/>
        <v>2</v>
      </c>
      <c r="I210" s="244"/>
      <c r="J210" s="193"/>
      <c r="K210" s="193"/>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AAA210" s="192"/>
      <c r="AAD210" s="90"/>
      <c r="AAE210" s="520">
        <f t="shared" si="155"/>
        <v>0</v>
      </c>
      <c r="AAF210" s="90"/>
      <c r="AAG210" s="73">
        <f>WORKDAY(S.AC.DateMeeting1-13,-1,S.DDL_DEQClosed)</f>
        <v>2</v>
      </c>
      <c r="AAH210" s="73">
        <f t="shared" ref="AAH210" si="156">G210</f>
        <v>2</v>
      </c>
      <c r="AAI210" s="60"/>
      <c r="AAJ210" s="55"/>
      <c r="AAK210" s="39"/>
      <c r="AAL210" s="90"/>
      <c r="AAM210"/>
    </row>
    <row r="211" spans="1:715" s="23" customFormat="1" ht="15" hidden="1" customHeight="1" outlineLevel="2">
      <c r="A211" s="171"/>
      <c r="B211" s="384" t="str">
        <f>AAK211</f>
        <v>AndreaRW coordinates or drafts:</v>
      </c>
      <c r="C211" s="346"/>
      <c r="D211" s="374"/>
      <c r="E211" s="350"/>
      <c r="F211" s="350"/>
      <c r="G211" s="346"/>
      <c r="H211" s="409"/>
      <c r="I211" s="244"/>
      <c r="J211" s="193"/>
      <c r="K211" s="193"/>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s="52"/>
      <c r="AAA211" s="192"/>
      <c r="AAD211" s="90"/>
      <c r="AAE211" s="520">
        <f t="shared" si="155"/>
        <v>0</v>
      </c>
      <c r="AAF211" s="190" t="s">
        <v>52</v>
      </c>
      <c r="AAG211" s="60"/>
      <c r="AAH211" s="71"/>
      <c r="AAI211" s="71"/>
      <c r="AAJ211" s="55"/>
      <c r="AAK211" s="80" t="str">
        <f>S.Staff.Lead&amp;" coordinates or drafts:"</f>
        <v>AndreaRW coordinates or drafts:</v>
      </c>
      <c r="AAL211" s="90"/>
    </row>
    <row r="212" spans="1:715" ht="15" hidden="1" customHeight="1" outlineLevel="2">
      <c r="A212" s="171"/>
      <c r="B212" s="437" t="str">
        <f>AAK212</f>
        <v>* AC.AGENDA.01.16.00, gets team agreement</v>
      </c>
      <c r="C212" s="790" t="str">
        <f>HYPERLINK("\\deq000\templates\General\Agenda Template.dotx","i")</f>
        <v>i</v>
      </c>
      <c r="D212" s="511"/>
      <c r="E212" s="342">
        <f t="shared" ref="E212:E213" si="157">NETWORKDAYS(G212,H212,S.DDL_DEQClosed)</f>
        <v>1</v>
      </c>
      <c r="F212" s="457">
        <f t="shared" ref="F212:F219" ca="1" si="158">IF(YEAR(H212)&gt;2000,NETWORKDAYS(TODAY(),H212,S.DDL_DEQClosed),0)</f>
        <v>0</v>
      </c>
      <c r="G212" s="451">
        <f t="shared" si="149"/>
        <v>2</v>
      </c>
      <c r="H212" s="343">
        <f t="shared" si="149"/>
        <v>2</v>
      </c>
      <c r="I212" s="244"/>
      <c r="J212" s="193"/>
      <c r="K212" s="193"/>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AAA212" s="192"/>
      <c r="AAD212" s="90"/>
      <c r="AAE212" s="520">
        <f t="shared" si="155"/>
        <v>0</v>
      </c>
      <c r="AAF212" s="90" t="s">
        <v>0</v>
      </c>
      <c r="AAG212" s="73">
        <f>G210</f>
        <v>2</v>
      </c>
      <c r="AAH212" s="73">
        <f>G212</f>
        <v>2</v>
      </c>
      <c r="AAI212" s="72"/>
      <c r="AAJ212" s="74"/>
      <c r="AAK212" s="80" t="str">
        <f>"* AC.AGENDA."&amp; TEXT(S.AC.DateMeeting1,"mm.dd.yy")&amp;", gets team agreement"</f>
        <v>* AC.AGENDA.01.16.00, gets team agreement</v>
      </c>
      <c r="AAL212" s="90"/>
      <c r="AAM212"/>
    </row>
    <row r="213" spans="1:715" ht="15" hidden="1" customHeight="1" outlineLevel="2">
      <c r="A213" s="171"/>
      <c r="B213" s="437" t="str">
        <f>AAK213</f>
        <v>* AC.NOTIFICATION.01.16.00</v>
      </c>
      <c r="C213" s="362" t="s">
        <v>0</v>
      </c>
      <c r="D213" s="380"/>
      <c r="E213" s="342">
        <f t="shared" si="157"/>
        <v>1</v>
      </c>
      <c r="F213" s="457">
        <f t="shared" ca="1" si="158"/>
        <v>0</v>
      </c>
      <c r="G213" s="451">
        <f t="shared" si="149"/>
        <v>2</v>
      </c>
      <c r="H213" s="343">
        <f t="shared" si="149"/>
        <v>2</v>
      </c>
      <c r="I213" s="244"/>
      <c r="J213" s="193"/>
      <c r="K213" s="19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AAA213" s="192"/>
      <c r="AAD213" s="90"/>
      <c r="AAE213" s="520">
        <f t="shared" si="155"/>
        <v>0</v>
      </c>
      <c r="AAF213" s="90" t="s">
        <v>0</v>
      </c>
      <c r="AAG213" s="73">
        <f>G212</f>
        <v>2</v>
      </c>
      <c r="AAH213" s="73">
        <f t="shared" ref="AAH213" si="159">G213</f>
        <v>2</v>
      </c>
      <c r="AAI213" s="72"/>
      <c r="AAJ213" s="72"/>
      <c r="AAK213" s="80" t="str">
        <f>"* AC.NOTIFICATION."&amp;TEXT(S.AC.DateMeeting1,"mm.dd.yy")</f>
        <v>* AC.NOTIFICATION.01.16.00</v>
      </c>
      <c r="AAL213" s="90"/>
      <c r="AAM213"/>
    </row>
    <row r="214" spans="1:715" ht="15" hidden="1" customHeight="1" outlineLevel="2">
      <c r="A214" s="171"/>
      <c r="B214" s="441" t="s">
        <v>318</v>
      </c>
      <c r="C214" s="790" t="str">
        <f>HYPERLINK("http://deq05/intranet/contentmanagement/login.asp","i")</f>
        <v>i</v>
      </c>
      <c r="D214" s="512"/>
      <c r="E214" s="342">
        <f t="shared" ref="E214:E219" si="160">NETWORKDAYS(G214,H214,S.DDL_DEQClosed)</f>
        <v>1</v>
      </c>
      <c r="F214" s="457">
        <f t="shared" ca="1" si="158"/>
        <v>0</v>
      </c>
      <c r="G214" s="451">
        <f t="shared" si="149"/>
        <v>2</v>
      </c>
      <c r="H214" s="343">
        <f t="shared" si="149"/>
        <v>2</v>
      </c>
      <c r="I214" s="244"/>
      <c r="J214" s="193"/>
      <c r="K214" s="193"/>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AAA214" s="192" t="s">
        <v>0</v>
      </c>
      <c r="AAD214" s="90"/>
      <c r="AAE214" s="520">
        <f t="shared" si="155"/>
        <v>0</v>
      </c>
      <c r="AAF214" s="90" t="s">
        <v>0</v>
      </c>
      <c r="AAG214" s="73">
        <f t="shared" ref="AAG214:AAG219" si="161">G213</f>
        <v>2</v>
      </c>
      <c r="AAH214" s="73">
        <f t="shared" ref="AAH214:AAH215" si="162">G214</f>
        <v>2</v>
      </c>
      <c r="AAI214" s="60"/>
      <c r="AAJ214" s="55"/>
      <c r="AAK214" s="55"/>
      <c r="AAL214" s="90"/>
      <c r="AAM214"/>
    </row>
    <row r="215" spans="1:715" ht="15" hidden="1" customHeight="1" outlineLevel="2">
      <c r="A215" s="171"/>
      <c r="B215" s="407" t="s">
        <v>241</v>
      </c>
      <c r="C215" s="362" t="s">
        <v>0</v>
      </c>
      <c r="D215" s="380"/>
      <c r="E215" s="342">
        <f t="shared" si="160"/>
        <v>1</v>
      </c>
      <c r="F215" s="457">
        <f t="shared" ca="1" si="158"/>
        <v>0</v>
      </c>
      <c r="G215" s="451">
        <f t="shared" si="149"/>
        <v>2</v>
      </c>
      <c r="H215" s="343">
        <f t="shared" ref="H215:H219" si="163">AAH215</f>
        <v>2</v>
      </c>
      <c r="I215" s="244"/>
      <c r="J215" s="193"/>
      <c r="K215" s="193"/>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AAA215" s="192"/>
      <c r="AAD215" s="90"/>
      <c r="AAE215" s="520">
        <f t="shared" si="155"/>
        <v>0</v>
      </c>
      <c r="AAF215" s="90" t="s">
        <v>0</v>
      </c>
      <c r="AAG215" s="73">
        <f t="shared" si="161"/>
        <v>2</v>
      </c>
      <c r="AAH215" s="73">
        <f t="shared" si="162"/>
        <v>2</v>
      </c>
      <c r="AAI215" s="60"/>
      <c r="AAJ215" s="55"/>
      <c r="AAK215" s="55"/>
      <c r="AAL215" s="90"/>
      <c r="AAM215"/>
    </row>
    <row r="216" spans="1:715" ht="15" hidden="1" customHeight="1" outlineLevel="2">
      <c r="A216" s="171"/>
      <c r="B216" s="615" t="s">
        <v>155</v>
      </c>
      <c r="C216" s="362" t="s">
        <v>0</v>
      </c>
      <c r="D216" s="380"/>
      <c r="E216" s="342">
        <f t="shared" si="160"/>
        <v>1</v>
      </c>
      <c r="F216" s="457">
        <f t="shared" ca="1" si="158"/>
        <v>0</v>
      </c>
      <c r="G216" s="451">
        <f t="shared" si="149"/>
        <v>2</v>
      </c>
      <c r="H216" s="343">
        <f t="shared" si="163"/>
        <v>2</v>
      </c>
      <c r="I216" s="244"/>
      <c r="J216" s="193"/>
      <c r="K216" s="193"/>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AAA216" s="192"/>
      <c r="AAD216" s="90"/>
      <c r="AAE216" s="520">
        <f t="shared" si="155"/>
        <v>0</v>
      </c>
      <c r="AAF216" s="90" t="s">
        <v>0</v>
      </c>
      <c r="AAG216" s="73">
        <f t="shared" si="161"/>
        <v>2</v>
      </c>
      <c r="AAH216" s="73">
        <f>G216</f>
        <v>2</v>
      </c>
      <c r="AAI216" s="60"/>
      <c r="AAJ216" s="55"/>
      <c r="AAK216" s="55"/>
      <c r="AAL216" s="90"/>
      <c r="AAM216"/>
    </row>
    <row r="217" spans="1:715" ht="15" hidden="1" customHeight="1" outlineLevel="2">
      <c r="A217" s="171"/>
      <c r="B217" s="615" t="s">
        <v>155</v>
      </c>
      <c r="C217" s="362" t="s">
        <v>0</v>
      </c>
      <c r="D217" s="380"/>
      <c r="E217" s="342">
        <f t="shared" si="160"/>
        <v>1</v>
      </c>
      <c r="F217" s="457">
        <f t="shared" ca="1" si="158"/>
        <v>0</v>
      </c>
      <c r="G217" s="451">
        <f t="shared" si="149"/>
        <v>2</v>
      </c>
      <c r="H217" s="343">
        <f t="shared" si="163"/>
        <v>2</v>
      </c>
      <c r="I217" s="244"/>
      <c r="J217" s="193"/>
      <c r="K217" s="193"/>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AAA217" s="192"/>
      <c r="AAD217" s="90"/>
      <c r="AAE217" s="520">
        <f t="shared" si="155"/>
        <v>0</v>
      </c>
      <c r="AAF217" s="90" t="s">
        <v>0</v>
      </c>
      <c r="AAG217" s="73">
        <f t="shared" si="161"/>
        <v>2</v>
      </c>
      <c r="AAH217" s="73">
        <f>G217</f>
        <v>2</v>
      </c>
      <c r="AAI217" s="60"/>
      <c r="AAJ217" s="55"/>
      <c r="AAK217" s="55"/>
      <c r="AAL217" s="90"/>
      <c r="AAM217"/>
    </row>
    <row r="218" spans="1:715" ht="15" hidden="1" customHeight="1" outlineLevel="2">
      <c r="A218" s="171"/>
      <c r="B218" s="615" t="s">
        <v>155</v>
      </c>
      <c r="C218" s="362" t="s">
        <v>0</v>
      </c>
      <c r="D218" s="380"/>
      <c r="E218" s="342">
        <f t="shared" si="160"/>
        <v>1</v>
      </c>
      <c r="F218" s="457">
        <f t="shared" ca="1" si="158"/>
        <v>0</v>
      </c>
      <c r="G218" s="451">
        <f t="shared" si="149"/>
        <v>2</v>
      </c>
      <c r="H218" s="343">
        <f t="shared" si="163"/>
        <v>2</v>
      </c>
      <c r="I218" s="244"/>
      <c r="J218" s="193"/>
      <c r="K218" s="193"/>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AAA218" s="192"/>
      <c r="AAD218" s="90"/>
      <c r="AAE218" s="520">
        <f t="shared" si="155"/>
        <v>0</v>
      </c>
      <c r="AAF218" s="90" t="s">
        <v>0</v>
      </c>
      <c r="AAG218" s="73">
        <f t="shared" si="161"/>
        <v>2</v>
      </c>
      <c r="AAH218" s="73">
        <f>G218</f>
        <v>2</v>
      </c>
      <c r="AAI218" s="60"/>
      <c r="AAJ218" s="55"/>
      <c r="AAK218" s="55"/>
      <c r="AAL218" s="90"/>
      <c r="AAM218"/>
    </row>
    <row r="219" spans="1:715" ht="15" hidden="1" customHeight="1" outlineLevel="2" thickBot="1">
      <c r="A219" s="171"/>
      <c r="B219" s="615" t="s">
        <v>155</v>
      </c>
      <c r="C219" s="362" t="s">
        <v>0</v>
      </c>
      <c r="D219" s="380"/>
      <c r="E219" s="342">
        <f t="shared" si="160"/>
        <v>1</v>
      </c>
      <c r="F219" s="457">
        <f t="shared" ca="1" si="158"/>
        <v>0</v>
      </c>
      <c r="G219" s="451">
        <f t="shared" si="149"/>
        <v>2</v>
      </c>
      <c r="H219" s="343">
        <f t="shared" si="163"/>
        <v>2</v>
      </c>
      <c r="I219" s="244"/>
      <c r="J219" s="193"/>
      <c r="K219" s="193"/>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AAA219" s="192"/>
      <c r="AAD219" s="90"/>
      <c r="AAE219" s="520">
        <f t="shared" si="155"/>
        <v>0</v>
      </c>
      <c r="AAF219" s="90" t="s">
        <v>0</v>
      </c>
      <c r="AAG219" s="73">
        <f t="shared" si="161"/>
        <v>2</v>
      </c>
      <c r="AAH219" s="73">
        <f>G219</f>
        <v>2</v>
      </c>
      <c r="AAI219" s="60"/>
      <c r="AAJ219" s="55"/>
      <c r="AAK219" s="55"/>
      <c r="AAL219" s="90"/>
      <c r="AAM219"/>
    </row>
    <row r="220" spans="1:715" s="23" customFormat="1" ht="15" hidden="1" customHeight="1" outlineLevel="3" thickBot="1">
      <c r="A220" s="171"/>
      <c r="B220" s="661" t="s">
        <v>216</v>
      </c>
      <c r="C220" s="377" t="s">
        <v>17</v>
      </c>
      <c r="D220" s="452"/>
      <c r="E220" s="453"/>
      <c r="F220" s="453"/>
      <c r="G220" s="453"/>
      <c r="H220" s="453"/>
      <c r="I220" s="244"/>
      <c r="J220" s="193"/>
      <c r="K220" s="193"/>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s="52"/>
      <c r="AAA220" s="192"/>
      <c r="AAB220"/>
      <c r="AAC220"/>
      <c r="AAD220" s="90"/>
      <c r="AAE220" s="520">
        <f t="shared" ref="AAE220:AAE227" si="164">IF(AND(S.AC.InvolveMeeting1="Y",S.AC.CommitteeInvolved="Y",S.AC.Presentation1="Y"),1,0)</f>
        <v>0</v>
      </c>
      <c r="AAF220" s="190" t="s">
        <v>52</v>
      </c>
      <c r="AAG220" s="39"/>
      <c r="AAH220" s="39"/>
      <c r="AAI220" s="39"/>
      <c r="AAJ220" s="55"/>
      <c r="AAK220" s="55"/>
      <c r="AAL220" s="90"/>
    </row>
    <row r="221" spans="1:715" s="23" customFormat="1" ht="15" hidden="1" customHeight="1" outlineLevel="3">
      <c r="A221" s="171"/>
      <c r="B221" s="662" t="s">
        <v>156</v>
      </c>
      <c r="C221" s="362" t="s">
        <v>0</v>
      </c>
      <c r="D221" s="454"/>
      <c r="E221" s="442"/>
      <c r="F221" s="442"/>
      <c r="G221" s="442"/>
      <c r="H221" s="442"/>
      <c r="I221" s="244"/>
      <c r="J221" s="193"/>
      <c r="K221" s="193"/>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s="52"/>
      <c r="AAA221" s="192"/>
      <c r="AAD221" s="90"/>
      <c r="AAE221" s="520">
        <f t="shared" si="164"/>
        <v>0</v>
      </c>
      <c r="AAF221" s="190" t="s">
        <v>52</v>
      </c>
      <c r="AAG221" s="39"/>
      <c r="AAH221" s="39"/>
      <c r="AAI221" s="60"/>
      <c r="AAJ221" s="55"/>
      <c r="AAK221" s="55"/>
      <c r="AAL221" s="90"/>
    </row>
    <row r="222" spans="1:715" ht="15" hidden="1" customHeight="1" outlineLevel="3">
      <c r="A222" s="171"/>
      <c r="B222" s="663" t="str">
        <f>AAK222</f>
        <v>* drafts optional AC.PRESENTATION.01.16.00</v>
      </c>
      <c r="C222" s="790" t="str">
        <f>HYPERLINK("http://deq05/intranet/communication/docs/DEQAgencyTemplate1.potx","i")</f>
        <v>i</v>
      </c>
      <c r="D222" s="511"/>
      <c r="E222" s="342">
        <f>NETWORKDAYS(G222,H222,S.DDL_DEQClosed)</f>
        <v>1</v>
      </c>
      <c r="F222" s="457">
        <f ca="1">IF(YEAR(H222)&gt;2000,NETWORKDAYS(TODAY(),H222,S.DDL_DEQClosed),0)</f>
        <v>0</v>
      </c>
      <c r="G222" s="451">
        <f t="shared" si="149"/>
        <v>2</v>
      </c>
      <c r="H222" s="343">
        <f>AAH222</f>
        <v>2</v>
      </c>
      <c r="I222" s="244"/>
      <c r="J222" s="193"/>
      <c r="K222" s="193"/>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AAA222" s="192"/>
      <c r="AAD222" s="90"/>
      <c r="AAE222" s="520">
        <f t="shared" si="164"/>
        <v>0</v>
      </c>
      <c r="AAF222" s="90" t="s">
        <v>0</v>
      </c>
      <c r="AAG222" s="73">
        <f>G219</f>
        <v>2</v>
      </c>
      <c r="AAH222" s="73">
        <f>G222</f>
        <v>2</v>
      </c>
      <c r="AAI222" s="60"/>
      <c r="AAJ222" s="55"/>
      <c r="AAK222" s="92" t="str">
        <f>"* drafts optional AC.PRESENTATION."&amp;TEXT($G$209,"mm.dd.yy")</f>
        <v>* drafts optional AC.PRESENTATION.01.16.00</v>
      </c>
      <c r="AAL222" s="90"/>
      <c r="AAM222"/>
    </row>
    <row r="223" spans="1:715" s="23" customFormat="1" ht="15" hidden="1" customHeight="1" outlineLevel="3">
      <c r="A223" s="171"/>
      <c r="B223" s="662" t="s">
        <v>156</v>
      </c>
      <c r="C223" s="362" t="s">
        <v>0</v>
      </c>
      <c r="D223" s="454"/>
      <c r="E223" s="453"/>
      <c r="F223" s="453"/>
      <c r="G223" s="453"/>
      <c r="H223" s="453"/>
      <c r="I223" s="244"/>
      <c r="J223" s="193"/>
      <c r="K223" s="193"/>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s="52"/>
      <c r="AAA223" s="192"/>
      <c r="AAD223" s="90"/>
      <c r="AAE223" s="520">
        <f t="shared" si="164"/>
        <v>0</v>
      </c>
      <c r="AAF223" s="190" t="s">
        <v>52</v>
      </c>
      <c r="AAG223" s="39"/>
      <c r="AAH223" s="39"/>
      <c r="AAI223" s="60"/>
      <c r="AAJ223" s="55"/>
      <c r="AAK223" s="55"/>
      <c r="AAL223" s="90"/>
    </row>
    <row r="224" spans="1:715" s="23" customFormat="1" ht="15" hidden="1" customHeight="1" outlineLevel="3">
      <c r="A224" s="171"/>
      <c r="B224" s="664" t="s">
        <v>240</v>
      </c>
      <c r="C224" s="362" t="s">
        <v>0</v>
      </c>
      <c r="D224" s="380"/>
      <c r="E224" s="342">
        <f t="shared" ref="E224" si="165">NETWORKDAYS(G224,H224,S.DDL_DEQClosed)</f>
        <v>1</v>
      </c>
      <c r="F224" s="457">
        <f ca="1">IF(YEAR(H224)&gt;2000,NETWORKDAYS(TODAY(),H224,S.DDL_DEQClosed),0)</f>
        <v>0</v>
      </c>
      <c r="G224" s="451">
        <f t="shared" si="149"/>
        <v>2</v>
      </c>
      <c r="H224" s="343">
        <f>AAH224</f>
        <v>2</v>
      </c>
      <c r="I224" s="244"/>
      <c r="J224" s="193"/>
      <c r="K224" s="193"/>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s="52"/>
      <c r="AAA224" s="192"/>
      <c r="AAB224"/>
      <c r="AAC224"/>
      <c r="AAD224" s="90"/>
      <c r="AAE224" s="520">
        <f t="shared" si="164"/>
        <v>0</v>
      </c>
      <c r="AAF224" s="90" t="s">
        <v>0</v>
      </c>
      <c r="AAG224" s="73">
        <f>G222</f>
        <v>2</v>
      </c>
      <c r="AAH224" s="73">
        <f t="shared" ref="AAH224" si="166">G224</f>
        <v>2</v>
      </c>
      <c r="AAI224" s="60"/>
      <c r="AAJ224" s="55"/>
      <c r="AAK224" s="55"/>
      <c r="AAL224" s="90"/>
    </row>
    <row r="225" spans="1:715" ht="15" hidden="1" customHeight="1" outlineLevel="3">
      <c r="A225" s="171"/>
      <c r="B225" s="665" t="s">
        <v>319</v>
      </c>
      <c r="C225" s="362" t="s">
        <v>0</v>
      </c>
      <c r="D225" s="380"/>
      <c r="E225" s="342">
        <f>NETWORKDAYS(G225,H225,S.DDL_DEQClosed)</f>
        <v>1</v>
      </c>
      <c r="F225" s="457">
        <f ca="1">IF(YEAR(H225)&gt;2000,NETWORKDAYS(TODAY(),H225,S.DDL_DEQClosed),0)</f>
        <v>0</v>
      </c>
      <c r="G225" s="451">
        <f t="shared" si="149"/>
        <v>2</v>
      </c>
      <c r="H225" s="343">
        <f>AAH225</f>
        <v>2</v>
      </c>
      <c r="I225" s="244"/>
      <c r="J225" s="193"/>
      <c r="K225" s="193"/>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AAA225" s="192"/>
      <c r="AAD225" s="90"/>
      <c r="AAE225" s="520">
        <f t="shared" si="164"/>
        <v>0</v>
      </c>
      <c r="AAF225" s="90" t="s">
        <v>0</v>
      </c>
      <c r="AAG225" s="73">
        <f>G224</f>
        <v>2</v>
      </c>
      <c r="AAH225" s="73">
        <f>G225</f>
        <v>2</v>
      </c>
      <c r="AAI225" s="60" t="s">
        <v>0</v>
      </c>
      <c r="AAJ225" s="55"/>
      <c r="AAK225" s="55"/>
      <c r="AAL225" s="90"/>
      <c r="AAM225"/>
    </row>
    <row r="226" spans="1:715" ht="15" hidden="1" customHeight="1" outlineLevel="3">
      <c r="A226" s="171"/>
      <c r="B226" s="666" t="str">
        <f>AAK226</f>
        <v>AndreaRW submits Web Request to post materials</v>
      </c>
      <c r="C226" s="792" t="str">
        <f>HYPERLINK("http://deq05/intranet/communication/WebRequests.htm","i")</f>
        <v>i</v>
      </c>
      <c r="D226" s="380"/>
      <c r="E226" s="342">
        <f>NETWORKDAYS(G226,H226,S.DDL_DEQClosed)</f>
        <v>1</v>
      </c>
      <c r="F226" s="457">
        <f t="shared" ref="F226:F231" ca="1" si="167">IF(YEAR(H226)&gt;2000,NETWORKDAYS(TODAY(),H226,S.DDL_DEQClosed),0)</f>
        <v>0</v>
      </c>
      <c r="G226" s="451">
        <f t="shared" si="149"/>
        <v>2</v>
      </c>
      <c r="H226" s="343">
        <f>AAH226</f>
        <v>2</v>
      </c>
      <c r="I226" s="244"/>
      <c r="J226" s="193"/>
      <c r="K226" s="193"/>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AAA226" s="192"/>
      <c r="AAD226" s="90"/>
      <c r="AAE226" s="520">
        <f t="shared" si="164"/>
        <v>0</v>
      </c>
      <c r="AAF226" s="90" t="s">
        <v>0</v>
      </c>
      <c r="AAG226" s="73">
        <f t="shared" ref="AAG226:AAG228" si="168">G225</f>
        <v>2</v>
      </c>
      <c r="AAH226" s="73">
        <f>G226</f>
        <v>2</v>
      </c>
      <c r="AAI226" s="60"/>
      <c r="AAJ226" s="55"/>
      <c r="AAK226" s="92" t="str">
        <f>S.Staff.Lead&amp;" submits Web Request to post materials"</f>
        <v>AndreaRW submits Web Request to post materials</v>
      </c>
      <c r="AAL226" s="90"/>
      <c r="AAM226"/>
    </row>
    <row r="227" spans="1:715" s="23" customFormat="1" ht="15" hidden="1" customHeight="1" outlineLevel="3">
      <c r="A227" s="171"/>
      <c r="B227" s="665" t="s">
        <v>159</v>
      </c>
      <c r="C227" s="425" t="s">
        <v>0</v>
      </c>
      <c r="D227" s="380"/>
      <c r="E227" s="342">
        <f>NETWORKDAYS(G227,H227,S.DDL_DEQClosed)</f>
        <v>1</v>
      </c>
      <c r="F227" s="457">
        <f t="shared" ca="1" si="167"/>
        <v>0</v>
      </c>
      <c r="G227" s="451">
        <f t="shared" si="149"/>
        <v>2</v>
      </c>
      <c r="H227" s="343">
        <f>AAH227</f>
        <v>2</v>
      </c>
      <c r="I227" s="244"/>
      <c r="J227" s="193"/>
      <c r="K227" s="193"/>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s="52"/>
      <c r="AAA227" s="192"/>
      <c r="AAD227" s="90"/>
      <c r="AAE227" s="520">
        <f t="shared" si="164"/>
        <v>0</v>
      </c>
      <c r="AAF227" s="90"/>
      <c r="AAG227" s="73">
        <f t="shared" si="168"/>
        <v>2</v>
      </c>
      <c r="AAH227" s="73">
        <f>G227</f>
        <v>2</v>
      </c>
      <c r="AAI227" s="72"/>
      <c r="AAJ227" s="72"/>
      <c r="AAK227" s="55"/>
      <c r="AAL227" s="90"/>
    </row>
    <row r="228" spans="1:715" ht="15" hidden="1" customHeight="1" outlineLevel="2">
      <c r="A228" s="171"/>
      <c r="B228" s="486" t="str">
        <f>AAK228</f>
        <v>AndreaRW sends meeting notice with link to Web page</v>
      </c>
      <c r="C228" s="425" t="s">
        <v>0</v>
      </c>
      <c r="D228" s="380"/>
      <c r="E228" s="342">
        <f>NETWORKDAYS(G228,H228,S.DDL_DEQClosed)</f>
        <v>1</v>
      </c>
      <c r="F228" s="457">
        <f t="shared" ca="1" si="167"/>
        <v>0</v>
      </c>
      <c r="G228" s="451">
        <f t="shared" si="149"/>
        <v>2</v>
      </c>
      <c r="H228" s="343">
        <f t="shared" ref="H228:H231" si="169">AAH228</f>
        <v>2</v>
      </c>
      <c r="I228" s="244"/>
      <c r="J228" s="193"/>
      <c r="K228" s="193"/>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AAA228" s="192"/>
      <c r="AAD228" s="90"/>
      <c r="AAE228" s="520">
        <f>IF(AND(S.AC.InvolveMeeting1="Y",S.AC.CommitteeInvolved="Y"),1,0)</f>
        <v>0</v>
      </c>
      <c r="AAF228" s="90"/>
      <c r="AAG228" s="73">
        <f t="shared" si="168"/>
        <v>2</v>
      </c>
      <c r="AAH228" s="73">
        <f>G228</f>
        <v>2</v>
      </c>
      <c r="AAI228" s="72"/>
      <c r="AAJ228" s="72"/>
      <c r="AAK228" s="92" t="str">
        <f>S.Staff.Lead&amp;" sends meeting notice with link to Web page"</f>
        <v>AndreaRW sends meeting notice with link to Web page</v>
      </c>
      <c r="AAL228" s="90"/>
      <c r="AAM228"/>
    </row>
    <row r="229" spans="1:715" ht="15" hidden="1" customHeight="1" outlineLevel="2">
      <c r="A229" s="171"/>
      <c r="B229" s="616" t="s">
        <v>157</v>
      </c>
      <c r="C229" s="425" t="s">
        <v>0</v>
      </c>
      <c r="D229" s="851" t="s">
        <v>324</v>
      </c>
      <c r="E229" s="851"/>
      <c r="F229" s="851"/>
      <c r="G229" s="852"/>
      <c r="H229" s="351">
        <f t="shared" si="169"/>
        <v>16</v>
      </c>
      <c r="I229" s="244"/>
      <c r="J229" s="193"/>
      <c r="K229" s="193"/>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AAA229" s="192"/>
      <c r="AAD229" s="90"/>
      <c r="AAE229" s="520">
        <f>IF(AND(S.AC.InvolveMeeting1="Y",S.AC.CommitteeInvolved="Y"),1,0)</f>
        <v>0</v>
      </c>
      <c r="AAF229" s="90"/>
      <c r="AAG229" s="72"/>
      <c r="AAH229" s="73">
        <f>S.AC.DateMeeting1</f>
        <v>16</v>
      </c>
      <c r="AAI229" s="72"/>
      <c r="AAJ229" s="72"/>
      <c r="AAK229" s="55"/>
      <c r="AAL229" s="90"/>
      <c r="AAM229"/>
    </row>
    <row r="230" spans="1:715" ht="15" hidden="1" customHeight="1" outlineLevel="2">
      <c r="A230" s="171"/>
      <c r="B230" s="486" t="str">
        <f>AAK230</f>
        <v>AndreaRW drafts AC.MINUTES 01.16.00</v>
      </c>
      <c r="C230" s="790" t="str">
        <f>HYPERLINK("\\deq000\templates\General\Minutes Template.dotx","i")</f>
        <v>i</v>
      </c>
      <c r="D230" s="511"/>
      <c r="E230" s="342">
        <f t="shared" ref="E230:E231" si="170">NETWORKDAYS(G230,H230,S.DDL_DEQClosed)</f>
        <v>1</v>
      </c>
      <c r="F230" s="457">
        <f t="shared" ca="1" si="167"/>
        <v>0</v>
      </c>
      <c r="G230" s="451">
        <f t="shared" si="149"/>
        <v>16</v>
      </c>
      <c r="H230" s="343">
        <f t="shared" si="169"/>
        <v>16</v>
      </c>
      <c r="I230" s="244"/>
      <c r="J230" s="193"/>
      <c r="K230" s="193"/>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AAA230" s="192"/>
      <c r="AAD230" s="90"/>
      <c r="AAE230" s="520">
        <f>IF(AND(S.AC.InvolveMeeting1="Y",S.AC.CommitteeInvolved="Y"),1,0)</f>
        <v>0</v>
      </c>
      <c r="AAF230" s="90"/>
      <c r="AAG230" s="73">
        <f>S.AC.DateMeeting1</f>
        <v>16</v>
      </c>
      <c r="AAH230" s="73">
        <f t="shared" ref="AAH230:AAH231" si="171">G230</f>
        <v>16</v>
      </c>
      <c r="AAI230" s="72"/>
      <c r="AAJ230" s="72"/>
      <c r="AAK230" s="80" t="str">
        <f>S.Staff.Lead&amp;" drafts AC.MINUTES "&amp;TEXT(S.AC.DateMeeting1,"mm.dd.yy")</f>
        <v>AndreaRW drafts AC.MINUTES 01.16.00</v>
      </c>
      <c r="AAL230" s="90"/>
      <c r="AAM230"/>
    </row>
    <row r="231" spans="1:715" ht="15" hidden="1" customHeight="1" outlineLevel="2" thickBot="1">
      <c r="A231" s="171"/>
      <c r="B231" s="616" t="s">
        <v>158</v>
      </c>
      <c r="C231" s="425" t="s">
        <v>0</v>
      </c>
      <c r="D231" s="380"/>
      <c r="E231" s="342">
        <f t="shared" si="170"/>
        <v>1</v>
      </c>
      <c r="F231" s="457">
        <f t="shared" ca="1" si="167"/>
        <v>0</v>
      </c>
      <c r="G231" s="451">
        <f t="shared" si="149"/>
        <v>16</v>
      </c>
      <c r="H231" s="343">
        <f t="shared" si="169"/>
        <v>16</v>
      </c>
      <c r="I231" s="244"/>
      <c r="J231" s="193"/>
      <c r="K231" s="193"/>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AAA231" s="192"/>
      <c r="AAD231" s="90"/>
      <c r="AAE231" s="520">
        <f>IF(AND(S.AC.InvolveMeeting1="Y",S.AC.CommitteeInvolved="Y"),1,0)</f>
        <v>0</v>
      </c>
      <c r="AAF231" s="90"/>
      <c r="AAG231" s="73">
        <f>S.AC.DateMeeting1</f>
        <v>16</v>
      </c>
      <c r="AAH231" s="73">
        <f t="shared" si="171"/>
        <v>16</v>
      </c>
      <c r="AAI231" s="72"/>
      <c r="AAJ231" s="72"/>
      <c r="AAK231" s="55"/>
      <c r="AAL231" s="90"/>
      <c r="AAM231"/>
    </row>
    <row r="232" spans="1:715" s="23" customFormat="1" ht="15" hidden="1" customHeight="1" outlineLevel="1" collapsed="1" thickBot="1">
      <c r="A232" s="171"/>
      <c r="B232" s="528" t="s">
        <v>25</v>
      </c>
      <c r="C232" s="377" t="s">
        <v>17</v>
      </c>
      <c r="D232" s="515"/>
      <c r="E232" s="515"/>
      <c r="F232" s="527"/>
      <c r="G232" s="339">
        <f>AAG232</f>
        <v>16</v>
      </c>
      <c r="H232" s="524" t="s">
        <v>54</v>
      </c>
      <c r="I232" s="244"/>
      <c r="J232" s="193"/>
      <c r="K232" s="193"/>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s="52"/>
      <c r="AAA232" s="192"/>
      <c r="AAB232"/>
      <c r="AAC232"/>
      <c r="AAD232" s="90"/>
      <c r="AAE232" s="520">
        <f>IF(AND(S.AC.InvolveMeeting2="Y",S.AC.CommitteeInvolved="Y"),1,0)</f>
        <v>0</v>
      </c>
      <c r="AAF232" s="190" t="s">
        <v>52</v>
      </c>
      <c r="AAG232" s="73">
        <f>S.AC.DateMeeting1</f>
        <v>16</v>
      </c>
      <c r="AAH232" s="39" t="s">
        <v>0</v>
      </c>
      <c r="AAI232" s="39"/>
      <c r="AAJ232" s="55"/>
      <c r="AAK232" s="55"/>
      <c r="AAL232" s="90"/>
    </row>
    <row r="233" spans="1:715" s="23" customFormat="1" ht="15" hidden="1" customHeight="1" outlineLevel="2">
      <c r="A233" s="171"/>
      <c r="B233" s="613" t="s">
        <v>154</v>
      </c>
      <c r="C233" s="346"/>
      <c r="D233" s="380"/>
      <c r="E233" s="342">
        <f t="shared" ref="E233" si="172">NETWORKDAYS(G233,H233,S.DDL_DEQClosed)</f>
        <v>1</v>
      </c>
      <c r="F233" s="457">
        <f ca="1">IF(YEAR(H233)&gt;2000,NETWORKDAYS(TODAY(),H233,S.DDL_DEQClosed),0)</f>
        <v>0</v>
      </c>
      <c r="G233" s="451">
        <f t="shared" ref="G233" si="173">AAG233</f>
        <v>2</v>
      </c>
      <c r="H233" s="343">
        <f t="shared" ref="H233" si="174">AAH233</f>
        <v>2</v>
      </c>
      <c r="I233" s="244"/>
      <c r="J233" s="193"/>
      <c r="K233" s="193"/>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s="52"/>
      <c r="AAA233" s="192"/>
      <c r="AAD233" s="90"/>
      <c r="AAE233" s="520">
        <f>IF(AND(S.AC.InvolveMeeting2="Y",S.AC.CommitteeInvolved="Y"),1,0)</f>
        <v>0</v>
      </c>
      <c r="AAF233" s="90"/>
      <c r="AAG233" s="73">
        <f>WORKDAY(S.AC.DateMeeting2-13,-1,S.DDL_DEQClosed)</f>
        <v>2</v>
      </c>
      <c r="AAH233" s="73">
        <f t="shared" ref="AAH233" si="175">G233</f>
        <v>2</v>
      </c>
      <c r="AAI233" s="60"/>
      <c r="AAJ233" s="55"/>
      <c r="AAK233" s="39"/>
      <c r="AAL233" s="90"/>
    </row>
    <row r="234" spans="1:715" s="23" customFormat="1" ht="15" hidden="1" customHeight="1" outlineLevel="2">
      <c r="A234" s="171"/>
      <c r="B234" s="384" t="str">
        <f>AAK234</f>
        <v>AndreaRW coordinates or drafts:</v>
      </c>
      <c r="C234" s="346"/>
      <c r="D234" s="374"/>
      <c r="E234" s="350"/>
      <c r="F234" s="350"/>
      <c r="G234" s="346"/>
      <c r="H234" s="409"/>
      <c r="I234" s="244"/>
      <c r="J234" s="193"/>
      <c r="K234" s="193"/>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s="52"/>
      <c r="AAA234" s="192"/>
      <c r="AAD234" s="90"/>
      <c r="AAE234" s="520">
        <f>IF(AND(S.AC.InvolveMeeting2="Y",S.AC.CommitteeInvolved="Y"),1,0)</f>
        <v>0</v>
      </c>
      <c r="AAF234" s="190" t="s">
        <v>52</v>
      </c>
      <c r="AAG234" s="60"/>
      <c r="AAH234" s="71"/>
      <c r="AAI234" s="71"/>
      <c r="AAJ234" s="55"/>
      <c r="AAK234" s="80" t="str">
        <f>S.Staff.Lead&amp;" coordinates or drafts:"</f>
        <v>AndreaRW coordinates or drafts:</v>
      </c>
      <c r="AAL234" s="90"/>
    </row>
    <row r="235" spans="1:715" s="23" customFormat="1" ht="15" hidden="1" customHeight="1" outlineLevel="2">
      <c r="A235" s="171"/>
      <c r="B235" s="437" t="str">
        <f>AAK235</f>
        <v>* AC.AGENDA.01.16.00, gets team agreement</v>
      </c>
      <c r="C235" s="790" t="str">
        <f>HYPERLINK("\\deq000\templates\General\Agenda Template.dotx","i")</f>
        <v>i</v>
      </c>
      <c r="D235" s="511"/>
      <c r="E235" s="342">
        <f t="shared" ref="E235:E238" si="176">NETWORKDAYS(G235,H235,S.DDL_DEQClosed)</f>
        <v>1</v>
      </c>
      <c r="F235" s="457">
        <f t="shared" ref="F235:F238" ca="1" si="177">IF(YEAR(H235)&gt;2000,NETWORKDAYS(TODAY(),H235,S.DDL_DEQClosed),0)</f>
        <v>0</v>
      </c>
      <c r="G235" s="451">
        <f t="shared" ref="G235:G242" si="178">AAG235</f>
        <v>2</v>
      </c>
      <c r="H235" s="343">
        <f t="shared" ref="H235:H238" si="179">AAH235</f>
        <v>2</v>
      </c>
      <c r="I235" s="244"/>
      <c r="J235" s="193"/>
      <c r="K235" s="193"/>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s="52"/>
      <c r="AAA235" s="192"/>
      <c r="AAD235" s="90"/>
      <c r="AAE235" s="520">
        <f>IF(AND(S.AC.InvolveMeeting1="Y",S.AC.CommitteeInvolved="Y"),1,0)</f>
        <v>0</v>
      </c>
      <c r="AAF235" s="90" t="s">
        <v>0</v>
      </c>
      <c r="AAG235" s="73">
        <f>G233</f>
        <v>2</v>
      </c>
      <c r="AAH235" s="73">
        <f>G235</f>
        <v>2</v>
      </c>
      <c r="AAI235" s="72"/>
      <c r="AAJ235" s="74"/>
      <c r="AAK235" s="80" t="str">
        <f>"* AC.AGENDA."&amp; TEXT(S.AC.DateMeeting1,"mm.dd.yy")&amp;", gets team agreement"</f>
        <v>* AC.AGENDA.01.16.00, gets team agreement</v>
      </c>
      <c r="AAL235" s="90"/>
    </row>
    <row r="236" spans="1:715" s="23" customFormat="1" ht="15" hidden="1" customHeight="1" outlineLevel="2">
      <c r="A236" s="171"/>
      <c r="B236" s="437" t="str">
        <f>AAK236</f>
        <v>* AC.NOTIFICATION.01.16.00</v>
      </c>
      <c r="C236" s="362" t="s">
        <v>0</v>
      </c>
      <c r="D236" s="380"/>
      <c r="E236" s="342">
        <f t="shared" si="176"/>
        <v>1</v>
      </c>
      <c r="F236" s="457">
        <f t="shared" ca="1" si="177"/>
        <v>0</v>
      </c>
      <c r="G236" s="451">
        <f t="shared" si="178"/>
        <v>2</v>
      </c>
      <c r="H236" s="343">
        <f t="shared" si="179"/>
        <v>2</v>
      </c>
      <c r="I236" s="244"/>
      <c r="J236" s="193"/>
      <c r="K236" s="193"/>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s="52"/>
      <c r="AAA236" s="192"/>
      <c r="AAD236" s="90"/>
      <c r="AAE236" s="520">
        <f>IF(AND(S.AC.InvolveMeeting1="Y",S.AC.CommitteeInvolved="Y"),1,0)</f>
        <v>0</v>
      </c>
      <c r="AAF236" s="90" t="s">
        <v>0</v>
      </c>
      <c r="AAG236" s="73">
        <f>G235</f>
        <v>2</v>
      </c>
      <c r="AAH236" s="73">
        <f t="shared" ref="AAH236:AAH238" si="180">G236</f>
        <v>2</v>
      </c>
      <c r="AAI236" s="72"/>
      <c r="AAJ236" s="72"/>
      <c r="AAK236" s="80" t="str">
        <f>"* AC.NOTIFICATION."&amp;TEXT(S.AC.DateMeeting1,"mm.dd.yy")</f>
        <v>* AC.NOTIFICATION.01.16.00</v>
      </c>
      <c r="AAL236" s="90"/>
    </row>
    <row r="237" spans="1:715" s="23" customFormat="1" ht="15" hidden="1" customHeight="1" outlineLevel="2">
      <c r="A237" s="171"/>
      <c r="B237" s="441" t="s">
        <v>318</v>
      </c>
      <c r="C237" s="790" t="str">
        <f>HYPERLINK("http://deq05/intranet/contentmanagement/login.asp","i")</f>
        <v>i</v>
      </c>
      <c r="D237" s="512"/>
      <c r="E237" s="342">
        <f t="shared" si="176"/>
        <v>1</v>
      </c>
      <c r="F237" s="457">
        <f t="shared" ca="1" si="177"/>
        <v>0</v>
      </c>
      <c r="G237" s="451">
        <f t="shared" si="178"/>
        <v>2</v>
      </c>
      <c r="H237" s="343">
        <f t="shared" si="179"/>
        <v>2</v>
      </c>
      <c r="I237" s="244"/>
      <c r="J237" s="193"/>
      <c r="K237" s="193"/>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s="52"/>
      <c r="AAA237" s="192" t="s">
        <v>0</v>
      </c>
      <c r="AAD237" s="90"/>
      <c r="AAE237" s="520">
        <f>IF(AND(S.AC.InvolveMeeting1="Y",S.AC.CommitteeInvolved="Y"),1,0)</f>
        <v>0</v>
      </c>
      <c r="AAF237" s="90" t="s">
        <v>0</v>
      </c>
      <c r="AAG237" s="73">
        <f t="shared" ref="AAG237:AAG242" si="181">G236</f>
        <v>2</v>
      </c>
      <c r="AAH237" s="73">
        <f t="shared" si="180"/>
        <v>2</v>
      </c>
      <c r="AAI237" s="60"/>
      <c r="AAJ237" s="55"/>
      <c r="AAK237" s="55"/>
      <c r="AAL237" s="90"/>
    </row>
    <row r="238" spans="1:715" s="23" customFormat="1" ht="15" hidden="1" customHeight="1" outlineLevel="2">
      <c r="A238" s="171"/>
      <c r="B238" s="407" t="s">
        <v>241</v>
      </c>
      <c r="C238" s="362" t="s">
        <v>0</v>
      </c>
      <c r="D238" s="380"/>
      <c r="E238" s="342">
        <f t="shared" si="176"/>
        <v>1</v>
      </c>
      <c r="F238" s="457">
        <f t="shared" ca="1" si="177"/>
        <v>0</v>
      </c>
      <c r="G238" s="451">
        <f t="shared" si="178"/>
        <v>2</v>
      </c>
      <c r="H238" s="343">
        <f t="shared" si="179"/>
        <v>2</v>
      </c>
      <c r="I238" s="244"/>
      <c r="J238" s="193"/>
      <c r="K238" s="193"/>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s="52"/>
      <c r="AAA238" s="192"/>
      <c r="AAD238" s="90"/>
      <c r="AAE238" s="520">
        <f>IF(AND(S.AC.InvolveMeeting1="Y",S.AC.CommitteeInvolved="Y"),1,0)</f>
        <v>0</v>
      </c>
      <c r="AAF238" s="90" t="s">
        <v>0</v>
      </c>
      <c r="AAG238" s="73">
        <f t="shared" si="181"/>
        <v>2</v>
      </c>
      <c r="AAH238" s="73">
        <f t="shared" si="180"/>
        <v>2</v>
      </c>
      <c r="AAI238" s="60"/>
      <c r="AAJ238" s="55"/>
      <c r="AAK238" s="55"/>
      <c r="AAL238" s="90"/>
    </row>
    <row r="239" spans="1:715" s="23" customFormat="1" ht="15" hidden="1" customHeight="1" outlineLevel="2">
      <c r="A239" s="171"/>
      <c r="B239" s="615" t="s">
        <v>155</v>
      </c>
      <c r="C239" s="362" t="s">
        <v>0</v>
      </c>
      <c r="D239" s="380"/>
      <c r="E239" s="342">
        <f t="shared" ref="E239:E242" si="182">NETWORKDAYS(G239,H239,S.DDL_DEQClosed)</f>
        <v>1</v>
      </c>
      <c r="F239" s="457">
        <f t="shared" ref="F239:F242" ca="1" si="183">IF(YEAR(H239)&gt;2000,NETWORKDAYS(TODAY(),H239,S.DDL_DEQClosed),0)</f>
        <v>0</v>
      </c>
      <c r="G239" s="451">
        <f t="shared" si="178"/>
        <v>2</v>
      </c>
      <c r="H239" s="343">
        <f t="shared" ref="H239:H242" si="184">AAH239</f>
        <v>2</v>
      </c>
      <c r="I239" s="244"/>
      <c r="J239" s="193"/>
      <c r="K239" s="193"/>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s="52"/>
      <c r="AAA239" s="192"/>
      <c r="AAD239" s="90"/>
      <c r="AAE239" s="520">
        <f>IF(AND(S.AC.InvolveMeeting2="Y",S.AC.CommitteeInvolved="Y"),1,0)</f>
        <v>0</v>
      </c>
      <c r="AAF239" s="90" t="s">
        <v>0</v>
      </c>
      <c r="AAG239" s="73">
        <f t="shared" si="181"/>
        <v>2</v>
      </c>
      <c r="AAH239" s="73">
        <f>G239</f>
        <v>2</v>
      </c>
      <c r="AAI239" s="60"/>
      <c r="AAJ239" s="55"/>
      <c r="AAK239" s="55"/>
      <c r="AAL239" s="90"/>
    </row>
    <row r="240" spans="1:715" s="23" customFormat="1" ht="15" hidden="1" customHeight="1" outlineLevel="2">
      <c r="A240" s="171"/>
      <c r="B240" s="615" t="s">
        <v>155</v>
      </c>
      <c r="C240" s="362" t="s">
        <v>0</v>
      </c>
      <c r="D240" s="380"/>
      <c r="E240" s="342">
        <f t="shared" si="182"/>
        <v>1</v>
      </c>
      <c r="F240" s="457">
        <f t="shared" ca="1" si="183"/>
        <v>0</v>
      </c>
      <c r="G240" s="451">
        <f t="shared" si="178"/>
        <v>2</v>
      </c>
      <c r="H240" s="343">
        <f t="shared" si="184"/>
        <v>2</v>
      </c>
      <c r="I240" s="244"/>
      <c r="J240" s="193"/>
      <c r="K240" s="193"/>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s="52"/>
      <c r="AAA240" s="192"/>
      <c r="AAD240" s="90"/>
      <c r="AAE240" s="520">
        <f>IF(AND(S.AC.InvolveMeeting2="Y",S.AC.CommitteeInvolved="Y"),1,0)</f>
        <v>0</v>
      </c>
      <c r="AAF240" s="90" t="s">
        <v>0</v>
      </c>
      <c r="AAG240" s="73">
        <f t="shared" si="181"/>
        <v>2</v>
      </c>
      <c r="AAH240" s="73">
        <f>G240</f>
        <v>2</v>
      </c>
      <c r="AAI240" s="60"/>
      <c r="AAJ240" s="55"/>
      <c r="AAK240" s="55"/>
      <c r="AAL240" s="90"/>
    </row>
    <row r="241" spans="1:714" s="23" customFormat="1" ht="15" hidden="1" customHeight="1" outlineLevel="2">
      <c r="A241" s="171"/>
      <c r="B241" s="615" t="s">
        <v>155</v>
      </c>
      <c r="C241" s="362" t="s">
        <v>0</v>
      </c>
      <c r="D241" s="380"/>
      <c r="E241" s="342">
        <f t="shared" si="182"/>
        <v>1</v>
      </c>
      <c r="F241" s="457">
        <f t="shared" ca="1" si="183"/>
        <v>0</v>
      </c>
      <c r="G241" s="451">
        <f t="shared" si="178"/>
        <v>2</v>
      </c>
      <c r="H241" s="343">
        <f t="shared" si="184"/>
        <v>2</v>
      </c>
      <c r="I241" s="244"/>
      <c r="J241" s="193"/>
      <c r="K241" s="193"/>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s="52"/>
      <c r="AAA241" s="192"/>
      <c r="AAD241" s="90"/>
      <c r="AAE241" s="520">
        <f>IF(AND(S.AC.InvolveMeeting2="Y",S.AC.CommitteeInvolved="Y"),1,0)</f>
        <v>0</v>
      </c>
      <c r="AAF241" s="90" t="s">
        <v>0</v>
      </c>
      <c r="AAG241" s="73">
        <f t="shared" si="181"/>
        <v>2</v>
      </c>
      <c r="AAH241" s="73">
        <f>G241</f>
        <v>2</v>
      </c>
      <c r="AAI241" s="60"/>
      <c r="AAJ241" s="55"/>
      <c r="AAK241" s="55"/>
      <c r="AAL241" s="90"/>
    </row>
    <row r="242" spans="1:714" s="23" customFormat="1" ht="15" hidden="1" customHeight="1" outlineLevel="2" thickBot="1">
      <c r="A242" s="171"/>
      <c r="B242" s="615" t="s">
        <v>155</v>
      </c>
      <c r="C242" s="362" t="s">
        <v>0</v>
      </c>
      <c r="D242" s="380"/>
      <c r="E242" s="342">
        <f t="shared" si="182"/>
        <v>1</v>
      </c>
      <c r="F242" s="457">
        <f t="shared" ca="1" si="183"/>
        <v>0</v>
      </c>
      <c r="G242" s="451">
        <f t="shared" si="178"/>
        <v>2</v>
      </c>
      <c r="H242" s="343">
        <f t="shared" si="184"/>
        <v>2</v>
      </c>
      <c r="I242" s="244"/>
      <c r="J242" s="193"/>
      <c r="K242" s="193"/>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s="52"/>
      <c r="AAA242" s="192"/>
      <c r="AAD242" s="90"/>
      <c r="AAE242" s="520">
        <f>IF(AND(S.AC.InvolveMeeting2="Y",S.AC.CommitteeInvolved="Y"),1,0)</f>
        <v>0</v>
      </c>
      <c r="AAF242" s="90" t="s">
        <v>0</v>
      </c>
      <c r="AAG242" s="73">
        <f t="shared" si="181"/>
        <v>2</v>
      </c>
      <c r="AAH242" s="73">
        <f>G242</f>
        <v>2</v>
      </c>
      <c r="AAI242" s="60"/>
      <c r="AAJ242" s="55"/>
      <c r="AAK242" s="55"/>
      <c r="AAL242" s="90"/>
    </row>
    <row r="243" spans="1:714" s="23" customFormat="1" ht="15" hidden="1" customHeight="1" outlineLevel="3" thickBot="1">
      <c r="A243" s="171"/>
      <c r="B243" s="661" t="s">
        <v>216</v>
      </c>
      <c r="C243" s="377" t="s">
        <v>17</v>
      </c>
      <c r="D243" s="452"/>
      <c r="E243" s="453"/>
      <c r="F243" s="453"/>
      <c r="G243" s="453"/>
      <c r="H243" s="453"/>
      <c r="I243" s="244"/>
      <c r="J243" s="193"/>
      <c r="K243" s="193"/>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s="52"/>
      <c r="AAA243" s="192"/>
      <c r="AAD243" s="90"/>
      <c r="AAE243" s="520">
        <f>IF(AND(S.AC.InvolveMeeting2="Y",S.AC.CommitteeInvolved="Y",S.AC.Presentation2="Y"),1,0)</f>
        <v>0</v>
      </c>
      <c r="AAF243" s="190" t="s">
        <v>52</v>
      </c>
      <c r="AAG243" s="39"/>
      <c r="AAH243" s="39"/>
      <c r="AAI243" s="39"/>
      <c r="AAJ243" s="55"/>
      <c r="AAK243" s="55"/>
      <c r="AAL243" s="90"/>
    </row>
    <row r="244" spans="1:714" s="23" customFormat="1" ht="15" hidden="1" customHeight="1" outlineLevel="3">
      <c r="A244" s="171"/>
      <c r="B244" s="662" t="s">
        <v>156</v>
      </c>
      <c r="C244" s="362" t="s">
        <v>0</v>
      </c>
      <c r="D244" s="454"/>
      <c r="E244" s="442"/>
      <c r="F244" s="442"/>
      <c r="G244" s="442"/>
      <c r="H244" s="442"/>
      <c r="I244" s="244"/>
      <c r="J244" s="193"/>
      <c r="K244" s="193"/>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s="52"/>
      <c r="AAA244" s="192"/>
      <c r="AAD244" s="90"/>
      <c r="AAE244" s="520">
        <f t="shared" ref="AAE244:AAE250" si="185">IF(AND(S.AC.InvolveMeeting1="Y",S.AC.CommitteeInvolved="Y",S.AC.Presentation1="Y"),1,0)</f>
        <v>0</v>
      </c>
      <c r="AAF244" s="190" t="s">
        <v>52</v>
      </c>
      <c r="AAG244" s="39"/>
      <c r="AAH244" s="39"/>
      <c r="AAI244" s="60"/>
      <c r="AAJ244" s="55"/>
      <c r="AAK244" s="55"/>
      <c r="AAL244" s="90"/>
    </row>
    <row r="245" spans="1:714" s="23" customFormat="1" ht="15" hidden="1" customHeight="1" outlineLevel="3">
      <c r="A245" s="171"/>
      <c r="B245" s="663" t="str">
        <f>AAK245</f>
        <v>* drafts optional AC.PRESENTATION.01.16.00</v>
      </c>
      <c r="C245" s="790" t="str">
        <f>HYPERLINK("http://deq05/intranet/communication/docs/DEQAgencyTemplate1.potx","i")</f>
        <v>i</v>
      </c>
      <c r="D245" s="511"/>
      <c r="E245" s="342">
        <f>NETWORKDAYS(G245,H245,S.DDL_DEQClosed)</f>
        <v>1</v>
      </c>
      <c r="F245" s="457">
        <f ca="1">IF(YEAR(H245)&gt;2000,NETWORKDAYS(TODAY(),H245,S.DDL_DEQClosed),0)</f>
        <v>0</v>
      </c>
      <c r="G245" s="451">
        <f t="shared" ref="G245" si="186">AAG245</f>
        <v>2</v>
      </c>
      <c r="H245" s="343">
        <f>AAH245</f>
        <v>2</v>
      </c>
      <c r="I245" s="244"/>
      <c r="J245" s="193"/>
      <c r="K245" s="193"/>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s="52"/>
      <c r="AAA245" s="192"/>
      <c r="AAD245" s="90"/>
      <c r="AAE245" s="520">
        <f t="shared" si="185"/>
        <v>0</v>
      </c>
      <c r="AAF245" s="90" t="s">
        <v>0</v>
      </c>
      <c r="AAG245" s="73">
        <f>G242</f>
        <v>2</v>
      </c>
      <c r="AAH245" s="73">
        <f>G245</f>
        <v>2</v>
      </c>
      <c r="AAI245" s="60"/>
      <c r="AAJ245" s="55"/>
      <c r="AAK245" s="92" t="str">
        <f>"* drafts optional AC.PRESENTATION."&amp;TEXT($G$209,"mm.dd.yy")</f>
        <v>* drafts optional AC.PRESENTATION.01.16.00</v>
      </c>
      <c r="AAL245" s="90"/>
    </row>
    <row r="246" spans="1:714" s="23" customFormat="1" ht="15" hidden="1" customHeight="1" outlineLevel="3">
      <c r="A246" s="171"/>
      <c r="B246" s="662" t="s">
        <v>156</v>
      </c>
      <c r="C246" s="362" t="s">
        <v>0</v>
      </c>
      <c r="D246" s="454"/>
      <c r="E246" s="453"/>
      <c r="F246" s="453"/>
      <c r="G246" s="453"/>
      <c r="H246" s="453"/>
      <c r="I246" s="244"/>
      <c r="J246" s="193"/>
      <c r="K246" s="193"/>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s="52"/>
      <c r="AAA246" s="192"/>
      <c r="AAD246" s="90"/>
      <c r="AAE246" s="520">
        <f t="shared" si="185"/>
        <v>0</v>
      </c>
      <c r="AAF246" s="190" t="s">
        <v>52</v>
      </c>
      <c r="AAG246" s="39"/>
      <c r="AAH246" s="39"/>
      <c r="AAI246" s="60"/>
      <c r="AAJ246" s="55"/>
      <c r="AAK246" s="55"/>
      <c r="AAL246" s="90"/>
    </row>
    <row r="247" spans="1:714" s="23" customFormat="1" ht="15" hidden="1" customHeight="1" outlineLevel="3">
      <c r="A247" s="171"/>
      <c r="B247" s="664" t="s">
        <v>240</v>
      </c>
      <c r="C247" s="362" t="s">
        <v>0</v>
      </c>
      <c r="D247" s="380"/>
      <c r="E247" s="342">
        <f t="shared" ref="E247" si="187">NETWORKDAYS(G247,H247,S.DDL_DEQClosed)</f>
        <v>1</v>
      </c>
      <c r="F247" s="457">
        <f ca="1">IF(YEAR(H247)&gt;2000,NETWORKDAYS(TODAY(),H247,S.DDL_DEQClosed),0)</f>
        <v>0</v>
      </c>
      <c r="G247" s="451">
        <f t="shared" ref="G247:G251" si="188">AAG247</f>
        <v>2</v>
      </c>
      <c r="H247" s="343">
        <f>AAH247</f>
        <v>2</v>
      </c>
      <c r="I247" s="244"/>
      <c r="J247" s="193"/>
      <c r="K247" s="193"/>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s="52"/>
      <c r="AAA247" s="192"/>
      <c r="AAD247" s="90"/>
      <c r="AAE247" s="520">
        <f t="shared" si="185"/>
        <v>0</v>
      </c>
      <c r="AAF247" s="90" t="s">
        <v>0</v>
      </c>
      <c r="AAG247" s="73">
        <f>G245</f>
        <v>2</v>
      </c>
      <c r="AAH247" s="73">
        <f t="shared" ref="AAH247" si="189">G247</f>
        <v>2</v>
      </c>
      <c r="AAI247" s="60"/>
      <c r="AAJ247" s="55"/>
      <c r="AAK247" s="55"/>
      <c r="AAL247" s="90"/>
    </row>
    <row r="248" spans="1:714" s="23" customFormat="1" ht="15" hidden="1" customHeight="1" outlineLevel="3">
      <c r="A248" s="171"/>
      <c r="B248" s="665" t="s">
        <v>319</v>
      </c>
      <c r="C248" s="362" t="s">
        <v>0</v>
      </c>
      <c r="D248" s="380"/>
      <c r="E248" s="342">
        <f>NETWORKDAYS(G248,H248,S.DDL_DEQClosed)</f>
        <v>1</v>
      </c>
      <c r="F248" s="457">
        <f ca="1">IF(YEAR(H248)&gt;2000,NETWORKDAYS(TODAY(),H248,S.DDL_DEQClosed),0)</f>
        <v>0</v>
      </c>
      <c r="G248" s="451">
        <f t="shared" si="188"/>
        <v>2</v>
      </c>
      <c r="H248" s="343">
        <f>AAH248</f>
        <v>2</v>
      </c>
      <c r="I248" s="244"/>
      <c r="J248" s="193"/>
      <c r="K248" s="193"/>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s="52"/>
      <c r="AAA248" s="192"/>
      <c r="AAD248" s="90"/>
      <c r="AAE248" s="520">
        <f t="shared" si="185"/>
        <v>0</v>
      </c>
      <c r="AAF248" s="90" t="s">
        <v>0</v>
      </c>
      <c r="AAG248" s="73">
        <f>G247</f>
        <v>2</v>
      </c>
      <c r="AAH248" s="73">
        <f>G248</f>
        <v>2</v>
      </c>
      <c r="AAI248" s="60" t="s">
        <v>0</v>
      </c>
      <c r="AAJ248" s="55"/>
      <c r="AAK248" s="55"/>
      <c r="AAL248" s="90"/>
    </row>
    <row r="249" spans="1:714" s="23" customFormat="1" ht="15" hidden="1" customHeight="1" outlineLevel="3">
      <c r="A249" s="171"/>
      <c r="B249" s="666" t="str">
        <f>AAK249</f>
        <v>AndreaRW submits Web Request to post materials</v>
      </c>
      <c r="C249" s="792" t="str">
        <f>HYPERLINK("http://deq05/intranet/communication/WebRequests.htm","i")</f>
        <v>i</v>
      </c>
      <c r="D249" s="380"/>
      <c r="E249" s="342">
        <f>NETWORKDAYS(G249,H249,S.DDL_DEQClosed)</f>
        <v>1</v>
      </c>
      <c r="F249" s="457">
        <f t="shared" ref="F249:F254" ca="1" si="190">IF(YEAR(H249)&gt;2000,NETWORKDAYS(TODAY(),H249,S.DDL_DEQClosed),0)</f>
        <v>0</v>
      </c>
      <c r="G249" s="451">
        <f t="shared" si="188"/>
        <v>2</v>
      </c>
      <c r="H249" s="343">
        <f>AAH249</f>
        <v>2</v>
      </c>
      <c r="I249" s="244"/>
      <c r="J249" s="193"/>
      <c r="K249" s="193"/>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s="52"/>
      <c r="AAA249" s="192"/>
      <c r="AAD249" s="90"/>
      <c r="AAE249" s="520">
        <f t="shared" si="185"/>
        <v>0</v>
      </c>
      <c r="AAF249" s="90" t="s">
        <v>0</v>
      </c>
      <c r="AAG249" s="73">
        <f>G248</f>
        <v>2</v>
      </c>
      <c r="AAH249" s="73">
        <f>G249</f>
        <v>2</v>
      </c>
      <c r="AAI249" s="60"/>
      <c r="AAJ249" s="55"/>
      <c r="AAK249" s="92" t="str">
        <f>S.Staff.Lead&amp;" submits Web Request to post materials"</f>
        <v>AndreaRW submits Web Request to post materials</v>
      </c>
      <c r="AAL249" s="90"/>
    </row>
    <row r="250" spans="1:714" s="23" customFormat="1" ht="15" hidden="1" customHeight="1" outlineLevel="3">
      <c r="A250" s="171"/>
      <c r="B250" s="665" t="s">
        <v>159</v>
      </c>
      <c r="C250" s="425" t="s">
        <v>0</v>
      </c>
      <c r="D250" s="380"/>
      <c r="E250" s="342">
        <f>NETWORKDAYS(G250,H250,S.DDL_DEQClosed)</f>
        <v>1</v>
      </c>
      <c r="F250" s="457">
        <f t="shared" ca="1" si="190"/>
        <v>0</v>
      </c>
      <c r="G250" s="451">
        <f t="shared" si="188"/>
        <v>2</v>
      </c>
      <c r="H250" s="343">
        <f>AAH250</f>
        <v>2</v>
      </c>
      <c r="I250" s="244"/>
      <c r="J250" s="193"/>
      <c r="K250" s="193"/>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s="52"/>
      <c r="AAA250" s="192"/>
      <c r="AAD250" s="90"/>
      <c r="AAE250" s="520">
        <f t="shared" si="185"/>
        <v>0</v>
      </c>
      <c r="AAF250" s="90"/>
      <c r="AAG250" s="73">
        <f t="shared" ref="AAG250:AAG251" si="191">G249</f>
        <v>2</v>
      </c>
      <c r="AAH250" s="73">
        <f>G250</f>
        <v>2</v>
      </c>
      <c r="AAI250" s="72"/>
      <c r="AAJ250" s="72"/>
      <c r="AAK250" s="55"/>
      <c r="AAL250" s="90"/>
    </row>
    <row r="251" spans="1:714" s="23" customFormat="1" ht="15" hidden="1" customHeight="1" outlineLevel="2">
      <c r="A251" s="171"/>
      <c r="B251" s="486" t="str">
        <f>AAK251</f>
        <v>AndreaRW sends meeting notice with link to Web page</v>
      </c>
      <c r="C251" s="425" t="s">
        <v>0</v>
      </c>
      <c r="D251" s="380"/>
      <c r="E251" s="342">
        <f>NETWORKDAYS(G251,H251,S.DDL_DEQClosed)</f>
        <v>1</v>
      </c>
      <c r="F251" s="457">
        <f t="shared" ca="1" si="190"/>
        <v>0</v>
      </c>
      <c r="G251" s="451">
        <f t="shared" si="188"/>
        <v>2</v>
      </c>
      <c r="H251" s="343">
        <f t="shared" ref="H251:H254" si="192">AAH251</f>
        <v>2</v>
      </c>
      <c r="I251" s="244"/>
      <c r="J251" s="193"/>
      <c r="K251" s="193"/>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s="52"/>
      <c r="AAA251" s="192"/>
      <c r="AAD251" s="90"/>
      <c r="AAE251" s="520">
        <f>IF(AND(S.AC.InvolveMeeting1="Y",S.AC.CommitteeInvolved="Y"),1,0)</f>
        <v>0</v>
      </c>
      <c r="AAF251" s="90"/>
      <c r="AAG251" s="73">
        <f t="shared" si="191"/>
        <v>2</v>
      </c>
      <c r="AAH251" s="73">
        <f>G251</f>
        <v>2</v>
      </c>
      <c r="AAI251" s="72"/>
      <c r="AAJ251" s="72"/>
      <c r="AAK251" s="92" t="str">
        <f>S.Staff.Lead&amp;" sends meeting notice with link to Web page"</f>
        <v>AndreaRW sends meeting notice with link to Web page</v>
      </c>
      <c r="AAL251" s="90"/>
    </row>
    <row r="252" spans="1:714" s="23" customFormat="1" ht="15" hidden="1" customHeight="1" outlineLevel="2">
      <c r="A252" s="171"/>
      <c r="B252" s="616" t="s">
        <v>157</v>
      </c>
      <c r="C252" s="425" t="s">
        <v>0</v>
      </c>
      <c r="D252" s="851" t="s">
        <v>323</v>
      </c>
      <c r="E252" s="851"/>
      <c r="F252" s="851"/>
      <c r="G252" s="852"/>
      <c r="H252" s="351">
        <f t="shared" si="192"/>
        <v>16</v>
      </c>
      <c r="I252" s="244"/>
      <c r="J252" s="193"/>
      <c r="K252" s="193"/>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s="52"/>
      <c r="AAA252" s="192"/>
      <c r="AAD252" s="90"/>
      <c r="AAE252" s="520">
        <f>IF(AND(S.AC.InvolveMeeting1="Y",S.AC.CommitteeInvolved="Y"),1,0)</f>
        <v>0</v>
      </c>
      <c r="AAF252" s="90"/>
      <c r="AAG252" s="72"/>
      <c r="AAH252" s="73">
        <f>S.AC.DateMeeting2</f>
        <v>16</v>
      </c>
      <c r="AAI252" s="72"/>
      <c r="AAJ252" s="72"/>
      <c r="AAK252" s="55"/>
      <c r="AAL252" s="90"/>
    </row>
    <row r="253" spans="1:714" s="23" customFormat="1" ht="15" hidden="1" customHeight="1" outlineLevel="2">
      <c r="A253" s="171"/>
      <c r="B253" s="486" t="str">
        <f>AAK253</f>
        <v>AndreaRW drafts AC.MINUTES 01.16.00</v>
      </c>
      <c r="C253" s="790" t="str">
        <f>HYPERLINK("\\deq000\templates\General\Minutes Template.dotx","i")</f>
        <v>i</v>
      </c>
      <c r="D253" s="511"/>
      <c r="E253" s="342">
        <f t="shared" ref="E253:E254" si="193">NETWORKDAYS(G253,H253,S.DDL_DEQClosed)</f>
        <v>1</v>
      </c>
      <c r="F253" s="457">
        <f t="shared" ca="1" si="190"/>
        <v>0</v>
      </c>
      <c r="G253" s="451">
        <f>AAG253</f>
        <v>16</v>
      </c>
      <c r="H253" s="343">
        <f t="shared" si="192"/>
        <v>16</v>
      </c>
      <c r="I253" s="244"/>
      <c r="J253" s="193"/>
      <c r="K253" s="193"/>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s="52"/>
      <c r="AAA253" s="192"/>
      <c r="AAD253" s="90"/>
      <c r="AAE253" s="520">
        <f>IF(AND(S.AC.InvolveMeeting1="Y",S.AC.CommitteeInvolved="Y"),1,0)</f>
        <v>0</v>
      </c>
      <c r="AAF253" s="90"/>
      <c r="AAG253" s="73">
        <f>S.AC.DateMeeting2</f>
        <v>16</v>
      </c>
      <c r="AAH253" s="73">
        <f t="shared" ref="AAH253:AAH254" si="194">G253</f>
        <v>16</v>
      </c>
      <c r="AAI253" s="72"/>
      <c r="AAJ253" s="72"/>
      <c r="AAK253" s="80" t="str">
        <f>S.Staff.Lead&amp;" drafts AC.MINUTES "&amp;TEXT(S.AC.DateMeeting1,"mm.dd.yy")</f>
        <v>AndreaRW drafts AC.MINUTES 01.16.00</v>
      </c>
      <c r="AAL253" s="90"/>
    </row>
    <row r="254" spans="1:714" s="23" customFormat="1" ht="15" hidden="1" customHeight="1" outlineLevel="2" thickBot="1">
      <c r="A254" s="171"/>
      <c r="B254" s="616" t="s">
        <v>158</v>
      </c>
      <c r="C254" s="425" t="s">
        <v>0</v>
      </c>
      <c r="D254" s="380"/>
      <c r="E254" s="342">
        <f t="shared" si="193"/>
        <v>1</v>
      </c>
      <c r="F254" s="457">
        <f t="shared" ca="1" si="190"/>
        <v>0</v>
      </c>
      <c r="G254" s="451">
        <f>AAG254</f>
        <v>16</v>
      </c>
      <c r="H254" s="343">
        <f t="shared" si="192"/>
        <v>16</v>
      </c>
      <c r="I254" s="244"/>
      <c r="J254" s="193"/>
      <c r="K254" s="193"/>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s="52"/>
      <c r="AAA254" s="192"/>
      <c r="AAD254" s="90"/>
      <c r="AAE254" s="520">
        <f>IF(AND(S.AC.InvolveMeeting1="Y",S.AC.CommitteeInvolved="Y"),1,0)</f>
        <v>0</v>
      </c>
      <c r="AAF254" s="90"/>
      <c r="AAG254" s="73">
        <f>S.AC.DateMeeting2</f>
        <v>16</v>
      </c>
      <c r="AAH254" s="73">
        <f t="shared" si="194"/>
        <v>16</v>
      </c>
      <c r="AAI254" s="72"/>
      <c r="AAJ254" s="72"/>
      <c r="AAK254" s="55"/>
      <c r="AAL254" s="90"/>
    </row>
    <row r="255" spans="1:714" s="23" customFormat="1" ht="15" hidden="1" customHeight="1" outlineLevel="1" collapsed="1" thickBot="1">
      <c r="A255" s="171"/>
      <c r="B255" s="528" t="s">
        <v>24</v>
      </c>
      <c r="C255" s="377" t="s">
        <v>303</v>
      </c>
      <c r="D255" s="515"/>
      <c r="E255" s="515"/>
      <c r="F255" s="527"/>
      <c r="G255" s="339">
        <f>AAG255</f>
        <v>16</v>
      </c>
      <c r="H255" s="341" t="s">
        <v>54</v>
      </c>
      <c r="I255" s="244"/>
      <c r="J255" s="193"/>
      <c r="K255" s="193"/>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s="52"/>
      <c r="AAA255" s="192"/>
      <c r="AAB255"/>
      <c r="AAC255"/>
      <c r="AAD255" s="90"/>
      <c r="AAE255" s="520">
        <f>IF(AND(S.AC.InvolveMeeting3="Y",S.AC.CommitteeInvolved="Y"),1,0)</f>
        <v>0</v>
      </c>
      <c r="AAF255" s="190" t="s">
        <v>52</v>
      </c>
      <c r="AAG255" s="73">
        <f>S.AC.DateMeeting2</f>
        <v>16</v>
      </c>
      <c r="AAH255" s="39" t="s">
        <v>0</v>
      </c>
      <c r="AAI255" s="72"/>
      <c r="AAJ255" s="72"/>
      <c r="AAK255" s="55"/>
      <c r="AAL255" s="90"/>
    </row>
    <row r="256" spans="1:714" s="23" customFormat="1" ht="15" hidden="1" customHeight="1" outlineLevel="2">
      <c r="A256" s="171"/>
      <c r="B256" s="613" t="s">
        <v>154</v>
      </c>
      <c r="C256" s="346"/>
      <c r="D256" s="380"/>
      <c r="E256" s="342">
        <f t="shared" ref="E256" si="195">NETWORKDAYS(G256,H256,S.DDL_DEQClosed)</f>
        <v>1</v>
      </c>
      <c r="F256" s="457">
        <f ca="1">IF(YEAR(H256)&gt;2000,NETWORKDAYS(TODAY(),H256,S.DDL_DEQClosed),0)</f>
        <v>0</v>
      </c>
      <c r="G256" s="451">
        <f t="shared" ref="G256" si="196">AAG256</f>
        <v>2</v>
      </c>
      <c r="H256" s="343">
        <f t="shared" ref="H256" si="197">AAH256</f>
        <v>2</v>
      </c>
      <c r="I256" s="244"/>
      <c r="J256" s="193"/>
      <c r="K256" s="193"/>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s="52"/>
      <c r="AAA256" s="192"/>
      <c r="AAD256" s="90"/>
      <c r="AAE256" s="520">
        <f>IF(AND(S.AC.InvolveMeeting3="Y",S.AC.CommitteeInvolved="Y"),1,0)</f>
        <v>0</v>
      </c>
      <c r="AAF256" s="90"/>
      <c r="AAG256" s="73">
        <f>WORKDAY(S.AC.DateMeeting3-13,-1,S.DDL_DEQClosed)</f>
        <v>2</v>
      </c>
      <c r="AAH256" s="73">
        <f t="shared" ref="AAH256" si="198">G256</f>
        <v>2</v>
      </c>
      <c r="AAI256" s="60"/>
      <c r="AAJ256" s="55"/>
      <c r="AAK256" s="39"/>
      <c r="AAL256" s="90"/>
    </row>
    <row r="257" spans="1:714" s="23" customFormat="1" ht="15" hidden="1" customHeight="1" outlineLevel="2">
      <c r="A257" s="171"/>
      <c r="B257" s="384" t="str">
        <f>AAK257</f>
        <v>AndreaRW coordinates or drafts:</v>
      </c>
      <c r="C257" s="346"/>
      <c r="D257" s="374"/>
      <c r="E257" s="350"/>
      <c r="F257" s="350"/>
      <c r="G257" s="346"/>
      <c r="H257" s="409"/>
      <c r="I257" s="244"/>
      <c r="J257" s="193"/>
      <c r="K257" s="193"/>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s="52"/>
      <c r="AAA257" s="192"/>
      <c r="AAD257" s="90"/>
      <c r="AAE257" s="520">
        <f>IF(AND(S.AC.InvolveMeeting3="Y",S.AC.CommitteeInvolved="Y"),1,0)</f>
        <v>0</v>
      </c>
      <c r="AAF257" s="190" t="s">
        <v>52</v>
      </c>
      <c r="AAG257" s="60"/>
      <c r="AAH257" s="71"/>
      <c r="AAI257" s="71"/>
      <c r="AAJ257" s="55"/>
      <c r="AAK257" s="80" t="str">
        <f>S.Staff.Lead&amp;" coordinates or drafts:"</f>
        <v>AndreaRW coordinates or drafts:</v>
      </c>
      <c r="AAL257" s="90"/>
    </row>
    <row r="258" spans="1:714" s="23" customFormat="1" ht="15" hidden="1" customHeight="1" outlineLevel="2">
      <c r="A258" s="171"/>
      <c r="B258" s="437" t="str">
        <f>AAK258</f>
        <v>* AC.AGENDA.01.16.00, gets team agreement</v>
      </c>
      <c r="C258" s="790" t="str">
        <f>HYPERLINK("\\deq000\templates\General\Agenda Template.dotx","i")</f>
        <v>i</v>
      </c>
      <c r="D258" s="511"/>
      <c r="E258" s="342">
        <f t="shared" ref="E258:E261" si="199">NETWORKDAYS(G258,H258,S.DDL_DEQClosed)</f>
        <v>1</v>
      </c>
      <c r="F258" s="457">
        <f t="shared" ref="F258:F261" ca="1" si="200">IF(YEAR(H258)&gt;2000,NETWORKDAYS(TODAY(),H258,S.DDL_DEQClosed),0)</f>
        <v>0</v>
      </c>
      <c r="G258" s="451">
        <f t="shared" ref="G258:G265" si="201">AAG258</f>
        <v>2</v>
      </c>
      <c r="H258" s="343">
        <f t="shared" ref="H258:H261" si="202">AAH258</f>
        <v>2</v>
      </c>
      <c r="I258" s="244"/>
      <c r="J258" s="193"/>
      <c r="K258" s="193"/>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s="52"/>
      <c r="AAA258" s="192"/>
      <c r="AAD258" s="90"/>
      <c r="AAE258" s="520">
        <f>IF(AND(S.AC.InvolveMeeting1="Y",S.AC.CommitteeInvolved="Y"),1,0)</f>
        <v>0</v>
      </c>
      <c r="AAF258" s="90" t="s">
        <v>0</v>
      </c>
      <c r="AAG258" s="73">
        <f>G256</f>
        <v>2</v>
      </c>
      <c r="AAH258" s="73">
        <f>G258</f>
        <v>2</v>
      </c>
      <c r="AAI258" s="72"/>
      <c r="AAJ258" s="74"/>
      <c r="AAK258" s="80" t="str">
        <f>"* AC.AGENDA."&amp; TEXT(S.AC.DateMeeting1,"mm.dd.yy")&amp;", gets team agreement"</f>
        <v>* AC.AGENDA.01.16.00, gets team agreement</v>
      </c>
      <c r="AAL258" s="90"/>
    </row>
    <row r="259" spans="1:714" s="23" customFormat="1" ht="15" hidden="1" customHeight="1" outlineLevel="2">
      <c r="A259" s="171"/>
      <c r="B259" s="437" t="str">
        <f>AAK259</f>
        <v>* AC.NOTIFICATION.01.16.00</v>
      </c>
      <c r="C259" s="362" t="s">
        <v>0</v>
      </c>
      <c r="D259" s="380"/>
      <c r="E259" s="342">
        <f t="shared" si="199"/>
        <v>1</v>
      </c>
      <c r="F259" s="457">
        <f t="shared" ca="1" si="200"/>
        <v>0</v>
      </c>
      <c r="G259" s="451">
        <f t="shared" si="201"/>
        <v>2</v>
      </c>
      <c r="H259" s="343">
        <f t="shared" si="202"/>
        <v>2</v>
      </c>
      <c r="I259" s="244"/>
      <c r="J259" s="193"/>
      <c r="K259" s="193"/>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s="52"/>
      <c r="AAA259" s="192"/>
      <c r="AAD259" s="90"/>
      <c r="AAE259" s="520">
        <f>IF(AND(S.AC.InvolveMeeting1="Y",S.AC.CommitteeInvolved="Y"),1,0)</f>
        <v>0</v>
      </c>
      <c r="AAF259" s="90" t="s">
        <v>0</v>
      </c>
      <c r="AAG259" s="73">
        <f>G258</f>
        <v>2</v>
      </c>
      <c r="AAH259" s="73">
        <f t="shared" ref="AAH259:AAH261" si="203">G259</f>
        <v>2</v>
      </c>
      <c r="AAI259" s="72"/>
      <c r="AAJ259" s="72"/>
      <c r="AAK259" s="80" t="str">
        <f>"* AC.NOTIFICATION."&amp;TEXT(S.AC.DateMeeting1,"mm.dd.yy")</f>
        <v>* AC.NOTIFICATION.01.16.00</v>
      </c>
      <c r="AAL259" s="90"/>
    </row>
    <row r="260" spans="1:714" s="23" customFormat="1" ht="15" hidden="1" customHeight="1" outlineLevel="2">
      <c r="A260" s="171"/>
      <c r="B260" s="441" t="s">
        <v>318</v>
      </c>
      <c r="C260" s="790" t="str">
        <f>HYPERLINK("http://deq05/intranet/contentmanagement/login.asp","i")</f>
        <v>i</v>
      </c>
      <c r="D260" s="512"/>
      <c r="E260" s="342">
        <f t="shared" si="199"/>
        <v>1</v>
      </c>
      <c r="F260" s="457">
        <f t="shared" ca="1" si="200"/>
        <v>0</v>
      </c>
      <c r="G260" s="451">
        <f t="shared" si="201"/>
        <v>2</v>
      </c>
      <c r="H260" s="343">
        <f t="shared" si="202"/>
        <v>2</v>
      </c>
      <c r="I260" s="244"/>
      <c r="J260" s="193"/>
      <c r="K260" s="193"/>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s="52"/>
      <c r="AAA260" s="192" t="s">
        <v>0</v>
      </c>
      <c r="AAD260" s="90"/>
      <c r="AAE260" s="520">
        <f>IF(AND(S.AC.InvolveMeeting1="Y",S.AC.CommitteeInvolved="Y"),1,0)</f>
        <v>0</v>
      </c>
      <c r="AAF260" s="90" t="s">
        <v>0</v>
      </c>
      <c r="AAG260" s="73">
        <f t="shared" ref="AAG260:AAG265" si="204">G259</f>
        <v>2</v>
      </c>
      <c r="AAH260" s="73">
        <f t="shared" si="203"/>
        <v>2</v>
      </c>
      <c r="AAI260" s="60"/>
      <c r="AAJ260" s="55"/>
      <c r="AAK260" s="55"/>
      <c r="AAL260" s="90"/>
    </row>
    <row r="261" spans="1:714" s="23" customFormat="1" ht="15" hidden="1" customHeight="1" outlineLevel="2">
      <c r="A261" s="171"/>
      <c r="B261" s="407" t="s">
        <v>241</v>
      </c>
      <c r="C261" s="362" t="s">
        <v>0</v>
      </c>
      <c r="D261" s="380"/>
      <c r="E261" s="342">
        <f t="shared" si="199"/>
        <v>1</v>
      </c>
      <c r="F261" s="457">
        <f t="shared" ca="1" si="200"/>
        <v>0</v>
      </c>
      <c r="G261" s="451">
        <f t="shared" si="201"/>
        <v>2</v>
      </c>
      <c r="H261" s="343">
        <f t="shared" si="202"/>
        <v>2</v>
      </c>
      <c r="I261" s="244"/>
      <c r="J261" s="193"/>
      <c r="K261" s="193"/>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s="52"/>
      <c r="AAA261" s="192"/>
      <c r="AAD261" s="90"/>
      <c r="AAE261" s="520">
        <f>IF(AND(S.AC.InvolveMeeting1="Y",S.AC.CommitteeInvolved="Y"),1,0)</f>
        <v>0</v>
      </c>
      <c r="AAF261" s="90" t="s">
        <v>0</v>
      </c>
      <c r="AAG261" s="73">
        <f t="shared" si="204"/>
        <v>2</v>
      </c>
      <c r="AAH261" s="73">
        <f t="shared" si="203"/>
        <v>2</v>
      </c>
      <c r="AAI261" s="60"/>
      <c r="AAJ261" s="55"/>
      <c r="AAK261" s="55"/>
      <c r="AAL261" s="90"/>
    </row>
    <row r="262" spans="1:714" s="23" customFormat="1" ht="15" hidden="1" customHeight="1" outlineLevel="2">
      <c r="A262" s="171"/>
      <c r="B262" s="615" t="s">
        <v>155</v>
      </c>
      <c r="C262" s="362" t="s">
        <v>0</v>
      </c>
      <c r="D262" s="380"/>
      <c r="E262" s="342">
        <f t="shared" ref="E262:E265" si="205">NETWORKDAYS(G262,H262,S.DDL_DEQClosed)</f>
        <v>1</v>
      </c>
      <c r="F262" s="457">
        <f t="shared" ref="F262:F265" ca="1" si="206">IF(YEAR(H262)&gt;2000,NETWORKDAYS(TODAY(),H262,S.DDL_DEQClosed),0)</f>
        <v>0</v>
      </c>
      <c r="G262" s="451">
        <f t="shared" si="201"/>
        <v>2</v>
      </c>
      <c r="H262" s="343">
        <f t="shared" ref="H262:H265" si="207">AAH262</f>
        <v>2</v>
      </c>
      <c r="I262" s="244"/>
      <c r="J262" s="193"/>
      <c r="K262" s="193"/>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s="52"/>
      <c r="AAA262" s="192"/>
      <c r="AAD262" s="90"/>
      <c r="AAE262" s="520">
        <f>IF(AND(S.AC.InvolveMeeting3="Y",S.AC.CommitteeInvolved="Y"),1,0)</f>
        <v>0</v>
      </c>
      <c r="AAF262" s="90" t="s">
        <v>0</v>
      </c>
      <c r="AAG262" s="73">
        <f t="shared" si="204"/>
        <v>2</v>
      </c>
      <c r="AAH262" s="73">
        <f>G262</f>
        <v>2</v>
      </c>
      <c r="AAI262" s="60"/>
      <c r="AAJ262" s="55"/>
      <c r="AAK262" s="55"/>
      <c r="AAL262" s="90"/>
    </row>
    <row r="263" spans="1:714" s="23" customFormat="1" ht="15" hidden="1" customHeight="1" outlineLevel="2">
      <c r="A263" s="171"/>
      <c r="B263" s="615" t="s">
        <v>155</v>
      </c>
      <c r="C263" s="362" t="s">
        <v>0</v>
      </c>
      <c r="D263" s="380"/>
      <c r="E263" s="342">
        <f t="shared" si="205"/>
        <v>1</v>
      </c>
      <c r="F263" s="457">
        <f t="shared" ca="1" si="206"/>
        <v>0</v>
      </c>
      <c r="G263" s="451">
        <f t="shared" si="201"/>
        <v>2</v>
      </c>
      <c r="H263" s="343">
        <f t="shared" si="207"/>
        <v>2</v>
      </c>
      <c r="I263" s="244"/>
      <c r="J263" s="193"/>
      <c r="K263" s="193"/>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s="52"/>
      <c r="AAA263" s="192"/>
      <c r="AAD263" s="90"/>
      <c r="AAE263" s="520">
        <f>IF(AND(S.AC.InvolveMeeting3="Y",S.AC.CommitteeInvolved="Y"),1,0)</f>
        <v>0</v>
      </c>
      <c r="AAF263" s="90" t="s">
        <v>0</v>
      </c>
      <c r="AAG263" s="73">
        <f t="shared" si="204"/>
        <v>2</v>
      </c>
      <c r="AAH263" s="73">
        <f>G263</f>
        <v>2</v>
      </c>
      <c r="AAI263" s="60"/>
      <c r="AAJ263" s="55"/>
      <c r="AAK263" s="55"/>
      <c r="AAL263" s="90"/>
    </row>
    <row r="264" spans="1:714" s="23" customFormat="1" ht="15" hidden="1" customHeight="1" outlineLevel="2">
      <c r="A264" s="171"/>
      <c r="B264" s="615" t="s">
        <v>155</v>
      </c>
      <c r="C264" s="362" t="s">
        <v>0</v>
      </c>
      <c r="D264" s="380"/>
      <c r="E264" s="342">
        <f t="shared" si="205"/>
        <v>1</v>
      </c>
      <c r="F264" s="457">
        <f t="shared" ca="1" si="206"/>
        <v>0</v>
      </c>
      <c r="G264" s="451">
        <f t="shared" si="201"/>
        <v>2</v>
      </c>
      <c r="H264" s="343">
        <f t="shared" si="207"/>
        <v>2</v>
      </c>
      <c r="I264" s="244"/>
      <c r="J264" s="193"/>
      <c r="K264" s="193"/>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s="52"/>
      <c r="AAA264" s="192"/>
      <c r="AAD264" s="90"/>
      <c r="AAE264" s="520">
        <f>IF(AND(S.AC.InvolveMeeting3="Y",S.AC.CommitteeInvolved="Y"),1,0)</f>
        <v>0</v>
      </c>
      <c r="AAF264" s="90" t="s">
        <v>0</v>
      </c>
      <c r="AAG264" s="73">
        <f t="shared" si="204"/>
        <v>2</v>
      </c>
      <c r="AAH264" s="73">
        <f>G264</f>
        <v>2</v>
      </c>
      <c r="AAI264" s="60"/>
      <c r="AAJ264" s="55"/>
      <c r="AAK264" s="55"/>
      <c r="AAL264" s="90"/>
    </row>
    <row r="265" spans="1:714" s="23" customFormat="1" ht="15" hidden="1" customHeight="1" outlineLevel="2" thickBot="1">
      <c r="A265" s="171"/>
      <c r="B265" s="615" t="s">
        <v>155</v>
      </c>
      <c r="C265" s="362" t="s">
        <v>0</v>
      </c>
      <c r="D265" s="380"/>
      <c r="E265" s="342">
        <f t="shared" si="205"/>
        <v>1</v>
      </c>
      <c r="F265" s="457">
        <f t="shared" ca="1" si="206"/>
        <v>0</v>
      </c>
      <c r="G265" s="451">
        <f t="shared" si="201"/>
        <v>2</v>
      </c>
      <c r="H265" s="343">
        <f t="shared" si="207"/>
        <v>2</v>
      </c>
      <c r="I265" s="244"/>
      <c r="J265" s="193"/>
      <c r="K265" s="193"/>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s="52"/>
      <c r="AAA265" s="192"/>
      <c r="AAD265" s="90"/>
      <c r="AAE265" s="520">
        <f>IF(AND(S.AC.InvolveMeeting3="Y",S.AC.CommitteeInvolved="Y"),1,0)</f>
        <v>0</v>
      </c>
      <c r="AAF265" s="90" t="s">
        <v>0</v>
      </c>
      <c r="AAG265" s="73">
        <f t="shared" si="204"/>
        <v>2</v>
      </c>
      <c r="AAH265" s="73">
        <f>G265</f>
        <v>2</v>
      </c>
      <c r="AAI265" s="60"/>
      <c r="AAJ265" s="55"/>
      <c r="AAK265" s="55"/>
      <c r="AAL265" s="90"/>
    </row>
    <row r="266" spans="1:714" s="23" customFormat="1" ht="15" hidden="1" customHeight="1" outlineLevel="3" thickBot="1">
      <c r="A266" s="171"/>
      <c r="B266" s="661" t="s">
        <v>216</v>
      </c>
      <c r="C266" s="377" t="s">
        <v>17</v>
      </c>
      <c r="D266" s="452"/>
      <c r="E266" s="453"/>
      <c r="F266" s="453"/>
      <c r="G266" s="453"/>
      <c r="H266" s="453"/>
      <c r="I266" s="244"/>
      <c r="J266" s="193"/>
      <c r="K266" s="193"/>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s="52"/>
      <c r="AAA266" s="192"/>
      <c r="AAD266" s="90"/>
      <c r="AAE266" s="520">
        <f>IF(AND(S.AC.InvolveMeeting3="Y",S.AC.CommitteeInvolved="Y",S.AC.Presentation3="Y"),1,0)</f>
        <v>0</v>
      </c>
      <c r="AAF266" s="190" t="s">
        <v>52</v>
      </c>
      <c r="AAG266" s="39"/>
      <c r="AAH266" s="39"/>
      <c r="AAI266" s="39"/>
      <c r="AAJ266" s="55"/>
      <c r="AAK266" s="55"/>
      <c r="AAL266" s="90"/>
    </row>
    <row r="267" spans="1:714" s="23" customFormat="1" ht="15" hidden="1" customHeight="1" outlineLevel="3">
      <c r="A267" s="171"/>
      <c r="B267" s="662" t="s">
        <v>156</v>
      </c>
      <c r="C267" s="362" t="s">
        <v>0</v>
      </c>
      <c r="D267" s="454"/>
      <c r="E267" s="442"/>
      <c r="F267" s="442"/>
      <c r="G267" s="442"/>
      <c r="H267" s="442"/>
      <c r="I267" s="244"/>
      <c r="J267" s="193"/>
      <c r="K267" s="193"/>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s="52"/>
      <c r="AAA267" s="192"/>
      <c r="AAD267" s="90"/>
      <c r="AAE267" s="520">
        <f t="shared" ref="AAE267:AAE273" si="208">IF(AND(S.AC.InvolveMeeting1="Y",S.AC.CommitteeInvolved="Y",S.AC.Presentation1="Y"),1,0)</f>
        <v>0</v>
      </c>
      <c r="AAF267" s="190" t="s">
        <v>52</v>
      </c>
      <c r="AAG267" s="39"/>
      <c r="AAH267" s="39"/>
      <c r="AAI267" s="60"/>
      <c r="AAJ267" s="55"/>
      <c r="AAK267" s="55"/>
      <c r="AAL267" s="90"/>
    </row>
    <row r="268" spans="1:714" s="23" customFormat="1" ht="15" hidden="1" customHeight="1" outlineLevel="3">
      <c r="A268" s="171"/>
      <c r="B268" s="663" t="str">
        <f>AAK268</f>
        <v>* drafts optional AC.PRESENTATION.01.16.00</v>
      </c>
      <c r="C268" s="790" t="str">
        <f>HYPERLINK("http://deq05/intranet/communication/docs/DEQAgencyTemplate1.potx","i")</f>
        <v>i</v>
      </c>
      <c r="D268" s="511"/>
      <c r="E268" s="342">
        <f>NETWORKDAYS(G268,H268,S.DDL_DEQClosed)</f>
        <v>1</v>
      </c>
      <c r="F268" s="457">
        <f ca="1">IF(YEAR(H268)&gt;2000,NETWORKDAYS(TODAY(),H268,S.DDL_DEQClosed),0)</f>
        <v>0</v>
      </c>
      <c r="G268" s="451">
        <f t="shared" ref="G268:G274" si="209">AAG268</f>
        <v>2</v>
      </c>
      <c r="H268" s="343">
        <f>AAH268</f>
        <v>2</v>
      </c>
      <c r="I268" s="244"/>
      <c r="J268" s="193"/>
      <c r="K268" s="193"/>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s="52"/>
      <c r="AAA268" s="192"/>
      <c r="AAD268" s="90"/>
      <c r="AAE268" s="520">
        <f t="shared" si="208"/>
        <v>0</v>
      </c>
      <c r="AAF268" s="90" t="s">
        <v>0</v>
      </c>
      <c r="AAG268" s="73">
        <f>G265</f>
        <v>2</v>
      </c>
      <c r="AAH268" s="73">
        <f>G268</f>
        <v>2</v>
      </c>
      <c r="AAI268" s="60"/>
      <c r="AAJ268" s="55"/>
      <c r="AAK268" s="92" t="str">
        <f>"* drafts optional AC.PRESENTATION."&amp;TEXT($G$209,"mm.dd.yy")</f>
        <v>* drafts optional AC.PRESENTATION.01.16.00</v>
      </c>
      <c r="AAL268" s="90"/>
    </row>
    <row r="269" spans="1:714" s="23" customFormat="1" ht="15" hidden="1" customHeight="1" outlineLevel="3">
      <c r="A269" s="171"/>
      <c r="B269" s="662" t="s">
        <v>156</v>
      </c>
      <c r="C269" s="362" t="s">
        <v>0</v>
      </c>
      <c r="D269" s="454"/>
      <c r="E269" s="453"/>
      <c r="F269" s="453"/>
      <c r="G269" s="453"/>
      <c r="H269" s="453"/>
      <c r="I269" s="244"/>
      <c r="J269" s="193"/>
      <c r="K269" s="193"/>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s="52"/>
      <c r="AAA269" s="192"/>
      <c r="AAD269" s="90"/>
      <c r="AAE269" s="520">
        <f t="shared" si="208"/>
        <v>0</v>
      </c>
      <c r="AAF269" s="190" t="s">
        <v>52</v>
      </c>
      <c r="AAG269" s="39"/>
      <c r="AAH269" s="39"/>
      <c r="AAI269" s="60"/>
      <c r="AAJ269" s="55"/>
      <c r="AAK269" s="55"/>
      <c r="AAL269" s="90"/>
    </row>
    <row r="270" spans="1:714" s="23" customFormat="1" ht="15" hidden="1" customHeight="1" outlineLevel="3">
      <c r="A270" s="171"/>
      <c r="B270" s="664" t="s">
        <v>240</v>
      </c>
      <c r="C270" s="362" t="s">
        <v>0</v>
      </c>
      <c r="D270" s="380"/>
      <c r="E270" s="342">
        <f t="shared" ref="E270" si="210">NETWORKDAYS(G270,H270,S.DDL_DEQClosed)</f>
        <v>1</v>
      </c>
      <c r="F270" s="457">
        <f ca="1">IF(YEAR(H270)&gt;2000,NETWORKDAYS(TODAY(),H270,S.DDL_DEQClosed),0)</f>
        <v>0</v>
      </c>
      <c r="G270" s="451">
        <f t="shared" si="209"/>
        <v>2</v>
      </c>
      <c r="H270" s="343">
        <f t="shared" ref="H270:H273" si="211">AAH270</f>
        <v>2</v>
      </c>
      <c r="I270" s="244"/>
      <c r="J270" s="193"/>
      <c r="K270" s="193"/>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s="52"/>
      <c r="AAA270" s="192"/>
      <c r="AAD270" s="90"/>
      <c r="AAE270" s="520">
        <f t="shared" si="208"/>
        <v>0</v>
      </c>
      <c r="AAF270" s="90" t="s">
        <v>0</v>
      </c>
      <c r="AAG270" s="73">
        <f>G268</f>
        <v>2</v>
      </c>
      <c r="AAH270" s="73">
        <f t="shared" ref="AAH270" si="212">G270</f>
        <v>2</v>
      </c>
      <c r="AAI270" s="60"/>
      <c r="AAJ270" s="55"/>
      <c r="AAK270" s="55"/>
      <c r="AAL270" s="90"/>
    </row>
    <row r="271" spans="1:714" s="23" customFormat="1" ht="15" hidden="1" customHeight="1" outlineLevel="3">
      <c r="A271" s="171"/>
      <c r="B271" s="665" t="s">
        <v>319</v>
      </c>
      <c r="C271" s="362" t="s">
        <v>0</v>
      </c>
      <c r="D271" s="380"/>
      <c r="E271" s="342">
        <f>NETWORKDAYS(G271,H271,S.DDL_DEQClosed)</f>
        <v>1</v>
      </c>
      <c r="F271" s="457">
        <f ca="1">IF(YEAR(H271)&gt;2000,NETWORKDAYS(TODAY(),H271,S.DDL_DEQClosed),0)</f>
        <v>0</v>
      </c>
      <c r="G271" s="451">
        <f t="shared" si="209"/>
        <v>2</v>
      </c>
      <c r="H271" s="343">
        <f t="shared" si="211"/>
        <v>2</v>
      </c>
      <c r="I271" s="244"/>
      <c r="J271" s="193"/>
      <c r="K271" s="193"/>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s="52"/>
      <c r="AAA271" s="192"/>
      <c r="AAD271" s="90"/>
      <c r="AAE271" s="520">
        <f t="shared" si="208"/>
        <v>0</v>
      </c>
      <c r="AAF271" s="90" t="s">
        <v>0</v>
      </c>
      <c r="AAG271" s="73">
        <f>G270</f>
        <v>2</v>
      </c>
      <c r="AAH271" s="73">
        <f>G271</f>
        <v>2</v>
      </c>
      <c r="AAI271" s="60" t="s">
        <v>0</v>
      </c>
      <c r="AAJ271" s="55"/>
      <c r="AAK271" s="55"/>
      <c r="AAL271" s="90"/>
    </row>
    <row r="272" spans="1:714" s="23" customFormat="1" ht="15" hidden="1" customHeight="1" outlineLevel="3">
      <c r="A272" s="171"/>
      <c r="B272" s="666" t="str">
        <f>AAK272</f>
        <v>AndreaRW submits Web Request to post materials</v>
      </c>
      <c r="C272" s="792" t="str">
        <f>HYPERLINK("http://deq05/intranet/communication/WebRequests.htm","i")</f>
        <v>i</v>
      </c>
      <c r="D272" s="380"/>
      <c r="E272" s="342">
        <f>NETWORKDAYS(G272,H272,S.DDL_DEQClosed)</f>
        <v>1</v>
      </c>
      <c r="F272" s="457">
        <f t="shared" ref="F272:F273" ca="1" si="213">IF(YEAR(H272)&gt;2000,NETWORKDAYS(TODAY(),H272,S.DDL_DEQClosed),0)</f>
        <v>0</v>
      </c>
      <c r="G272" s="451">
        <f t="shared" si="209"/>
        <v>2</v>
      </c>
      <c r="H272" s="343">
        <f t="shared" si="211"/>
        <v>2</v>
      </c>
      <c r="I272" s="244"/>
      <c r="J272" s="193"/>
      <c r="K272" s="193"/>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s="52"/>
      <c r="AAA272" s="192"/>
      <c r="AAD272" s="90"/>
      <c r="AAE272" s="520">
        <f t="shared" si="208"/>
        <v>0</v>
      </c>
      <c r="AAF272" s="90" t="s">
        <v>0</v>
      </c>
      <c r="AAG272" s="73">
        <f t="shared" ref="AAG272:AAG274" si="214">G271</f>
        <v>2</v>
      </c>
      <c r="AAH272" s="73">
        <f>G272</f>
        <v>2</v>
      </c>
      <c r="AAI272" s="60"/>
      <c r="AAJ272" s="55"/>
      <c r="AAK272" s="92" t="str">
        <f>S.Staff.Lead&amp;" submits Web Request to post materials"</f>
        <v>AndreaRW submits Web Request to post materials</v>
      </c>
      <c r="AAL272" s="90"/>
    </row>
    <row r="273" spans="1:714" s="23" customFormat="1" ht="15" hidden="1" customHeight="1" outlineLevel="3">
      <c r="A273" s="171"/>
      <c r="B273" s="665" t="s">
        <v>159</v>
      </c>
      <c r="C273" s="425" t="s">
        <v>0</v>
      </c>
      <c r="D273" s="380"/>
      <c r="E273" s="342">
        <f>NETWORKDAYS(G273,H273,S.DDL_DEQClosed)</f>
        <v>1</v>
      </c>
      <c r="F273" s="457">
        <f t="shared" ca="1" si="213"/>
        <v>0</v>
      </c>
      <c r="G273" s="451">
        <f t="shared" si="209"/>
        <v>2</v>
      </c>
      <c r="H273" s="343">
        <f t="shared" si="211"/>
        <v>2</v>
      </c>
      <c r="I273" s="244"/>
      <c r="J273" s="193"/>
      <c r="K273" s="193"/>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s="52"/>
      <c r="AAA273" s="192"/>
      <c r="AAD273" s="90"/>
      <c r="AAE273" s="520">
        <f t="shared" si="208"/>
        <v>0</v>
      </c>
      <c r="AAF273" s="90"/>
      <c r="AAG273" s="73">
        <f t="shared" si="214"/>
        <v>2</v>
      </c>
      <c r="AAH273" s="73">
        <f>G273</f>
        <v>2</v>
      </c>
      <c r="AAI273" s="72"/>
      <c r="AAJ273" s="72"/>
      <c r="AAK273" s="55"/>
      <c r="AAL273" s="90"/>
    </row>
    <row r="274" spans="1:714" s="23" customFormat="1" ht="15" hidden="1" customHeight="1" outlineLevel="2">
      <c r="A274" s="171"/>
      <c r="B274" s="486" t="str">
        <f>AAK274</f>
        <v>AndreaRW sends meeting notice with link to Web page</v>
      </c>
      <c r="C274" s="425" t="s">
        <v>0</v>
      </c>
      <c r="D274" s="380"/>
      <c r="E274" s="342">
        <f>NETWORKDAYS(G274,H274,S.DDL_DEQClosed)</f>
        <v>1</v>
      </c>
      <c r="F274" s="457">
        <f t="shared" ref="F274:F277" ca="1" si="215">IF(YEAR(H274)&gt;2000,NETWORKDAYS(TODAY(),H274,S.DDL_DEQClosed),0)</f>
        <v>0</v>
      </c>
      <c r="G274" s="451">
        <f t="shared" si="209"/>
        <v>2</v>
      </c>
      <c r="H274" s="343">
        <f t="shared" ref="H274:H277" si="216">AAH274</f>
        <v>2</v>
      </c>
      <c r="I274" s="244"/>
      <c r="J274" s="193"/>
      <c r="K274" s="193"/>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s="52"/>
      <c r="AAA274" s="192"/>
      <c r="AAD274" s="90"/>
      <c r="AAE274" s="520">
        <f>IF(AND(S.AC.InvolveMeeting3="Y",S.AC.CommitteeInvolved="Y"),1,0)</f>
        <v>0</v>
      </c>
      <c r="AAF274" s="90"/>
      <c r="AAG274" s="73">
        <f t="shared" si="214"/>
        <v>2</v>
      </c>
      <c r="AAH274" s="73">
        <f>G274</f>
        <v>2</v>
      </c>
      <c r="AAI274" s="72"/>
      <c r="AAJ274" s="72"/>
      <c r="AAK274" s="92" t="str">
        <f>S.Staff.Lead&amp;" sends meeting notice with link to Web page"</f>
        <v>AndreaRW sends meeting notice with link to Web page</v>
      </c>
      <c r="AAL274" s="90"/>
    </row>
    <row r="275" spans="1:714" s="23" customFormat="1" ht="15" hidden="1" customHeight="1" outlineLevel="2">
      <c r="A275" s="171"/>
      <c r="B275" s="616" t="s">
        <v>157</v>
      </c>
      <c r="C275" s="425" t="s">
        <v>0</v>
      </c>
      <c r="D275" s="851" t="s">
        <v>322</v>
      </c>
      <c r="E275" s="851"/>
      <c r="F275" s="851"/>
      <c r="G275" s="852"/>
      <c r="H275" s="351">
        <f t="shared" si="216"/>
        <v>16</v>
      </c>
      <c r="I275" s="244"/>
      <c r="J275" s="193"/>
      <c r="K275" s="193"/>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s="52"/>
      <c r="AAA275" s="192"/>
      <c r="AAD275" s="90"/>
      <c r="AAE275" s="520">
        <f>IF(AND(S.AC.InvolveMeeting3="Y",S.AC.CommitteeInvolved="Y"),1,0)</f>
        <v>0</v>
      </c>
      <c r="AAF275" s="90"/>
      <c r="AAG275" s="72"/>
      <c r="AAH275" s="73">
        <f>S.AC.DateMeeting3</f>
        <v>16</v>
      </c>
      <c r="AAI275" s="72"/>
      <c r="AAJ275" s="72"/>
      <c r="AAK275" s="55"/>
      <c r="AAL275" s="90"/>
    </row>
    <row r="276" spans="1:714" s="23" customFormat="1" ht="15" hidden="1" customHeight="1" outlineLevel="2">
      <c r="A276" s="171"/>
      <c r="B276" s="486" t="str">
        <f>AAK276</f>
        <v>AndreaRW drafts AC.MINUTES01.16.00</v>
      </c>
      <c r="C276" s="790" t="str">
        <f>HYPERLINK("\\deq000\templates\General\Minutes Template.dotx","i")</f>
        <v>i</v>
      </c>
      <c r="D276" s="511"/>
      <c r="E276" s="342">
        <f t="shared" ref="E276:E277" si="217">NETWORKDAYS(G276,H276,S.DDL_DEQClosed)</f>
        <v>1</v>
      </c>
      <c r="F276" s="457">
        <f t="shared" ca="1" si="215"/>
        <v>0</v>
      </c>
      <c r="G276" s="451">
        <f>S.AC.DateMeeting1</f>
        <v>16</v>
      </c>
      <c r="H276" s="343">
        <f t="shared" si="216"/>
        <v>16</v>
      </c>
      <c r="I276" s="244"/>
      <c r="J276" s="193"/>
      <c r="K276" s="193"/>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s="52"/>
      <c r="AAA276" s="192"/>
      <c r="AAD276" s="90"/>
      <c r="AAE276" s="520">
        <f>IF(AND(S.AC.InvolveMeeting3="Y",S.AC.CommitteeInvolved="Y"),1,0)</f>
        <v>0</v>
      </c>
      <c r="AAF276" s="90"/>
      <c r="AAG276" s="73">
        <f>S.AC.DateMeeting3</f>
        <v>16</v>
      </c>
      <c r="AAH276" s="73">
        <f t="shared" ref="AAH276" si="218">G276</f>
        <v>16</v>
      </c>
      <c r="AAI276" s="72"/>
      <c r="AAJ276" s="72"/>
      <c r="AAK276" s="80" t="str">
        <f>S.Staff.Lead&amp;" drafts AC.MINUTES"&amp;TEXT(S.AC.DateMeeting1,"mm.dd.yy")</f>
        <v>AndreaRW drafts AC.MINUTES01.16.00</v>
      </c>
      <c r="AAL276" s="90"/>
    </row>
    <row r="277" spans="1:714" s="23" customFormat="1" ht="15" hidden="1" customHeight="1" outlineLevel="2" thickBot="1">
      <c r="A277" s="171"/>
      <c r="B277" s="616" t="s">
        <v>158</v>
      </c>
      <c r="C277" s="425" t="s">
        <v>0</v>
      </c>
      <c r="D277" s="380"/>
      <c r="E277" s="342">
        <f t="shared" si="217"/>
        <v>1</v>
      </c>
      <c r="F277" s="457">
        <f t="shared" ca="1" si="215"/>
        <v>0</v>
      </c>
      <c r="G277" s="451">
        <f>S.AC.DateMeeting1</f>
        <v>16</v>
      </c>
      <c r="H277" s="343">
        <f t="shared" si="216"/>
        <v>16</v>
      </c>
      <c r="I277" s="244"/>
      <c r="J277" s="193"/>
      <c r="K277" s="193"/>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s="52"/>
      <c r="AAA277" s="192"/>
      <c r="AAD277" s="90"/>
      <c r="AAE277" s="520">
        <f>IF(AND(S.AC.InvolveMeeting3="Y",S.AC.CommitteeInvolved="Y"),1,0)</f>
        <v>0</v>
      </c>
      <c r="AAF277" s="90"/>
      <c r="AAG277" s="73">
        <f>S.AC.DateMeeting3</f>
        <v>16</v>
      </c>
      <c r="AAH277" s="73">
        <f t="shared" ref="AAH277" si="219">G277</f>
        <v>16</v>
      </c>
      <c r="AAI277" s="72"/>
      <c r="AAJ277" s="72"/>
      <c r="AAK277" s="55"/>
      <c r="AAL277" s="90"/>
    </row>
    <row r="278" spans="1:714" s="23" customFormat="1" ht="15" hidden="1" customHeight="1" outlineLevel="1" collapsed="1" thickBot="1">
      <c r="A278" s="171"/>
      <c r="B278" s="528" t="s">
        <v>33</v>
      </c>
      <c r="C278" s="377" t="s">
        <v>303</v>
      </c>
      <c r="D278" s="515"/>
      <c r="E278" s="515"/>
      <c r="F278" s="527"/>
      <c r="G278" s="339">
        <f>AAG278</f>
        <v>16</v>
      </c>
      <c r="H278" s="525" t="s">
        <v>54</v>
      </c>
      <c r="I278" s="244"/>
      <c r="J278" s="193"/>
      <c r="K278" s="193"/>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s="52"/>
      <c r="AAA278" s="192" t="s">
        <v>0</v>
      </c>
      <c r="AAB278"/>
      <c r="AAC278"/>
      <c r="AAD278" s="90"/>
      <c r="AAE278" s="520">
        <f>IF(AND(S.AC.InvolveMeeting4="Y",S.AC.CommitteeInvolved="Y"),1,0)</f>
        <v>0</v>
      </c>
      <c r="AAF278" s="190" t="s">
        <v>52</v>
      </c>
      <c r="AAG278" s="73">
        <f>S.AC.DateMeeting3</f>
        <v>16</v>
      </c>
      <c r="AAH278" s="39" t="s">
        <v>0</v>
      </c>
      <c r="AAI278" s="39"/>
      <c r="AAJ278" s="55"/>
      <c r="AAK278" s="55"/>
      <c r="AAL278" s="90"/>
    </row>
    <row r="279" spans="1:714" s="23" customFormat="1" ht="15" hidden="1" customHeight="1" outlineLevel="2">
      <c r="A279" s="171"/>
      <c r="B279" s="613" t="s">
        <v>154</v>
      </c>
      <c r="C279" s="346"/>
      <c r="D279" s="380"/>
      <c r="E279" s="342">
        <f t="shared" ref="E279" si="220">NETWORKDAYS(G279,H279,S.DDL_DEQClosed)</f>
        <v>1</v>
      </c>
      <c r="F279" s="457">
        <f ca="1">IF(YEAR(H279)&gt;2000,NETWORKDAYS(TODAY(),H279,S.DDL_DEQClosed),0)</f>
        <v>0</v>
      </c>
      <c r="G279" s="451">
        <f t="shared" ref="G279" si="221">AAG279</f>
        <v>2</v>
      </c>
      <c r="H279" s="343">
        <f t="shared" ref="H279" si="222">AAH279</f>
        <v>2</v>
      </c>
      <c r="I279" s="244"/>
      <c r="J279" s="193"/>
      <c r="K279" s="193"/>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s="52"/>
      <c r="AAA279" s="192"/>
      <c r="AAD279" s="90"/>
      <c r="AAE279" s="520">
        <f>IF(AND(S.AC.InvolveMeeting4="Y",S.AC.CommitteeInvolved="Y"),1,0)</f>
        <v>0</v>
      </c>
      <c r="AAF279" s="90"/>
      <c r="AAG279" s="73">
        <f>WORKDAY(S.AC.DateMeeting4-13,-1,S.DDL_DEQClosed)</f>
        <v>2</v>
      </c>
      <c r="AAH279" s="73">
        <f t="shared" ref="AAH279" si="223">G279</f>
        <v>2</v>
      </c>
      <c r="AAI279" s="60"/>
      <c r="AAJ279" s="55"/>
      <c r="AAK279" s="39"/>
      <c r="AAL279" s="90"/>
    </row>
    <row r="280" spans="1:714" s="23" customFormat="1" ht="15" hidden="1" customHeight="1" outlineLevel="2">
      <c r="A280" s="171"/>
      <c r="B280" s="384" t="str">
        <f>AAK280</f>
        <v>AndreaRW coordinates or drafts:</v>
      </c>
      <c r="C280" s="346"/>
      <c r="D280" s="374"/>
      <c r="E280" s="350"/>
      <c r="F280" s="350"/>
      <c r="G280" s="346"/>
      <c r="H280" s="409"/>
      <c r="I280" s="244"/>
      <c r="J280" s="193"/>
      <c r="K280" s="193"/>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s="52"/>
      <c r="AAA280" s="192"/>
      <c r="AAD280" s="90"/>
      <c r="AAE280" s="520">
        <f>IF(AND(S.AC.InvolveMeeting4="Y",S.AC.CommitteeInvolved="Y"),1,0)</f>
        <v>0</v>
      </c>
      <c r="AAF280" s="190" t="s">
        <v>52</v>
      </c>
      <c r="AAG280" s="60"/>
      <c r="AAH280" s="71"/>
      <c r="AAI280" s="71"/>
      <c r="AAJ280" s="55"/>
      <c r="AAK280" s="80" t="str">
        <f>S.Staff.Lead&amp;" coordinates or drafts:"</f>
        <v>AndreaRW coordinates or drafts:</v>
      </c>
      <c r="AAL280" s="90"/>
    </row>
    <row r="281" spans="1:714" s="23" customFormat="1" ht="15" hidden="1" customHeight="1" outlineLevel="2">
      <c r="A281" s="171"/>
      <c r="B281" s="437" t="str">
        <f>AAK281</f>
        <v>* AC.AGENDA.01.16.00, gets team agreement</v>
      </c>
      <c r="C281" s="790" t="str">
        <f>HYPERLINK("\\deq000\templates\General\Agenda Template.dotx","i")</f>
        <v>i</v>
      </c>
      <c r="D281" s="511"/>
      <c r="E281" s="342">
        <f t="shared" ref="E281:E284" si="224">NETWORKDAYS(G281,H281,S.DDL_DEQClosed)</f>
        <v>1</v>
      </c>
      <c r="F281" s="457">
        <f t="shared" ref="F281:F284" ca="1" si="225">IF(YEAR(H281)&gt;2000,NETWORKDAYS(TODAY(),H281,S.DDL_DEQClosed),0)</f>
        <v>0</v>
      </c>
      <c r="G281" s="451">
        <f t="shared" ref="G281:G288" si="226">AAG281</f>
        <v>2</v>
      </c>
      <c r="H281" s="343">
        <f t="shared" ref="H281:H284" si="227">AAH281</f>
        <v>2</v>
      </c>
      <c r="I281" s="244"/>
      <c r="J281" s="193"/>
      <c r="K281" s="193"/>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s="52"/>
      <c r="AAA281" s="192"/>
      <c r="AAD281" s="90"/>
      <c r="AAE281" s="520">
        <f>IF(AND(S.AC.InvolveMeeting1="Y",S.AC.CommitteeInvolved="Y"),1,0)</f>
        <v>0</v>
      </c>
      <c r="AAF281" s="90" t="s">
        <v>0</v>
      </c>
      <c r="AAG281" s="73">
        <f>G279</f>
        <v>2</v>
      </c>
      <c r="AAH281" s="73">
        <f>G281</f>
        <v>2</v>
      </c>
      <c r="AAI281" s="72"/>
      <c r="AAJ281" s="74"/>
      <c r="AAK281" s="80" t="str">
        <f>"* AC.AGENDA."&amp; TEXT(S.AC.DateMeeting1,"mm.dd.yy")&amp;", gets team agreement"</f>
        <v>* AC.AGENDA.01.16.00, gets team agreement</v>
      </c>
      <c r="AAL281" s="90"/>
    </row>
    <row r="282" spans="1:714" s="23" customFormat="1" ht="15" hidden="1" customHeight="1" outlineLevel="2">
      <c r="A282" s="171"/>
      <c r="B282" s="437" t="str">
        <f>AAK282</f>
        <v>* AC.NOTIFICATION.01.16.00</v>
      </c>
      <c r="C282" s="362" t="s">
        <v>0</v>
      </c>
      <c r="D282" s="380"/>
      <c r="E282" s="342">
        <f t="shared" si="224"/>
        <v>1</v>
      </c>
      <c r="F282" s="457">
        <f t="shared" ca="1" si="225"/>
        <v>0</v>
      </c>
      <c r="G282" s="451">
        <f t="shared" si="226"/>
        <v>2</v>
      </c>
      <c r="H282" s="343">
        <f t="shared" si="227"/>
        <v>2</v>
      </c>
      <c r="I282" s="244"/>
      <c r="J282" s="193"/>
      <c r="K282" s="193"/>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s="52"/>
      <c r="AAA282" s="192"/>
      <c r="AAD282" s="90"/>
      <c r="AAE282" s="520">
        <f>IF(AND(S.AC.InvolveMeeting1="Y",S.AC.CommitteeInvolved="Y"),1,0)</f>
        <v>0</v>
      </c>
      <c r="AAF282" s="90" t="s">
        <v>0</v>
      </c>
      <c r="AAG282" s="73">
        <f>G281</f>
        <v>2</v>
      </c>
      <c r="AAH282" s="73">
        <f t="shared" ref="AAH282:AAH284" si="228">G282</f>
        <v>2</v>
      </c>
      <c r="AAI282" s="72"/>
      <c r="AAJ282" s="72"/>
      <c r="AAK282" s="80" t="str">
        <f>"* AC.NOTIFICATION."&amp;TEXT(S.AC.DateMeeting1,"mm.dd.yy")</f>
        <v>* AC.NOTIFICATION.01.16.00</v>
      </c>
      <c r="AAL282" s="90"/>
    </row>
    <row r="283" spans="1:714" s="23" customFormat="1" ht="15" hidden="1" customHeight="1" outlineLevel="2">
      <c r="A283" s="171"/>
      <c r="B283" s="441" t="s">
        <v>318</v>
      </c>
      <c r="C283" s="790" t="str">
        <f>HYPERLINK("http://deq05/intranet/contentmanagement/login.asp","i")</f>
        <v>i</v>
      </c>
      <c r="D283" s="512"/>
      <c r="E283" s="342">
        <f t="shared" si="224"/>
        <v>1</v>
      </c>
      <c r="F283" s="457">
        <f t="shared" ca="1" si="225"/>
        <v>0</v>
      </c>
      <c r="G283" s="451">
        <f t="shared" si="226"/>
        <v>2</v>
      </c>
      <c r="H283" s="343">
        <f t="shared" si="227"/>
        <v>2</v>
      </c>
      <c r="I283" s="244"/>
      <c r="J283" s="193"/>
      <c r="K283" s="193"/>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s="52"/>
      <c r="AAA283" s="192" t="s">
        <v>0</v>
      </c>
      <c r="AAD283" s="90"/>
      <c r="AAE283" s="520">
        <f>IF(AND(S.AC.InvolveMeeting1="Y",S.AC.CommitteeInvolved="Y"),1,0)</f>
        <v>0</v>
      </c>
      <c r="AAF283" s="90" t="s">
        <v>0</v>
      </c>
      <c r="AAG283" s="73">
        <f t="shared" ref="AAG283:AAG288" si="229">G282</f>
        <v>2</v>
      </c>
      <c r="AAH283" s="73">
        <f t="shared" si="228"/>
        <v>2</v>
      </c>
      <c r="AAI283" s="60"/>
      <c r="AAJ283" s="55"/>
      <c r="AAK283" s="55"/>
      <c r="AAL283" s="90"/>
    </row>
    <row r="284" spans="1:714" s="23" customFormat="1" ht="15" hidden="1" customHeight="1" outlineLevel="2">
      <c r="A284" s="171"/>
      <c r="B284" s="407" t="s">
        <v>241</v>
      </c>
      <c r="C284" s="362" t="s">
        <v>0</v>
      </c>
      <c r="D284" s="380"/>
      <c r="E284" s="342">
        <f t="shared" si="224"/>
        <v>1</v>
      </c>
      <c r="F284" s="457">
        <f t="shared" ca="1" si="225"/>
        <v>0</v>
      </c>
      <c r="G284" s="451">
        <f t="shared" si="226"/>
        <v>2</v>
      </c>
      <c r="H284" s="343">
        <f t="shared" si="227"/>
        <v>2</v>
      </c>
      <c r="I284" s="244"/>
      <c r="J284" s="193"/>
      <c r="K284" s="193"/>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s="52"/>
      <c r="AAA284" s="192"/>
      <c r="AAD284" s="90"/>
      <c r="AAE284" s="520">
        <f>IF(AND(S.AC.InvolveMeeting1="Y",S.AC.CommitteeInvolved="Y"),1,0)</f>
        <v>0</v>
      </c>
      <c r="AAF284" s="90" t="s">
        <v>0</v>
      </c>
      <c r="AAG284" s="73">
        <f t="shared" si="229"/>
        <v>2</v>
      </c>
      <c r="AAH284" s="73">
        <f t="shared" si="228"/>
        <v>2</v>
      </c>
      <c r="AAI284" s="60"/>
      <c r="AAJ284" s="55"/>
      <c r="AAK284" s="55"/>
      <c r="AAL284" s="90"/>
    </row>
    <row r="285" spans="1:714" s="23" customFormat="1" ht="15" hidden="1" customHeight="1" outlineLevel="2">
      <c r="A285" s="171"/>
      <c r="B285" s="615" t="s">
        <v>155</v>
      </c>
      <c r="C285" s="362" t="s">
        <v>0</v>
      </c>
      <c r="D285" s="380"/>
      <c r="E285" s="342">
        <f t="shared" ref="E285:E288" si="230">NETWORKDAYS(G285,H285,S.DDL_DEQClosed)</f>
        <v>1</v>
      </c>
      <c r="F285" s="457">
        <f t="shared" ref="F285:F288" ca="1" si="231">IF(YEAR(H285)&gt;2000,NETWORKDAYS(TODAY(),H285,S.DDL_DEQClosed),0)</f>
        <v>0</v>
      </c>
      <c r="G285" s="451">
        <f t="shared" si="226"/>
        <v>2</v>
      </c>
      <c r="H285" s="343">
        <f t="shared" ref="H285:H288" si="232">AAH285</f>
        <v>2</v>
      </c>
      <c r="I285" s="244"/>
      <c r="J285" s="193"/>
      <c r="K285" s="193"/>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s="52"/>
      <c r="AAA285" s="192"/>
      <c r="AAD285" s="90"/>
      <c r="AAE285" s="520">
        <f>IF(AND(S.AC.InvolveMeeting4="Y",S.AC.CommitteeInvolved="Y"),1,0)</f>
        <v>0</v>
      </c>
      <c r="AAF285" s="90" t="s">
        <v>0</v>
      </c>
      <c r="AAG285" s="73">
        <f t="shared" si="229"/>
        <v>2</v>
      </c>
      <c r="AAH285" s="73">
        <f>G285</f>
        <v>2</v>
      </c>
      <c r="AAI285" s="60"/>
      <c r="AAJ285" s="55"/>
      <c r="AAK285" s="55"/>
      <c r="AAL285" s="90"/>
    </row>
    <row r="286" spans="1:714" s="23" customFormat="1" ht="15" hidden="1" customHeight="1" outlineLevel="2">
      <c r="A286" s="171"/>
      <c r="B286" s="615" t="s">
        <v>155</v>
      </c>
      <c r="C286" s="362" t="s">
        <v>0</v>
      </c>
      <c r="D286" s="380"/>
      <c r="E286" s="342">
        <f t="shared" si="230"/>
        <v>1</v>
      </c>
      <c r="F286" s="457">
        <f t="shared" ca="1" si="231"/>
        <v>0</v>
      </c>
      <c r="G286" s="451">
        <f t="shared" si="226"/>
        <v>2</v>
      </c>
      <c r="H286" s="343">
        <f t="shared" si="232"/>
        <v>2</v>
      </c>
      <c r="I286" s="244"/>
      <c r="J286" s="193"/>
      <c r="K286" s="193"/>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s="52"/>
      <c r="AAA286" s="192"/>
      <c r="AAD286" s="90"/>
      <c r="AAE286" s="520">
        <f>IF(AND(S.AC.InvolveMeeting4="Y",S.AC.CommitteeInvolved="Y"),1,0)</f>
        <v>0</v>
      </c>
      <c r="AAF286" s="90" t="s">
        <v>0</v>
      </c>
      <c r="AAG286" s="73">
        <f t="shared" si="229"/>
        <v>2</v>
      </c>
      <c r="AAH286" s="73">
        <f>G286</f>
        <v>2</v>
      </c>
      <c r="AAI286" s="60"/>
      <c r="AAJ286" s="55"/>
      <c r="AAK286" s="55"/>
      <c r="AAL286" s="90"/>
    </row>
    <row r="287" spans="1:714" s="23" customFormat="1" ht="15" hidden="1" customHeight="1" outlineLevel="2">
      <c r="A287" s="171"/>
      <c r="B287" s="615" t="s">
        <v>155</v>
      </c>
      <c r="C287" s="362" t="s">
        <v>0</v>
      </c>
      <c r="D287" s="380"/>
      <c r="E287" s="342">
        <f t="shared" si="230"/>
        <v>1</v>
      </c>
      <c r="F287" s="457">
        <f t="shared" ca="1" si="231"/>
        <v>0</v>
      </c>
      <c r="G287" s="451">
        <f t="shared" si="226"/>
        <v>2</v>
      </c>
      <c r="H287" s="343">
        <f t="shared" si="232"/>
        <v>2</v>
      </c>
      <c r="I287" s="244"/>
      <c r="J287" s="193"/>
      <c r="K287" s="193"/>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s="52"/>
      <c r="AAA287" s="192"/>
      <c r="AAD287" s="90"/>
      <c r="AAE287" s="520">
        <f>IF(AND(S.AC.InvolveMeeting4="Y",S.AC.CommitteeInvolved="Y"),1,0)</f>
        <v>0</v>
      </c>
      <c r="AAF287" s="90" t="s">
        <v>0</v>
      </c>
      <c r="AAG287" s="73">
        <f t="shared" si="229"/>
        <v>2</v>
      </c>
      <c r="AAH287" s="73">
        <f>G287</f>
        <v>2</v>
      </c>
      <c r="AAI287" s="60"/>
      <c r="AAJ287" s="55"/>
      <c r="AAK287" s="55"/>
      <c r="AAL287" s="90"/>
    </row>
    <row r="288" spans="1:714" s="23" customFormat="1" ht="15" hidden="1" customHeight="1" outlineLevel="2" thickBot="1">
      <c r="A288" s="171"/>
      <c r="B288" s="615" t="s">
        <v>155</v>
      </c>
      <c r="C288" s="362" t="s">
        <v>0</v>
      </c>
      <c r="D288" s="380"/>
      <c r="E288" s="342">
        <f t="shared" si="230"/>
        <v>1</v>
      </c>
      <c r="F288" s="457">
        <f t="shared" ca="1" si="231"/>
        <v>0</v>
      </c>
      <c r="G288" s="451">
        <f t="shared" si="226"/>
        <v>2</v>
      </c>
      <c r="H288" s="343">
        <f t="shared" si="232"/>
        <v>2</v>
      </c>
      <c r="I288" s="244"/>
      <c r="J288" s="193"/>
      <c r="K288" s="193"/>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s="52"/>
      <c r="AAA288" s="192"/>
      <c r="AAD288" s="90"/>
      <c r="AAE288" s="520">
        <f>IF(AND(S.AC.InvolveMeeting4="Y",S.AC.CommitteeInvolved="Y"),1,0)</f>
        <v>0</v>
      </c>
      <c r="AAF288" s="90" t="s">
        <v>0</v>
      </c>
      <c r="AAG288" s="73">
        <f t="shared" si="229"/>
        <v>2</v>
      </c>
      <c r="AAH288" s="73">
        <f>G288</f>
        <v>2</v>
      </c>
      <c r="AAI288" s="60"/>
      <c r="AAJ288" s="55"/>
      <c r="AAK288" s="55"/>
      <c r="AAL288" s="90"/>
    </row>
    <row r="289" spans="1:714" s="23" customFormat="1" ht="15" hidden="1" customHeight="1" outlineLevel="3" thickBot="1">
      <c r="A289" s="171"/>
      <c r="B289" s="661" t="s">
        <v>216</v>
      </c>
      <c r="C289" s="377" t="s">
        <v>17</v>
      </c>
      <c r="D289" s="452"/>
      <c r="E289" s="453"/>
      <c r="F289" s="453"/>
      <c r="G289" s="453"/>
      <c r="H289" s="453"/>
      <c r="I289" s="244"/>
      <c r="J289" s="193"/>
      <c r="K289" s="193"/>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s="52"/>
      <c r="AAA289" s="192"/>
      <c r="AAD289" s="90"/>
      <c r="AAE289" s="520">
        <f>IF(AND(S.AC.InvolveMeeting4="Y",S.AC.CommitteeInvolved="Y",S.AC.Presentation4="Y"),1,0)</f>
        <v>0</v>
      </c>
      <c r="AAF289" s="190" t="s">
        <v>52</v>
      </c>
      <c r="AAG289" s="39"/>
      <c r="AAH289" s="39"/>
      <c r="AAI289" s="39"/>
      <c r="AAJ289" s="55"/>
      <c r="AAK289" s="55"/>
      <c r="AAL289" s="90"/>
    </row>
    <row r="290" spans="1:714" s="23" customFormat="1" ht="15" hidden="1" customHeight="1" outlineLevel="3">
      <c r="A290" s="171"/>
      <c r="B290" s="662" t="s">
        <v>156</v>
      </c>
      <c r="C290" s="362" t="s">
        <v>0</v>
      </c>
      <c r="D290" s="454"/>
      <c r="E290" s="442"/>
      <c r="F290" s="442"/>
      <c r="G290" s="442"/>
      <c r="H290" s="442"/>
      <c r="I290" s="244"/>
      <c r="J290" s="193"/>
      <c r="K290" s="193"/>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s="52"/>
      <c r="AAA290" s="192"/>
      <c r="AAD290" s="90"/>
      <c r="AAE290" s="520">
        <f t="shared" ref="AAE290:AAE296" si="233">IF(AND(S.AC.InvolveMeeting1="Y",S.AC.CommitteeInvolved="Y",S.AC.Presentation1="Y"),1,0)</f>
        <v>0</v>
      </c>
      <c r="AAF290" s="190" t="s">
        <v>52</v>
      </c>
      <c r="AAG290" s="39"/>
      <c r="AAH290" s="39"/>
      <c r="AAI290" s="60"/>
      <c r="AAJ290" s="55"/>
      <c r="AAK290" s="55"/>
      <c r="AAL290" s="90"/>
    </row>
    <row r="291" spans="1:714" s="23" customFormat="1" ht="15" hidden="1" customHeight="1" outlineLevel="3">
      <c r="A291" s="171"/>
      <c r="B291" s="663" t="str">
        <f>AAK291</f>
        <v>* drafts optional AC.PRESENTATION.01.16.00</v>
      </c>
      <c r="C291" s="790" t="str">
        <f>HYPERLINK("http://deq05/intranet/communication/docs/DEQAgencyTemplate1.potx","i")</f>
        <v>i</v>
      </c>
      <c r="D291" s="511"/>
      <c r="E291" s="342">
        <f>NETWORKDAYS(G291,H291,S.DDL_DEQClosed)</f>
        <v>1</v>
      </c>
      <c r="F291" s="457">
        <f ca="1">IF(YEAR(H291)&gt;2000,NETWORKDAYS(TODAY(),H291,S.DDL_DEQClosed),0)</f>
        <v>0</v>
      </c>
      <c r="G291" s="451">
        <f t="shared" ref="G291" si="234">AAG291</f>
        <v>2</v>
      </c>
      <c r="H291" s="343">
        <f>AAH291</f>
        <v>2</v>
      </c>
      <c r="I291" s="244"/>
      <c r="J291" s="193"/>
      <c r="K291" s="193"/>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s="52"/>
      <c r="AAA291" s="192"/>
      <c r="AAD291" s="90"/>
      <c r="AAE291" s="520">
        <f t="shared" si="233"/>
        <v>0</v>
      </c>
      <c r="AAF291" s="90" t="s">
        <v>0</v>
      </c>
      <c r="AAG291" s="73">
        <f>G288</f>
        <v>2</v>
      </c>
      <c r="AAH291" s="73">
        <f>G291</f>
        <v>2</v>
      </c>
      <c r="AAI291" s="60"/>
      <c r="AAJ291" s="55"/>
      <c r="AAK291" s="92" t="str">
        <f>"* drafts optional AC.PRESENTATION."&amp;TEXT($G$209,"mm.dd.yy")</f>
        <v>* drafts optional AC.PRESENTATION.01.16.00</v>
      </c>
      <c r="AAL291" s="90"/>
    </row>
    <row r="292" spans="1:714" s="23" customFormat="1" ht="15" hidden="1" customHeight="1" outlineLevel="3">
      <c r="A292" s="171"/>
      <c r="B292" s="662" t="s">
        <v>156</v>
      </c>
      <c r="C292" s="362" t="s">
        <v>0</v>
      </c>
      <c r="D292" s="454"/>
      <c r="E292" s="453"/>
      <c r="F292" s="453"/>
      <c r="G292" s="453"/>
      <c r="H292" s="453"/>
      <c r="I292" s="244"/>
      <c r="J292" s="193"/>
      <c r="K292" s="193"/>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s="52"/>
      <c r="AAA292" s="192"/>
      <c r="AAD292" s="90"/>
      <c r="AAE292" s="520">
        <f t="shared" si="233"/>
        <v>0</v>
      </c>
      <c r="AAF292" s="190" t="s">
        <v>52</v>
      </c>
      <c r="AAG292" s="39"/>
      <c r="AAH292" s="39"/>
      <c r="AAI292" s="60"/>
      <c r="AAJ292" s="55"/>
      <c r="AAK292" s="55"/>
      <c r="AAL292" s="90"/>
    </row>
    <row r="293" spans="1:714" s="23" customFormat="1" ht="15" hidden="1" customHeight="1" outlineLevel="3">
      <c r="A293" s="171"/>
      <c r="B293" s="664" t="s">
        <v>240</v>
      </c>
      <c r="C293" s="362" t="s">
        <v>0</v>
      </c>
      <c r="D293" s="380"/>
      <c r="E293" s="342">
        <f t="shared" ref="E293" si="235">NETWORKDAYS(G293,H293,S.DDL_DEQClosed)</f>
        <v>1</v>
      </c>
      <c r="F293" s="457">
        <f ca="1">IF(YEAR(H293)&gt;2000,NETWORKDAYS(TODAY(),H293,S.DDL_DEQClosed),0)</f>
        <v>0</v>
      </c>
      <c r="G293" s="451">
        <f t="shared" ref="G293:G297" si="236">AAG293</f>
        <v>2</v>
      </c>
      <c r="H293" s="343">
        <f t="shared" ref="H293:H296" si="237">AAH293</f>
        <v>2</v>
      </c>
      <c r="I293" s="244"/>
      <c r="J293" s="193"/>
      <c r="K293" s="193"/>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s="52"/>
      <c r="AAA293" s="192"/>
      <c r="AAD293" s="90"/>
      <c r="AAE293" s="520">
        <f t="shared" si="233"/>
        <v>0</v>
      </c>
      <c r="AAF293" s="90" t="s">
        <v>0</v>
      </c>
      <c r="AAG293" s="73">
        <f>G291</f>
        <v>2</v>
      </c>
      <c r="AAH293" s="73">
        <f t="shared" ref="AAH293" si="238">G293</f>
        <v>2</v>
      </c>
      <c r="AAI293" s="60"/>
      <c r="AAJ293" s="55"/>
      <c r="AAK293" s="55"/>
      <c r="AAL293" s="90"/>
    </row>
    <row r="294" spans="1:714" s="23" customFormat="1" ht="15" hidden="1" customHeight="1" outlineLevel="3">
      <c r="A294" s="171"/>
      <c r="B294" s="665" t="s">
        <v>319</v>
      </c>
      <c r="C294" s="362" t="s">
        <v>0</v>
      </c>
      <c r="D294" s="380"/>
      <c r="E294" s="342">
        <f>NETWORKDAYS(G294,H294,S.DDL_DEQClosed)</f>
        <v>1</v>
      </c>
      <c r="F294" s="457">
        <f ca="1">IF(YEAR(H294)&gt;2000,NETWORKDAYS(TODAY(),H294,S.DDL_DEQClosed),0)</f>
        <v>0</v>
      </c>
      <c r="G294" s="451">
        <f t="shared" si="236"/>
        <v>2</v>
      </c>
      <c r="H294" s="343">
        <f t="shared" si="237"/>
        <v>2</v>
      </c>
      <c r="I294" s="244"/>
      <c r="J294" s="193"/>
      <c r="K294" s="193"/>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s="52"/>
      <c r="AAA294" s="192"/>
      <c r="AAD294" s="90"/>
      <c r="AAE294" s="520">
        <f t="shared" si="233"/>
        <v>0</v>
      </c>
      <c r="AAF294" s="90" t="s">
        <v>0</v>
      </c>
      <c r="AAG294" s="73">
        <f>G293</f>
        <v>2</v>
      </c>
      <c r="AAH294" s="73">
        <f>G294</f>
        <v>2</v>
      </c>
      <c r="AAI294" s="60" t="s">
        <v>0</v>
      </c>
      <c r="AAJ294" s="55"/>
      <c r="AAK294" s="55"/>
      <c r="AAL294" s="90"/>
    </row>
    <row r="295" spans="1:714" s="23" customFormat="1" ht="15" hidden="1" customHeight="1" outlineLevel="3">
      <c r="A295" s="171"/>
      <c r="B295" s="666" t="str">
        <f>AAK295</f>
        <v>AndreaRW submits Web Request to post materials</v>
      </c>
      <c r="C295" s="792" t="str">
        <f>HYPERLINK("http://deq05/intranet/communication/WebRequests.htm","i")</f>
        <v>i</v>
      </c>
      <c r="D295" s="380"/>
      <c r="E295" s="342">
        <f>NETWORKDAYS(G295,H295,S.DDL_DEQClosed)</f>
        <v>1</v>
      </c>
      <c r="F295" s="457">
        <f t="shared" ref="F295:F300" ca="1" si="239">IF(YEAR(H295)&gt;2000,NETWORKDAYS(TODAY(),H295,S.DDL_DEQClosed),0)</f>
        <v>0</v>
      </c>
      <c r="G295" s="451">
        <f t="shared" si="236"/>
        <v>2</v>
      </c>
      <c r="H295" s="343">
        <f t="shared" si="237"/>
        <v>2</v>
      </c>
      <c r="I295" s="244"/>
      <c r="J295" s="193"/>
      <c r="K295" s="193"/>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s="52"/>
      <c r="AAA295" s="192"/>
      <c r="AAD295" s="90"/>
      <c r="AAE295" s="520">
        <f t="shared" si="233"/>
        <v>0</v>
      </c>
      <c r="AAF295" s="90" t="s">
        <v>0</v>
      </c>
      <c r="AAG295" s="73">
        <f t="shared" ref="AAG295:AAG297" si="240">G294</f>
        <v>2</v>
      </c>
      <c r="AAH295" s="73">
        <f>G295</f>
        <v>2</v>
      </c>
      <c r="AAI295" s="60"/>
      <c r="AAJ295" s="55"/>
      <c r="AAK295" s="92" t="str">
        <f>S.Staff.Lead&amp;" submits Web Request to post materials"</f>
        <v>AndreaRW submits Web Request to post materials</v>
      </c>
      <c r="AAL295" s="90"/>
    </row>
    <row r="296" spans="1:714" s="23" customFormat="1" ht="15" hidden="1" customHeight="1" outlineLevel="3">
      <c r="A296" s="171"/>
      <c r="B296" s="665" t="s">
        <v>159</v>
      </c>
      <c r="C296" s="425" t="s">
        <v>0</v>
      </c>
      <c r="D296" s="380"/>
      <c r="E296" s="342">
        <f>NETWORKDAYS(G296,H296,S.DDL_DEQClosed)</f>
        <v>1</v>
      </c>
      <c r="F296" s="457">
        <f t="shared" ca="1" si="239"/>
        <v>0</v>
      </c>
      <c r="G296" s="451">
        <f t="shared" si="236"/>
        <v>2</v>
      </c>
      <c r="H296" s="343">
        <f t="shared" si="237"/>
        <v>2</v>
      </c>
      <c r="I296" s="244"/>
      <c r="J296" s="193"/>
      <c r="K296" s="193"/>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s="52"/>
      <c r="AAA296" s="192"/>
      <c r="AAD296" s="90"/>
      <c r="AAE296" s="520">
        <f t="shared" si="233"/>
        <v>0</v>
      </c>
      <c r="AAF296" s="90"/>
      <c r="AAG296" s="73">
        <f t="shared" si="240"/>
        <v>2</v>
      </c>
      <c r="AAH296" s="73">
        <f>G296</f>
        <v>2</v>
      </c>
      <c r="AAI296" s="72"/>
      <c r="AAJ296" s="72"/>
      <c r="AAK296" s="55"/>
      <c r="AAL296" s="90"/>
    </row>
    <row r="297" spans="1:714" s="23" customFormat="1" ht="15" hidden="1" customHeight="1" outlineLevel="2">
      <c r="A297" s="171"/>
      <c r="B297" s="486" t="str">
        <f>AAK297</f>
        <v>AndreaRW sends meeting notice with link to Web page</v>
      </c>
      <c r="C297" s="425" t="s">
        <v>0</v>
      </c>
      <c r="D297" s="380"/>
      <c r="E297" s="342">
        <f>NETWORKDAYS(G297,H297,S.DDL_DEQClosed)</f>
        <v>1</v>
      </c>
      <c r="F297" s="457">
        <f t="shared" ca="1" si="239"/>
        <v>0</v>
      </c>
      <c r="G297" s="451">
        <f t="shared" si="236"/>
        <v>2</v>
      </c>
      <c r="H297" s="343">
        <f t="shared" ref="H297:H300" si="241">AAH297</f>
        <v>2</v>
      </c>
      <c r="I297" s="244"/>
      <c r="J297" s="193"/>
      <c r="K297" s="193"/>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s="52"/>
      <c r="AAA297" s="192"/>
      <c r="AAD297" s="90"/>
      <c r="AAE297" s="520">
        <f>IF(AND(S.AC.InvolveMeeting3="Y",S.AC.CommitteeInvolved="Y"),1,0)</f>
        <v>0</v>
      </c>
      <c r="AAF297" s="90"/>
      <c r="AAG297" s="73">
        <f t="shared" si="240"/>
        <v>2</v>
      </c>
      <c r="AAH297" s="73">
        <f>G297</f>
        <v>2</v>
      </c>
      <c r="AAI297" s="72"/>
      <c r="AAJ297" s="72"/>
      <c r="AAK297" s="92" t="str">
        <f>S.Staff.Lead&amp;" sends meeting notice with link to Web page"</f>
        <v>AndreaRW sends meeting notice with link to Web page</v>
      </c>
      <c r="AAL297" s="90"/>
    </row>
    <row r="298" spans="1:714" s="23" customFormat="1" ht="15" hidden="1" customHeight="1" outlineLevel="2">
      <c r="A298" s="171"/>
      <c r="B298" s="616" t="s">
        <v>157</v>
      </c>
      <c r="C298" s="425" t="s">
        <v>0</v>
      </c>
      <c r="D298" s="851" t="s">
        <v>320</v>
      </c>
      <c r="E298" s="851"/>
      <c r="F298" s="851"/>
      <c r="G298" s="852"/>
      <c r="H298" s="351">
        <f t="shared" si="241"/>
        <v>16</v>
      </c>
      <c r="I298" s="244"/>
      <c r="J298" s="193"/>
      <c r="K298" s="193"/>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s="52"/>
      <c r="AAA298" s="192"/>
      <c r="AAD298" s="90"/>
      <c r="AAE298" s="520">
        <f>IF(AND(S.AC.InvolveMeeting3="Y",S.AC.CommitteeInvolved="Y"),1,0)</f>
        <v>0</v>
      </c>
      <c r="AAF298" s="90"/>
      <c r="AAG298" s="39" t="s">
        <v>0</v>
      </c>
      <c r="AAH298" s="73">
        <f>S.AC.DateMeeting4</f>
        <v>16</v>
      </c>
      <c r="AAI298" s="72"/>
      <c r="AAJ298" s="72"/>
      <c r="AAK298" s="55"/>
      <c r="AAL298" s="90"/>
    </row>
    <row r="299" spans="1:714" s="23" customFormat="1" ht="15" hidden="1" customHeight="1" outlineLevel="2">
      <c r="A299" s="171"/>
      <c r="B299" s="486" t="str">
        <f>AAK299</f>
        <v>AndreaRW drafts AC.MINUTES01.16.00</v>
      </c>
      <c r="C299" s="790" t="str">
        <f>HYPERLINK("\\deq000\templates\General\Minutes Template.dotx","i")</f>
        <v>i</v>
      </c>
      <c r="D299" s="511"/>
      <c r="E299" s="342">
        <f t="shared" ref="E299:E300" si="242">NETWORKDAYS(G299,H299,S.DDL_DEQClosed)</f>
        <v>1</v>
      </c>
      <c r="F299" s="457">
        <f t="shared" ca="1" si="239"/>
        <v>0</v>
      </c>
      <c r="G299" s="451">
        <f>AAG299</f>
        <v>16</v>
      </c>
      <c r="H299" s="343">
        <f t="shared" si="241"/>
        <v>16</v>
      </c>
      <c r="I299" s="244"/>
      <c r="J299" s="193"/>
      <c r="K299" s="193"/>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s="52"/>
      <c r="AAA299" s="192"/>
      <c r="AAD299" s="90"/>
      <c r="AAE299" s="520">
        <f>IF(AND(S.AC.InvolveMeeting3="Y",S.AC.CommitteeInvolved="Y"),1,0)</f>
        <v>0</v>
      </c>
      <c r="AAF299" s="90"/>
      <c r="AAG299" s="73">
        <f>S.AC.DateMeeting4</f>
        <v>16</v>
      </c>
      <c r="AAH299" s="73">
        <f t="shared" ref="AAH299:AAH300" si="243">G299</f>
        <v>16</v>
      </c>
      <c r="AAI299" s="72"/>
      <c r="AAJ299" s="72"/>
      <c r="AAK299" s="80" t="str">
        <f>S.Staff.Lead&amp;" drafts AC.MINUTES"&amp;TEXT(S.AC.DateMeeting1,"mm.dd.yy")</f>
        <v>AndreaRW drafts AC.MINUTES01.16.00</v>
      </c>
      <c r="AAL299" s="90"/>
    </row>
    <row r="300" spans="1:714" s="23" customFormat="1" ht="15" hidden="1" customHeight="1" outlineLevel="2" thickBot="1">
      <c r="A300" s="171"/>
      <c r="B300" s="616" t="s">
        <v>158</v>
      </c>
      <c r="C300" s="425" t="s">
        <v>0</v>
      </c>
      <c r="D300" s="380"/>
      <c r="E300" s="342">
        <f t="shared" si="242"/>
        <v>1</v>
      </c>
      <c r="F300" s="457">
        <f t="shared" ca="1" si="239"/>
        <v>0</v>
      </c>
      <c r="G300" s="451">
        <f>AAG300</f>
        <v>16</v>
      </c>
      <c r="H300" s="343">
        <f t="shared" si="241"/>
        <v>16</v>
      </c>
      <c r="I300" s="244"/>
      <c r="J300" s="193"/>
      <c r="K300" s="193"/>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s="52"/>
      <c r="AAA300" s="192"/>
      <c r="AAD300" s="90"/>
      <c r="AAE300" s="520">
        <f>IF(AND(S.AC.InvolveMeeting3="Y",S.AC.CommitteeInvolved="Y"),1,0)</f>
        <v>0</v>
      </c>
      <c r="AAF300" s="90"/>
      <c r="AAG300" s="73">
        <f>S.AC.DateMeeting4</f>
        <v>16</v>
      </c>
      <c r="AAH300" s="73">
        <f t="shared" si="243"/>
        <v>16</v>
      </c>
      <c r="AAI300" s="72"/>
      <c r="AAJ300" s="72"/>
      <c r="AAK300" s="55"/>
      <c r="AAL300" s="90"/>
    </row>
    <row r="301" spans="1:714" s="23" customFormat="1" ht="15" hidden="1" customHeight="1" outlineLevel="1" collapsed="1" thickBot="1">
      <c r="A301" s="171"/>
      <c r="B301" s="528" t="s">
        <v>223</v>
      </c>
      <c r="C301" s="377" t="s">
        <v>303</v>
      </c>
      <c r="D301" s="515"/>
      <c r="E301" s="515"/>
      <c r="F301" s="527"/>
      <c r="G301" s="339">
        <f>AAG301</f>
        <v>16</v>
      </c>
      <c r="H301" s="455" t="s">
        <v>54</v>
      </c>
      <c r="I301" s="244"/>
      <c r="J301" s="193"/>
      <c r="K301" s="193"/>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s="52"/>
      <c r="AAA301" s="192"/>
      <c r="AAB301"/>
      <c r="AAC301"/>
      <c r="AAD301" s="90"/>
      <c r="AAE301" s="520">
        <f>IF(AND(S.AC.InvolveMeeting5="Y",S.AC.CommitteeInvolved="Y"),1,0)</f>
        <v>0</v>
      </c>
      <c r="AAF301" s="190" t="s">
        <v>52</v>
      </c>
      <c r="AAG301" s="73">
        <f>S.AC.DateMeeting4</f>
        <v>16</v>
      </c>
      <c r="AAH301" s="39" t="s">
        <v>0</v>
      </c>
      <c r="AAI301" s="39"/>
      <c r="AAJ301" s="55"/>
      <c r="AAK301" s="55"/>
      <c r="AAL301" s="90"/>
    </row>
    <row r="302" spans="1:714" s="23" customFormat="1" ht="15" hidden="1" customHeight="1" outlineLevel="2">
      <c r="A302" s="171"/>
      <c r="B302" s="613" t="s">
        <v>154</v>
      </c>
      <c r="C302" s="346"/>
      <c r="D302" s="380"/>
      <c r="E302" s="342">
        <f t="shared" ref="E302" si="244">NETWORKDAYS(G302,H302,S.DDL_DEQClosed)</f>
        <v>1</v>
      </c>
      <c r="F302" s="457">
        <f ca="1">IF(YEAR(H302)&gt;2000,NETWORKDAYS(TODAY(),H302,S.DDL_DEQClosed),0)</f>
        <v>0</v>
      </c>
      <c r="G302" s="451">
        <f t="shared" ref="G302" si="245">AAG302</f>
        <v>2</v>
      </c>
      <c r="H302" s="343">
        <f t="shared" ref="H302" si="246">AAH302</f>
        <v>2</v>
      </c>
      <c r="I302" s="244"/>
      <c r="J302" s="193"/>
      <c r="K302" s="193"/>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s="52"/>
      <c r="AAA302" s="192"/>
      <c r="AAD302" s="90"/>
      <c r="AAE302" s="520">
        <f>IF(AND(S.AC.InvolveMeeting5="Y",S.AC.CommitteeInvolved="Y"),1,0)</f>
        <v>0</v>
      </c>
      <c r="AAF302" s="90"/>
      <c r="AAG302" s="73">
        <f>WORKDAY(S.AC.DateMeeting5-13,-1,S.DDL_DEQClosed)</f>
        <v>2</v>
      </c>
      <c r="AAH302" s="73">
        <f t="shared" ref="AAH302" si="247">G302</f>
        <v>2</v>
      </c>
      <c r="AAI302" s="60"/>
      <c r="AAJ302" s="55"/>
      <c r="AAK302" s="39"/>
      <c r="AAL302" s="90"/>
    </row>
    <row r="303" spans="1:714" s="23" customFormat="1" ht="15" hidden="1" customHeight="1" outlineLevel="2">
      <c r="A303" s="171"/>
      <c r="B303" s="384" t="str">
        <f>AAK303</f>
        <v>AndreaRW coordinates or drafts:</v>
      </c>
      <c r="C303" s="346"/>
      <c r="D303" s="374"/>
      <c r="E303" s="350"/>
      <c r="F303" s="350"/>
      <c r="G303" s="346"/>
      <c r="H303" s="409"/>
      <c r="I303" s="244"/>
      <c r="J303" s="193"/>
      <c r="K303" s="193"/>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s="52"/>
      <c r="AAA303" s="192"/>
      <c r="AAD303" s="90"/>
      <c r="AAE303" s="520">
        <f>IF(AND(S.AC.InvolveMeeting5="Y",S.AC.CommitteeInvolved="Y"),1,0)</f>
        <v>0</v>
      </c>
      <c r="AAF303" s="190" t="s">
        <v>52</v>
      </c>
      <c r="AAG303" s="60"/>
      <c r="AAH303" s="71"/>
      <c r="AAI303" s="71"/>
      <c r="AAJ303" s="55"/>
      <c r="AAK303" s="80" t="str">
        <f>S.Staff.Lead&amp;" coordinates or drafts:"</f>
        <v>AndreaRW coordinates or drafts:</v>
      </c>
      <c r="AAL303" s="90"/>
    </row>
    <row r="304" spans="1:714" s="23" customFormat="1" ht="15" hidden="1" customHeight="1" outlineLevel="2">
      <c r="A304" s="171"/>
      <c r="B304" s="437" t="str">
        <f>AAK304</f>
        <v>* AC.AGENDA.01.16.00, gets team agreement</v>
      </c>
      <c r="C304" s="790" t="str">
        <f>HYPERLINK("\\deq000\templates\General\Agenda Template.dotx","i")</f>
        <v>i</v>
      </c>
      <c r="D304" s="511"/>
      <c r="E304" s="342">
        <f t="shared" ref="E304:E307" si="248">NETWORKDAYS(G304,H304,S.DDL_DEQClosed)</f>
        <v>1</v>
      </c>
      <c r="F304" s="457">
        <f t="shared" ref="F304:F307" ca="1" si="249">IF(YEAR(H304)&gt;2000,NETWORKDAYS(TODAY(),H304,S.DDL_DEQClosed),0)</f>
        <v>0</v>
      </c>
      <c r="G304" s="451">
        <f t="shared" ref="G304:G311" si="250">AAG304</f>
        <v>2</v>
      </c>
      <c r="H304" s="343">
        <f t="shared" ref="H304:H307" si="251">AAH304</f>
        <v>2</v>
      </c>
      <c r="I304" s="244"/>
      <c r="J304" s="193"/>
      <c r="K304" s="193"/>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s="52"/>
      <c r="AAA304" s="192"/>
      <c r="AAD304" s="90"/>
      <c r="AAE304" s="520">
        <f>IF(AND(S.AC.InvolveMeeting1="Y",S.AC.CommitteeInvolved="Y"),1,0)</f>
        <v>0</v>
      </c>
      <c r="AAF304" s="90" t="s">
        <v>0</v>
      </c>
      <c r="AAG304" s="73">
        <f>G302</f>
        <v>2</v>
      </c>
      <c r="AAH304" s="73">
        <f>G304</f>
        <v>2</v>
      </c>
      <c r="AAI304" s="72"/>
      <c r="AAJ304" s="74"/>
      <c r="AAK304" s="80" t="str">
        <f>"* AC.AGENDA."&amp; TEXT(S.AC.DateMeeting1,"mm.dd.yy")&amp;", gets team agreement"</f>
        <v>* AC.AGENDA.01.16.00, gets team agreement</v>
      </c>
      <c r="AAL304" s="90"/>
    </row>
    <row r="305" spans="1:714" s="23" customFormat="1" ht="15" hidden="1" customHeight="1" outlineLevel="2">
      <c r="A305" s="171"/>
      <c r="B305" s="437" t="str">
        <f>AAK305</f>
        <v>* AC.NOTIFICATION.01.16.00</v>
      </c>
      <c r="C305" s="362" t="s">
        <v>0</v>
      </c>
      <c r="D305" s="380"/>
      <c r="E305" s="342">
        <f t="shared" si="248"/>
        <v>1</v>
      </c>
      <c r="F305" s="457">
        <f t="shared" ca="1" si="249"/>
        <v>0</v>
      </c>
      <c r="G305" s="451">
        <f t="shared" si="250"/>
        <v>2</v>
      </c>
      <c r="H305" s="343">
        <f t="shared" si="251"/>
        <v>2</v>
      </c>
      <c r="I305" s="244"/>
      <c r="J305" s="193"/>
      <c r="K305" s="193"/>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s="52"/>
      <c r="AAA305" s="192"/>
      <c r="AAD305" s="90"/>
      <c r="AAE305" s="520">
        <f>IF(AND(S.AC.InvolveMeeting1="Y",S.AC.CommitteeInvolved="Y"),1,0)</f>
        <v>0</v>
      </c>
      <c r="AAF305" s="90" t="s">
        <v>0</v>
      </c>
      <c r="AAG305" s="73">
        <f>G304</f>
        <v>2</v>
      </c>
      <c r="AAH305" s="73">
        <f t="shared" ref="AAH305:AAH307" si="252">G305</f>
        <v>2</v>
      </c>
      <c r="AAI305" s="72"/>
      <c r="AAJ305" s="72"/>
      <c r="AAK305" s="80" t="str">
        <f>"* AC.NOTIFICATION."&amp;TEXT(S.AC.DateMeeting1,"mm.dd.yy")</f>
        <v>* AC.NOTIFICATION.01.16.00</v>
      </c>
      <c r="AAL305" s="90"/>
    </row>
    <row r="306" spans="1:714" s="23" customFormat="1" ht="15" hidden="1" customHeight="1" outlineLevel="2">
      <c r="A306" s="171"/>
      <c r="B306" s="441" t="s">
        <v>318</v>
      </c>
      <c r="C306" s="790" t="str">
        <f>HYPERLINK("http://deq05/intranet/contentmanagement/login.asp","i")</f>
        <v>i</v>
      </c>
      <c r="D306" s="512"/>
      <c r="E306" s="342">
        <f t="shared" si="248"/>
        <v>1</v>
      </c>
      <c r="F306" s="457">
        <f t="shared" ca="1" si="249"/>
        <v>0</v>
      </c>
      <c r="G306" s="451">
        <f t="shared" si="250"/>
        <v>2</v>
      </c>
      <c r="H306" s="343">
        <f t="shared" si="251"/>
        <v>2</v>
      </c>
      <c r="I306" s="244"/>
      <c r="J306" s="193"/>
      <c r="K306" s="193"/>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s="52"/>
      <c r="AAA306" s="192" t="s">
        <v>0</v>
      </c>
      <c r="AAD306" s="90"/>
      <c r="AAE306" s="520">
        <f>IF(AND(S.AC.InvolveMeeting1="Y",S.AC.CommitteeInvolved="Y"),1,0)</f>
        <v>0</v>
      </c>
      <c r="AAF306" s="90" t="s">
        <v>0</v>
      </c>
      <c r="AAG306" s="73">
        <f t="shared" ref="AAG306:AAG311" si="253">G305</f>
        <v>2</v>
      </c>
      <c r="AAH306" s="73">
        <f t="shared" si="252"/>
        <v>2</v>
      </c>
      <c r="AAI306" s="60"/>
      <c r="AAJ306" s="55"/>
      <c r="AAK306" s="55"/>
      <c r="AAL306" s="90"/>
    </row>
    <row r="307" spans="1:714" s="23" customFormat="1" ht="15" hidden="1" customHeight="1" outlineLevel="2">
      <c r="A307" s="171"/>
      <c r="B307" s="407" t="s">
        <v>241</v>
      </c>
      <c r="C307" s="362" t="s">
        <v>0</v>
      </c>
      <c r="D307" s="380"/>
      <c r="E307" s="342">
        <f t="shared" si="248"/>
        <v>1</v>
      </c>
      <c r="F307" s="457">
        <f t="shared" ca="1" si="249"/>
        <v>0</v>
      </c>
      <c r="G307" s="451">
        <f t="shared" si="250"/>
        <v>2</v>
      </c>
      <c r="H307" s="343">
        <f t="shared" si="251"/>
        <v>2</v>
      </c>
      <c r="I307" s="244"/>
      <c r="J307" s="193"/>
      <c r="K307" s="193"/>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s="52"/>
      <c r="AAA307" s="192"/>
      <c r="AAD307" s="90"/>
      <c r="AAE307" s="520">
        <f>IF(AND(S.AC.InvolveMeeting1="Y",S.AC.CommitteeInvolved="Y"),1,0)</f>
        <v>0</v>
      </c>
      <c r="AAF307" s="90" t="s">
        <v>0</v>
      </c>
      <c r="AAG307" s="73">
        <f t="shared" si="253"/>
        <v>2</v>
      </c>
      <c r="AAH307" s="73">
        <f t="shared" si="252"/>
        <v>2</v>
      </c>
      <c r="AAI307" s="60"/>
      <c r="AAJ307" s="55"/>
      <c r="AAK307" s="55"/>
      <c r="AAL307" s="90"/>
    </row>
    <row r="308" spans="1:714" s="23" customFormat="1" ht="15" hidden="1" customHeight="1" outlineLevel="2">
      <c r="A308" s="171"/>
      <c r="B308" s="615" t="s">
        <v>155</v>
      </c>
      <c r="C308" s="362" t="s">
        <v>0</v>
      </c>
      <c r="D308" s="380"/>
      <c r="E308" s="342">
        <f t="shared" ref="E308:E311" si="254">NETWORKDAYS(G308,H308,S.DDL_DEQClosed)</f>
        <v>1</v>
      </c>
      <c r="F308" s="457">
        <f t="shared" ref="F308:F311" ca="1" si="255">IF(YEAR(H308)&gt;2000,NETWORKDAYS(TODAY(),H308,S.DDL_DEQClosed),0)</f>
        <v>0</v>
      </c>
      <c r="G308" s="451">
        <f t="shared" si="250"/>
        <v>2</v>
      </c>
      <c r="H308" s="343">
        <f t="shared" ref="H308:H311" si="256">AAH308</f>
        <v>2</v>
      </c>
      <c r="I308" s="244"/>
      <c r="J308" s="193"/>
      <c r="K308" s="193"/>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s="52"/>
      <c r="AAA308" s="192"/>
      <c r="AAD308" s="90"/>
      <c r="AAE308" s="520">
        <f>IF(AND(S.AC.InvolveMeeting5="Y",S.AC.CommitteeInvolved="Y"),1,0)</f>
        <v>0</v>
      </c>
      <c r="AAF308" s="90" t="s">
        <v>0</v>
      </c>
      <c r="AAG308" s="73">
        <f t="shared" si="253"/>
        <v>2</v>
      </c>
      <c r="AAH308" s="73">
        <f>G308</f>
        <v>2</v>
      </c>
      <c r="AAI308" s="60"/>
      <c r="AAJ308" s="55"/>
      <c r="AAK308" s="55"/>
      <c r="AAL308" s="90"/>
    </row>
    <row r="309" spans="1:714" s="23" customFormat="1" ht="15" hidden="1" customHeight="1" outlineLevel="2">
      <c r="A309" s="171"/>
      <c r="B309" s="615" t="s">
        <v>155</v>
      </c>
      <c r="C309" s="362" t="s">
        <v>0</v>
      </c>
      <c r="D309" s="380"/>
      <c r="E309" s="342">
        <f t="shared" si="254"/>
        <v>1</v>
      </c>
      <c r="F309" s="457">
        <f t="shared" ca="1" si="255"/>
        <v>0</v>
      </c>
      <c r="G309" s="451">
        <f t="shared" si="250"/>
        <v>2</v>
      </c>
      <c r="H309" s="343">
        <f t="shared" si="256"/>
        <v>2</v>
      </c>
      <c r="I309" s="244"/>
      <c r="J309" s="193"/>
      <c r="K309" s="193"/>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s="52"/>
      <c r="AAA309" s="192"/>
      <c r="AAD309" s="90"/>
      <c r="AAE309" s="520">
        <f>IF(AND(S.AC.InvolveMeeting5="Y",S.AC.CommitteeInvolved="Y"),1,0)</f>
        <v>0</v>
      </c>
      <c r="AAF309" s="90" t="s">
        <v>0</v>
      </c>
      <c r="AAG309" s="73">
        <f t="shared" si="253"/>
        <v>2</v>
      </c>
      <c r="AAH309" s="73">
        <f>G309</f>
        <v>2</v>
      </c>
      <c r="AAI309" s="60"/>
      <c r="AAJ309" s="55"/>
      <c r="AAK309" s="55"/>
      <c r="AAL309" s="90"/>
    </row>
    <row r="310" spans="1:714" s="23" customFormat="1" ht="15" hidden="1" customHeight="1" outlineLevel="2">
      <c r="A310" s="171"/>
      <c r="B310" s="615" t="s">
        <v>155</v>
      </c>
      <c r="C310" s="362" t="s">
        <v>0</v>
      </c>
      <c r="D310" s="380"/>
      <c r="E310" s="342">
        <f t="shared" si="254"/>
        <v>1</v>
      </c>
      <c r="F310" s="457">
        <f t="shared" ca="1" si="255"/>
        <v>0</v>
      </c>
      <c r="G310" s="451">
        <f t="shared" si="250"/>
        <v>2</v>
      </c>
      <c r="H310" s="343">
        <f t="shared" si="256"/>
        <v>2</v>
      </c>
      <c r="I310" s="244"/>
      <c r="J310" s="193"/>
      <c r="K310" s="193"/>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s="52"/>
      <c r="AAA310" s="192"/>
      <c r="AAD310" s="90"/>
      <c r="AAE310" s="520">
        <f>IF(AND(S.AC.InvolveMeeting5="Y",S.AC.CommitteeInvolved="Y"),1,0)</f>
        <v>0</v>
      </c>
      <c r="AAF310" s="90" t="s">
        <v>0</v>
      </c>
      <c r="AAG310" s="73">
        <f t="shared" si="253"/>
        <v>2</v>
      </c>
      <c r="AAH310" s="73">
        <f>G310</f>
        <v>2</v>
      </c>
      <c r="AAI310" s="60"/>
      <c r="AAJ310" s="55"/>
      <c r="AAK310" s="55"/>
      <c r="AAL310" s="90"/>
    </row>
    <row r="311" spans="1:714" s="23" customFormat="1" ht="15" hidden="1" customHeight="1" outlineLevel="2" thickBot="1">
      <c r="A311" s="171"/>
      <c r="B311" s="615" t="s">
        <v>155</v>
      </c>
      <c r="C311" s="362" t="s">
        <v>0</v>
      </c>
      <c r="D311" s="380"/>
      <c r="E311" s="342">
        <f t="shared" si="254"/>
        <v>1</v>
      </c>
      <c r="F311" s="457">
        <f t="shared" ca="1" si="255"/>
        <v>0</v>
      </c>
      <c r="G311" s="451">
        <f t="shared" si="250"/>
        <v>2</v>
      </c>
      <c r="H311" s="343">
        <f t="shared" si="256"/>
        <v>2</v>
      </c>
      <c r="I311" s="244"/>
      <c r="J311" s="193"/>
      <c r="K311" s="193"/>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s="52"/>
      <c r="AAA311" s="192"/>
      <c r="AAD311" s="90"/>
      <c r="AAE311" s="520">
        <f>IF(AND(S.AC.InvolveMeeting5="Y",S.AC.CommitteeInvolved="Y"),1,0)</f>
        <v>0</v>
      </c>
      <c r="AAF311" s="90" t="s">
        <v>0</v>
      </c>
      <c r="AAG311" s="73">
        <f t="shared" si="253"/>
        <v>2</v>
      </c>
      <c r="AAH311" s="73">
        <f>G311</f>
        <v>2</v>
      </c>
      <c r="AAI311" s="60"/>
      <c r="AAJ311" s="55"/>
      <c r="AAK311" s="55"/>
      <c r="AAL311" s="90"/>
    </row>
    <row r="312" spans="1:714" s="23" customFormat="1" ht="15" hidden="1" customHeight="1" outlineLevel="3" thickBot="1">
      <c r="A312" s="171"/>
      <c r="B312" s="661" t="s">
        <v>216</v>
      </c>
      <c r="C312" s="377" t="s">
        <v>17</v>
      </c>
      <c r="D312" s="452"/>
      <c r="E312" s="453"/>
      <c r="F312" s="453"/>
      <c r="G312" s="453"/>
      <c r="H312" s="453"/>
      <c r="I312" s="244"/>
      <c r="J312" s="193"/>
      <c r="K312" s="193"/>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s="52"/>
      <c r="AAA312" s="192"/>
      <c r="AAD312" s="90"/>
      <c r="AAE312" s="520">
        <f>IF(AND(S.AC.InvolveMeeting5="Y",S.AC.CommitteeInvolved="Y",S.AC.Presentation5="Y"),1,0)</f>
        <v>0</v>
      </c>
      <c r="AAF312" s="190" t="s">
        <v>52</v>
      </c>
      <c r="AAG312" s="39"/>
      <c r="AAH312" s="39"/>
      <c r="AAI312" s="39"/>
      <c r="AAJ312" s="55"/>
      <c r="AAK312" s="55"/>
      <c r="AAL312" s="90"/>
    </row>
    <row r="313" spans="1:714" s="23" customFormat="1" ht="15" hidden="1" customHeight="1" outlineLevel="3">
      <c r="A313" s="171"/>
      <c r="B313" s="662" t="s">
        <v>156</v>
      </c>
      <c r="C313" s="362" t="s">
        <v>0</v>
      </c>
      <c r="D313" s="454"/>
      <c r="E313" s="442"/>
      <c r="F313" s="442"/>
      <c r="G313" s="442"/>
      <c r="H313" s="442"/>
      <c r="I313" s="244"/>
      <c r="J313" s="193"/>
      <c r="K313" s="19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s="52"/>
      <c r="AAA313" s="192"/>
      <c r="AAD313" s="90"/>
      <c r="AAE313" s="520">
        <f t="shared" ref="AAE313:AAE319" si="257">IF(AND(S.AC.InvolveMeeting1="Y",S.AC.CommitteeInvolved="Y",S.AC.Presentation1="Y"),1,0)</f>
        <v>0</v>
      </c>
      <c r="AAF313" s="190" t="s">
        <v>52</v>
      </c>
      <c r="AAG313" s="39"/>
      <c r="AAH313" s="39"/>
      <c r="AAI313" s="60"/>
      <c r="AAJ313" s="55"/>
      <c r="AAK313" s="55"/>
      <c r="AAL313" s="90"/>
    </row>
    <row r="314" spans="1:714" s="23" customFormat="1" ht="15" hidden="1" customHeight="1" outlineLevel="3">
      <c r="A314" s="171"/>
      <c r="B314" s="663" t="str">
        <f>AAK314</f>
        <v>* drafts optional AC.PRESENTATION.01.16.00</v>
      </c>
      <c r="C314" s="790" t="str">
        <f>HYPERLINK("http://deq05/intranet/communication/docs/DEQAgencyTemplate1.potx","i")</f>
        <v>i</v>
      </c>
      <c r="D314" s="511"/>
      <c r="E314" s="342">
        <f>NETWORKDAYS(G314,H314,S.DDL_DEQClosed)</f>
        <v>1</v>
      </c>
      <c r="F314" s="457">
        <f ca="1">IF(YEAR(H314)&gt;2000,NETWORKDAYS(TODAY(),H314,S.DDL_DEQClosed),0)</f>
        <v>0</v>
      </c>
      <c r="G314" s="451">
        <f t="shared" ref="G314" si="258">AAG314</f>
        <v>2</v>
      </c>
      <c r="H314" s="343">
        <f>AAH314</f>
        <v>2</v>
      </c>
      <c r="I314" s="244"/>
      <c r="J314" s="193"/>
      <c r="K314" s="193"/>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s="52"/>
      <c r="AAA314" s="192"/>
      <c r="AAD314" s="90"/>
      <c r="AAE314" s="520">
        <f t="shared" si="257"/>
        <v>0</v>
      </c>
      <c r="AAF314" s="90" t="s">
        <v>0</v>
      </c>
      <c r="AAG314" s="73">
        <f>G311</f>
        <v>2</v>
      </c>
      <c r="AAH314" s="73">
        <f>G314</f>
        <v>2</v>
      </c>
      <c r="AAI314" s="60"/>
      <c r="AAJ314" s="55"/>
      <c r="AAK314" s="92" t="str">
        <f>"* drafts optional AC.PRESENTATION."&amp;TEXT($G$209,"mm.dd.yy")</f>
        <v>* drafts optional AC.PRESENTATION.01.16.00</v>
      </c>
      <c r="AAL314" s="90"/>
    </row>
    <row r="315" spans="1:714" s="23" customFormat="1" ht="15" hidden="1" customHeight="1" outlineLevel="3">
      <c r="A315" s="171"/>
      <c r="B315" s="662" t="s">
        <v>156</v>
      </c>
      <c r="C315" s="362" t="s">
        <v>0</v>
      </c>
      <c r="D315" s="454"/>
      <c r="E315" s="453"/>
      <c r="F315" s="453"/>
      <c r="G315" s="453"/>
      <c r="H315" s="453"/>
      <c r="I315" s="244"/>
      <c r="J315" s="193"/>
      <c r="K315" s="193"/>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s="52"/>
      <c r="AAA315" s="192"/>
      <c r="AAD315" s="90"/>
      <c r="AAE315" s="520">
        <f t="shared" si="257"/>
        <v>0</v>
      </c>
      <c r="AAF315" s="190" t="s">
        <v>52</v>
      </c>
      <c r="AAG315" s="39"/>
      <c r="AAH315" s="39"/>
      <c r="AAI315" s="60"/>
      <c r="AAJ315" s="55"/>
      <c r="AAK315" s="55"/>
      <c r="AAL315" s="90"/>
    </row>
    <row r="316" spans="1:714" s="23" customFormat="1" ht="15" hidden="1" customHeight="1" outlineLevel="3">
      <c r="A316" s="171"/>
      <c r="B316" s="664" t="s">
        <v>240</v>
      </c>
      <c r="C316" s="362" t="s">
        <v>0</v>
      </c>
      <c r="D316" s="380"/>
      <c r="E316" s="342">
        <f t="shared" ref="E316" si="259">NETWORKDAYS(G316,H316,S.DDL_DEQClosed)</f>
        <v>1</v>
      </c>
      <c r="F316" s="457">
        <f ca="1">IF(YEAR(H316)&gt;2000,NETWORKDAYS(TODAY(),H316,S.DDL_DEQClosed),0)</f>
        <v>0</v>
      </c>
      <c r="G316" s="451">
        <f t="shared" ref="G316:G320" si="260">AAG316</f>
        <v>2</v>
      </c>
      <c r="H316" s="343">
        <f t="shared" ref="H316:H319" si="261">AAH316</f>
        <v>2</v>
      </c>
      <c r="I316" s="244"/>
      <c r="J316" s="193"/>
      <c r="K316" s="193"/>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s="52"/>
      <c r="AAA316" s="192"/>
      <c r="AAD316" s="90"/>
      <c r="AAE316" s="520">
        <f t="shared" si="257"/>
        <v>0</v>
      </c>
      <c r="AAF316" s="90" t="s">
        <v>0</v>
      </c>
      <c r="AAG316" s="73">
        <f>G314</f>
        <v>2</v>
      </c>
      <c r="AAH316" s="73">
        <f t="shared" ref="AAH316" si="262">G316</f>
        <v>2</v>
      </c>
      <c r="AAI316" s="60"/>
      <c r="AAJ316" s="55"/>
      <c r="AAK316" s="55"/>
      <c r="AAL316" s="90"/>
    </row>
    <row r="317" spans="1:714" s="23" customFormat="1" ht="15" hidden="1" customHeight="1" outlineLevel="3">
      <c r="A317" s="171"/>
      <c r="B317" s="665" t="s">
        <v>319</v>
      </c>
      <c r="C317" s="362" t="s">
        <v>0</v>
      </c>
      <c r="D317" s="380"/>
      <c r="E317" s="342">
        <f>NETWORKDAYS(G317,H317,S.DDL_DEQClosed)</f>
        <v>1</v>
      </c>
      <c r="F317" s="457">
        <f ca="1">IF(YEAR(H317)&gt;2000,NETWORKDAYS(TODAY(),H317,S.DDL_DEQClosed),0)</f>
        <v>0</v>
      </c>
      <c r="G317" s="451">
        <f t="shared" si="260"/>
        <v>2</v>
      </c>
      <c r="H317" s="343">
        <f t="shared" si="261"/>
        <v>2</v>
      </c>
      <c r="I317" s="244"/>
      <c r="J317" s="193"/>
      <c r="K317" s="193"/>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s="52"/>
      <c r="AAA317" s="192"/>
      <c r="AAD317" s="90"/>
      <c r="AAE317" s="520">
        <f t="shared" si="257"/>
        <v>0</v>
      </c>
      <c r="AAF317" s="90" t="s">
        <v>0</v>
      </c>
      <c r="AAG317" s="73">
        <f>G316</f>
        <v>2</v>
      </c>
      <c r="AAH317" s="73">
        <f>G317</f>
        <v>2</v>
      </c>
      <c r="AAI317" s="60" t="s">
        <v>0</v>
      </c>
      <c r="AAJ317" s="55"/>
      <c r="AAK317" s="55"/>
      <c r="AAL317" s="90"/>
    </row>
    <row r="318" spans="1:714" s="23" customFormat="1" ht="15" hidden="1" customHeight="1" outlineLevel="3">
      <c r="A318" s="171"/>
      <c r="B318" s="666" t="str">
        <f>AAK318</f>
        <v>AndreaRW submits Web Request to post materials</v>
      </c>
      <c r="C318" s="792" t="str">
        <f>HYPERLINK("http://deq05/intranet/communication/WebRequests.htm","i")</f>
        <v>i</v>
      </c>
      <c r="D318" s="380"/>
      <c r="E318" s="342">
        <f>NETWORKDAYS(G318,H318,S.DDL_DEQClosed)</f>
        <v>1</v>
      </c>
      <c r="F318" s="457">
        <f t="shared" ref="F318:F323" ca="1" si="263">IF(YEAR(H318)&gt;2000,NETWORKDAYS(TODAY(),H318,S.DDL_DEQClosed),0)</f>
        <v>0</v>
      </c>
      <c r="G318" s="451">
        <f t="shared" si="260"/>
        <v>2</v>
      </c>
      <c r="H318" s="343">
        <f t="shared" si="261"/>
        <v>2</v>
      </c>
      <c r="I318" s="244"/>
      <c r="J318" s="193"/>
      <c r="K318" s="193"/>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s="52"/>
      <c r="AAA318" s="192"/>
      <c r="AAD318" s="90"/>
      <c r="AAE318" s="520">
        <f t="shared" si="257"/>
        <v>0</v>
      </c>
      <c r="AAF318" s="90" t="s">
        <v>0</v>
      </c>
      <c r="AAG318" s="73">
        <f t="shared" ref="AAG318:AAG320" si="264">G317</f>
        <v>2</v>
      </c>
      <c r="AAH318" s="73">
        <f>G318</f>
        <v>2</v>
      </c>
      <c r="AAI318" s="60"/>
      <c r="AAJ318" s="55"/>
      <c r="AAK318" s="92" t="str">
        <f>S.Staff.Lead&amp;" submits Web Request to post materials"</f>
        <v>AndreaRW submits Web Request to post materials</v>
      </c>
      <c r="AAL318" s="90"/>
    </row>
    <row r="319" spans="1:714" s="23" customFormat="1" ht="15" hidden="1" customHeight="1" outlineLevel="3">
      <c r="A319" s="171"/>
      <c r="B319" s="665" t="s">
        <v>159</v>
      </c>
      <c r="C319" s="425" t="s">
        <v>0</v>
      </c>
      <c r="D319" s="380"/>
      <c r="E319" s="342">
        <f>NETWORKDAYS(G319,H319,S.DDL_DEQClosed)</f>
        <v>1</v>
      </c>
      <c r="F319" s="457">
        <f t="shared" ca="1" si="263"/>
        <v>0</v>
      </c>
      <c r="G319" s="451">
        <f t="shared" si="260"/>
        <v>2</v>
      </c>
      <c r="H319" s="343">
        <f t="shared" si="261"/>
        <v>2</v>
      </c>
      <c r="I319" s="244"/>
      <c r="J319" s="193"/>
      <c r="K319" s="193"/>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s="52"/>
      <c r="AAA319" s="192"/>
      <c r="AAD319" s="90"/>
      <c r="AAE319" s="520">
        <f t="shared" si="257"/>
        <v>0</v>
      </c>
      <c r="AAF319" s="90"/>
      <c r="AAG319" s="73">
        <f t="shared" si="264"/>
        <v>2</v>
      </c>
      <c r="AAH319" s="73">
        <f>G319</f>
        <v>2</v>
      </c>
      <c r="AAI319" s="72"/>
      <c r="AAJ319" s="72"/>
      <c r="AAK319" s="55"/>
      <c r="AAL319" s="90"/>
    </row>
    <row r="320" spans="1:714" s="23" customFormat="1" ht="15" hidden="1" customHeight="1" outlineLevel="2">
      <c r="A320" s="171"/>
      <c r="B320" s="486" t="str">
        <f>AAK320</f>
        <v>AndreaRW sends meeting notice with link to Web page</v>
      </c>
      <c r="C320" s="425" t="s">
        <v>0</v>
      </c>
      <c r="D320" s="380"/>
      <c r="E320" s="342">
        <f>NETWORKDAYS(G320,H320,S.DDL_DEQClosed)</f>
        <v>1</v>
      </c>
      <c r="F320" s="457">
        <f t="shared" ca="1" si="263"/>
        <v>0</v>
      </c>
      <c r="G320" s="451">
        <f t="shared" si="260"/>
        <v>2</v>
      </c>
      <c r="H320" s="343">
        <f t="shared" ref="H320:H323" si="265">AAH320</f>
        <v>2</v>
      </c>
      <c r="I320" s="244"/>
      <c r="J320" s="193"/>
      <c r="K320" s="193"/>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s="52"/>
      <c r="AAA320" s="192"/>
      <c r="AAD320" s="90"/>
      <c r="AAE320" s="520">
        <f>IF(AND(S.AC.InvolveMeeting3="Y",S.AC.CommitteeInvolved="Y"),1,0)</f>
        <v>0</v>
      </c>
      <c r="AAF320" s="90"/>
      <c r="AAG320" s="73">
        <f t="shared" si="264"/>
        <v>2</v>
      </c>
      <c r="AAH320" s="73">
        <f>G320</f>
        <v>2</v>
      </c>
      <c r="AAI320" s="72"/>
      <c r="AAJ320" s="72"/>
      <c r="AAK320" s="92" t="str">
        <f>S.Staff.Lead&amp;" sends meeting notice with link to Web page"</f>
        <v>AndreaRW sends meeting notice with link to Web page</v>
      </c>
      <c r="AAL320" s="90"/>
    </row>
    <row r="321" spans="1:715" s="23" customFormat="1" ht="15" hidden="1" customHeight="1" outlineLevel="2">
      <c r="A321" s="171"/>
      <c r="B321" s="616" t="s">
        <v>157</v>
      </c>
      <c r="C321" s="425" t="s">
        <v>0</v>
      </c>
      <c r="D321" s="851" t="s">
        <v>321</v>
      </c>
      <c r="E321" s="851"/>
      <c r="F321" s="851"/>
      <c r="G321" s="852"/>
      <c r="H321" s="351">
        <f t="shared" si="265"/>
        <v>16</v>
      </c>
      <c r="I321" s="244"/>
      <c r="J321" s="193"/>
      <c r="K321" s="193"/>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s="52"/>
      <c r="AAA321" s="192"/>
      <c r="AAD321" s="90"/>
      <c r="AAE321" s="520">
        <f>IF(AND(S.AC.InvolveMeeting3="Y",S.AC.CommitteeInvolved="Y"),1,0)</f>
        <v>0</v>
      </c>
      <c r="AAF321" s="90"/>
      <c r="AAG321" s="72"/>
      <c r="AAH321" s="73">
        <f>S.AC.DateMeeting5</f>
        <v>16</v>
      </c>
      <c r="AAI321" s="72"/>
      <c r="AAJ321" s="72"/>
      <c r="AAK321" s="55"/>
      <c r="AAL321" s="90"/>
    </row>
    <row r="322" spans="1:715" s="23" customFormat="1" ht="15" hidden="1" customHeight="1" outlineLevel="2">
      <c r="A322" s="171"/>
      <c r="B322" s="486" t="str">
        <f>AAK322</f>
        <v>AndreaRW drafts AC.MINUTES01.16.00</v>
      </c>
      <c r="C322" s="790" t="str">
        <f>HYPERLINK("\\deq000\templates\General\Minutes Template.dotx","i")</f>
        <v>i</v>
      </c>
      <c r="D322" s="511"/>
      <c r="E322" s="342">
        <f t="shared" ref="E322:E323" si="266">NETWORKDAYS(G322,H322,S.DDL_DEQClosed)</f>
        <v>1</v>
      </c>
      <c r="F322" s="457">
        <f t="shared" ca="1" si="263"/>
        <v>0</v>
      </c>
      <c r="G322" s="451">
        <f>AAG322</f>
        <v>16</v>
      </c>
      <c r="H322" s="343">
        <f t="shared" si="265"/>
        <v>16</v>
      </c>
      <c r="I322" s="244"/>
      <c r="J322" s="193"/>
      <c r="K322" s="193"/>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s="52"/>
      <c r="AAA322" s="192"/>
      <c r="AAD322" s="90"/>
      <c r="AAE322" s="520">
        <f>IF(AND(S.AC.InvolveMeeting3="Y",S.AC.CommitteeInvolved="Y"),1,0)</f>
        <v>0</v>
      </c>
      <c r="AAF322" s="90"/>
      <c r="AAG322" s="73">
        <f>S.AC.DateMeeting5</f>
        <v>16</v>
      </c>
      <c r="AAH322" s="73">
        <f t="shared" ref="AAH322:AAH323" si="267">G322</f>
        <v>16</v>
      </c>
      <c r="AAI322" s="72"/>
      <c r="AAJ322" s="72"/>
      <c r="AAK322" s="80" t="str">
        <f>S.Staff.Lead&amp;" drafts AC.MINUTES"&amp;TEXT(S.AC.DateMeeting1,"mm.dd.yy")</f>
        <v>AndreaRW drafts AC.MINUTES01.16.00</v>
      </c>
      <c r="AAL322" s="90"/>
    </row>
    <row r="323" spans="1:715" s="23" customFormat="1" ht="15" hidden="1" customHeight="1" outlineLevel="2">
      <c r="A323" s="171"/>
      <c r="B323" s="616" t="s">
        <v>158</v>
      </c>
      <c r="C323" s="425" t="s">
        <v>0</v>
      </c>
      <c r="D323" s="380"/>
      <c r="E323" s="342">
        <f t="shared" si="266"/>
        <v>1</v>
      </c>
      <c r="F323" s="457">
        <f t="shared" ca="1" si="263"/>
        <v>0</v>
      </c>
      <c r="G323" s="451">
        <f>AAG323</f>
        <v>16</v>
      </c>
      <c r="H323" s="343">
        <f t="shared" si="265"/>
        <v>16</v>
      </c>
      <c r="I323" s="244"/>
      <c r="J323" s="193"/>
      <c r="K323" s="193"/>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s="52"/>
      <c r="AAA323" s="192"/>
      <c r="AAD323" s="90"/>
      <c r="AAE323" s="520">
        <f>IF(AND(S.AC.InvolveMeeting3="Y",S.AC.CommitteeInvolved="Y"),1,0)</f>
        <v>0</v>
      </c>
      <c r="AAF323" s="90"/>
      <c r="AAG323" s="73">
        <f>S.AC.DateMeeting5</f>
        <v>16</v>
      </c>
      <c r="AAH323" s="73">
        <f t="shared" si="267"/>
        <v>16</v>
      </c>
      <c r="AAI323" s="72"/>
      <c r="AAJ323" s="72"/>
      <c r="AAK323" s="55"/>
      <c r="AAL323" s="90"/>
    </row>
    <row r="324" spans="1:715" s="23" customFormat="1" ht="15" hidden="1" customHeight="1" outlineLevel="1" collapsed="1">
      <c r="A324" s="171"/>
      <c r="B324" s="288" t="str">
        <f>AAK324</f>
        <v>AndreaRW gathers all advisory committee emails for the Rule Record and saves as:</v>
      </c>
      <c r="C324" s="789" t="str">
        <f>HYPERLINK("\\deqhq1\Rule_Development\Currrent Plan","i")</f>
        <v>i</v>
      </c>
      <c r="D324" s="380"/>
      <c r="E324" s="342">
        <f t="shared" ref="E324" si="268">NETWORKDAYS(G324,H324,S.DDL_DEQClosed)</f>
        <v>0</v>
      </c>
      <c r="F324" s="457">
        <f t="shared" ref="F324" ca="1" si="269">IF(YEAR(H324)&gt;2000,NETWORKDAYS(TODAY(),H324,S.DDL_DEQClosed),0)</f>
        <v>0</v>
      </c>
      <c r="G324" s="424">
        <f t="shared" ref="G324" si="270">AAG324</f>
        <v>0</v>
      </c>
      <c r="H324" s="343">
        <f t="shared" ref="H324" si="271">AAH324</f>
        <v>0</v>
      </c>
      <c r="I324" s="244"/>
      <c r="J324" s="194"/>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s="52"/>
      <c r="AAA324" s="192"/>
      <c r="AAD324" s="90"/>
      <c r="AAE324" s="520">
        <f>IF(S.AC.CommitteeInvolved="Y",1,0)</f>
        <v>0</v>
      </c>
      <c r="AAF324" s="190" t="s">
        <v>52</v>
      </c>
      <c r="AAG324" s="73">
        <f>S.AC.BANNER.Begin</f>
        <v>0</v>
      </c>
      <c r="AAH324" s="73">
        <f>S.AC.BANNER.End</f>
        <v>0</v>
      </c>
      <c r="AAI324" s="71"/>
      <c r="AAJ324" s="79"/>
      <c r="AAK324" s="80" t="str">
        <f>S.Staff.Lead&amp;" gathers all advisory committee emails for the Rule Record and saves as:"</f>
        <v>AndreaRW gathers all advisory committee emails for the Rule Record and saves as:</v>
      </c>
      <c r="AAL324" s="90"/>
    </row>
    <row r="325" spans="1:715" s="23" customFormat="1" ht="15.75" hidden="1" customHeight="1" outlineLevel="1">
      <c r="A325" s="171"/>
      <c r="B325" s="372" t="s">
        <v>169</v>
      </c>
      <c r="C325" s="362"/>
      <c r="D325" s="362"/>
      <c r="E325" s="350"/>
      <c r="F325" s="350"/>
      <c r="G325" s="346"/>
      <c r="H325" s="346"/>
      <c r="I325" s="244"/>
      <c r="J325" s="194"/>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s="52"/>
      <c r="AAA325" s="192"/>
      <c r="AAD325" s="90"/>
      <c r="AAE325" s="520">
        <f>IF(S.AC.CommitteeInvolved="Y",1,0)</f>
        <v>0</v>
      </c>
      <c r="AAF325" s="190" t="s">
        <v>52</v>
      </c>
      <c r="AAG325" s="71"/>
      <c r="AAH325" s="71"/>
      <c r="AAI325" s="71"/>
      <c r="AAJ325" s="56"/>
      <c r="AAK325" s="71" t="s">
        <v>0</v>
      </c>
      <c r="AAL325" s="90"/>
    </row>
    <row r="326" spans="1:715" ht="6" customHeight="1" collapsed="1">
      <c r="A326" s="171"/>
      <c r="B326" s="131"/>
      <c r="C326" s="108"/>
      <c r="D326" s="107"/>
      <c r="E326" s="109"/>
      <c r="F326" s="109"/>
      <c r="G326" s="108"/>
      <c r="H326" s="108"/>
      <c r="I326" s="244"/>
      <c r="J326" s="193"/>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AAA326" s="192"/>
      <c r="AAD326" s="90"/>
      <c r="AAE326" s="519" t="s">
        <v>21</v>
      </c>
      <c r="AAF326" s="190" t="s">
        <v>52</v>
      </c>
      <c r="AAG326" s="60"/>
      <c r="AAH326" s="60"/>
      <c r="AAI326" s="72"/>
      <c r="AAJ326" s="72"/>
      <c r="AAK326" s="55"/>
      <c r="AAL326" s="90"/>
      <c r="AAM326"/>
    </row>
    <row r="327" spans="1:715" s="23" customFormat="1" ht="18" customHeight="1">
      <c r="A327" s="171"/>
      <c r="B327" s="848" t="str">
        <f>AAK327</f>
        <v>Fees - not involved</v>
      </c>
      <c r="C327" s="848"/>
      <c r="D327" s="848"/>
      <c r="E327" s="848"/>
      <c r="F327" s="848"/>
      <c r="G327" s="848"/>
      <c r="H327" s="848"/>
      <c r="I327" s="244"/>
      <c r="J327" s="195"/>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s="52"/>
      <c r="AAA327" s="192"/>
      <c r="AAB327"/>
      <c r="AAC327"/>
      <c r="AAD327" s="90"/>
      <c r="AAE327" s="519" t="s">
        <v>22</v>
      </c>
      <c r="AAF327" s="190" t="s">
        <v>52</v>
      </c>
      <c r="AAG327" s="90"/>
      <c r="AAH327" s="90"/>
      <c r="AAI327" s="72"/>
      <c r="AAJ327" s="81"/>
      <c r="AAK327" s="76" t="str">
        <f>AAK18</f>
        <v>Fees - not involved</v>
      </c>
      <c r="AAL327" s="90"/>
    </row>
    <row r="328" spans="1:715" s="23" customFormat="1" ht="14.25" hidden="1" customHeight="1" outlineLevel="1">
      <c r="A328" s="171"/>
      <c r="B328" s="141" t="s">
        <v>0</v>
      </c>
      <c r="C328" s="100" t="s">
        <v>0</v>
      </c>
      <c r="D328" s="237"/>
      <c r="E328" s="865" t="s">
        <v>225</v>
      </c>
      <c r="F328" s="865"/>
      <c r="G328" s="865" t="s">
        <v>12</v>
      </c>
      <c r="H328" s="865"/>
      <c r="I328" s="244"/>
      <c r="J328" s="195"/>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s="52"/>
      <c r="AAA328" s="192"/>
      <c r="AAD328" s="90"/>
      <c r="AAE328" s="519" t="s">
        <v>63</v>
      </c>
      <c r="AAF328" s="190" t="s">
        <v>52</v>
      </c>
      <c r="AAG328" s="90"/>
      <c r="AAH328" s="90"/>
      <c r="AAI328" s="72"/>
      <c r="AAJ328" s="81"/>
      <c r="AAK328" s="71"/>
      <c r="AAL328" s="90"/>
    </row>
    <row r="329" spans="1:715" s="552" customFormat="1" ht="24" hidden="1" customHeight="1" outlineLevel="1">
      <c r="A329" s="545"/>
      <c r="B329" s="686" t="str">
        <f>S.General.RulemakingTitle</f>
        <v>Incorporate Lane Regional Air Protection Agency Rules into State Implementation Plan</v>
      </c>
      <c r="C329" s="547" t="s">
        <v>0</v>
      </c>
      <c r="D329" s="547"/>
      <c r="E329" s="559" t="s">
        <v>228</v>
      </c>
      <c r="F329" s="560" t="s">
        <v>226</v>
      </c>
      <c r="G329" s="548" t="s">
        <v>61</v>
      </c>
      <c r="H329" s="548" t="s">
        <v>227</v>
      </c>
      <c r="I329" s="549"/>
      <c r="J329" s="550"/>
      <c r="K329" s="551"/>
      <c r="L329" s="551"/>
      <c r="M329" s="551"/>
      <c r="N329" s="551"/>
      <c r="O329" s="551"/>
      <c r="P329" s="551"/>
      <c r="Q329" s="551"/>
      <c r="R329" s="551"/>
      <c r="S329" s="551"/>
      <c r="T329" s="551"/>
      <c r="U329" s="551"/>
      <c r="V329" s="551"/>
      <c r="W329" s="551"/>
      <c r="X329" s="551"/>
      <c r="Y329" s="551"/>
      <c r="Z329" s="551"/>
      <c r="AA329" s="551"/>
      <c r="AB329" s="551"/>
      <c r="AC329" s="551"/>
      <c r="AD329" s="551"/>
      <c r="AE329" s="551"/>
      <c r="AF329" s="551"/>
      <c r="AG329" s="551"/>
      <c r="AH329" s="551"/>
      <c r="AI329" s="551"/>
      <c r="AJ329" s="551"/>
      <c r="AK329" s="551"/>
      <c r="AL329" s="551"/>
      <c r="AM329" s="551"/>
      <c r="AN329" s="551"/>
      <c r="AO329" s="551"/>
      <c r="AP329" s="551"/>
      <c r="AQ329" s="551"/>
      <c r="AR329" s="551"/>
      <c r="AS329" s="551"/>
      <c r="AT329" s="551"/>
      <c r="AU329" s="551"/>
      <c r="AV329" s="551"/>
      <c r="AW329" s="551"/>
      <c r="AX329" s="551"/>
      <c r="AY329" s="551"/>
      <c r="AZ329" s="551"/>
      <c r="BA329" s="551"/>
      <c r="BB329" s="551"/>
      <c r="BC329" s="551"/>
      <c r="BD329" s="551"/>
      <c r="BE329" s="551"/>
      <c r="BF329" s="551"/>
      <c r="BG329" s="551"/>
      <c r="BH329" s="551"/>
      <c r="BI329" s="551"/>
      <c r="BJ329" s="551"/>
      <c r="BK329" s="551"/>
      <c r="BL329" s="551"/>
      <c r="BM329" s="551"/>
      <c r="BN329" s="551"/>
      <c r="BO329" s="551"/>
      <c r="BP329" s="551"/>
      <c r="BQ329" s="551"/>
      <c r="BR329" s="551"/>
      <c r="BS329" s="551"/>
      <c r="BT329" s="551"/>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s="52"/>
      <c r="AAA329" s="770"/>
      <c r="AAD329" s="553"/>
      <c r="AAE329" s="554" t="s">
        <v>63</v>
      </c>
      <c r="AAF329" s="555" t="s">
        <v>52</v>
      </c>
      <c r="AAG329" s="553"/>
      <c r="AAH329" s="553"/>
      <c r="AAI329" s="556"/>
      <c r="AAJ329" s="557"/>
      <c r="AAK329" s="558"/>
      <c r="AAL329" s="553"/>
    </row>
    <row r="330" spans="1:715" ht="18" hidden="1" customHeight="1" outlineLevel="1">
      <c r="A330" s="171"/>
      <c r="B330" s="561" t="s">
        <v>12</v>
      </c>
      <c r="C330" s="133"/>
      <c r="D330" s="132"/>
      <c r="E330" s="134"/>
      <c r="F330" s="160">
        <f>NETWORKDAYS(S.Fee.BANNER.Begin,S.Fee.BANNER.End,S.DDL_DEQClosed)</f>
        <v>0</v>
      </c>
      <c r="G330" s="247">
        <f>AAG330</f>
        <v>0</v>
      </c>
      <c r="H330" s="258">
        <f>AAH330</f>
        <v>0</v>
      </c>
      <c r="I330" s="244"/>
      <c r="J330" s="216"/>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AAA330" s="192"/>
      <c r="AAD330" s="90"/>
      <c r="AAE330" s="519" t="s">
        <v>63</v>
      </c>
      <c r="AAF330" s="190" t="s">
        <v>52</v>
      </c>
      <c r="AAG330" s="73">
        <f>G18</f>
        <v>0</v>
      </c>
      <c r="AAH330" s="73">
        <f>IF(S.Fee.Involved="N",,S.Notice.SubmitToSOS)</f>
        <v>0</v>
      </c>
      <c r="AAI330" s="72"/>
      <c r="AAJ330" s="72"/>
      <c r="AAK330" s="79"/>
      <c r="AAL330" s="90"/>
      <c r="AAM330"/>
    </row>
    <row r="331" spans="1:715" ht="6" hidden="1" customHeight="1" outlineLevel="1">
      <c r="A331" s="171"/>
      <c r="B331" s="120"/>
      <c r="C331" s="112"/>
      <c r="D331" s="230"/>
      <c r="E331" s="113"/>
      <c r="F331" s="113"/>
      <c r="G331" s="112"/>
      <c r="H331" s="112"/>
      <c r="I331" s="244"/>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AAA331" s="192"/>
      <c r="AAD331" s="90"/>
      <c r="AAE331" s="520" t="s">
        <v>17</v>
      </c>
      <c r="AAF331" s="190" t="s">
        <v>52</v>
      </c>
      <c r="AAG331" s="60"/>
      <c r="AAH331" s="60"/>
      <c r="AAI331" s="72"/>
      <c r="AAJ331" s="72"/>
      <c r="AAK331" s="75"/>
      <c r="AAL331" s="90"/>
      <c r="AAM331"/>
    </row>
    <row r="332" spans="1:715" s="23" customFormat="1" ht="12.75" hidden="1" customHeight="1" outlineLevel="1">
      <c r="A332" s="171"/>
      <c r="B332" s="798" t="s">
        <v>506</v>
      </c>
      <c r="C332" s="797" t="str">
        <f>HYPERLINK("","i")</f>
        <v>i</v>
      </c>
      <c r="D332" s="231"/>
      <c r="E332" s="97"/>
      <c r="F332" s="97"/>
      <c r="G332" s="96"/>
      <c r="H332" s="96"/>
      <c r="I332" s="244"/>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ZZ332" s="52"/>
      <c r="AAA332" s="192"/>
      <c r="AAD332" s="90"/>
      <c r="AAE332" s="520" t="s">
        <v>21</v>
      </c>
      <c r="AAF332" s="190" t="s">
        <v>52</v>
      </c>
      <c r="AAG332" s="60"/>
      <c r="AAH332" s="60"/>
      <c r="AAI332" s="82"/>
      <c r="AAJ332" s="82"/>
      <c r="AAK332" s="40"/>
      <c r="AAL332" s="90"/>
    </row>
    <row r="333" spans="1:715" s="23" customFormat="1" ht="15.75" hidden="1" customHeight="1" outlineLevel="1">
      <c r="A333" s="171"/>
      <c r="B333" s="486" t="str">
        <f>AAK333</f>
        <v>AndreaRW:</v>
      </c>
      <c r="C333" s="272"/>
      <c r="D333" s="265"/>
      <c r="E333" s="266"/>
      <c r="F333" s="267"/>
      <c r="G333" s="268"/>
      <c r="H333" s="269"/>
      <c r="I333" s="244"/>
      <c r="J333" s="193"/>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s="52"/>
      <c r="AAA333" s="192"/>
      <c r="AAD333" s="90"/>
      <c r="AAE333" s="519">
        <f t="shared" ref="AAE333" si="272">IF(S.Planning.DecisionToAddToPlan="A",1,0)</f>
        <v>1</v>
      </c>
      <c r="AAF333" s="190" t="s">
        <v>52</v>
      </c>
      <c r="AAG333" s="71"/>
      <c r="AAH333" s="71"/>
      <c r="AAI333" s="72"/>
      <c r="AAJ333" s="55"/>
      <c r="AAK333" s="92" t="str">
        <f>S.Staff.Lead&amp;":"</f>
        <v>AndreaRW:</v>
      </c>
      <c r="AAL333" s="90"/>
    </row>
    <row r="334" spans="1:715" s="23" customFormat="1" ht="15" hidden="1" outlineLevel="1">
      <c r="A334" s="171"/>
      <c r="B334" s="363" t="str">
        <f t="shared" ref="B334" si="273">AAK334</f>
        <v xml:space="preserve">* devlopes Fee Approval Packet resources: Robin and team </v>
      </c>
      <c r="C334" s="787" t="str">
        <f>HYPERLINK("\\deqhq1\Rule_Resources\i\3-FeeApproval.pdf","i")</f>
        <v>i</v>
      </c>
      <c r="D334" s="380"/>
      <c r="E334" s="349">
        <f>NETWORKDAYS(G334,H334,S.DDL_DEQClosed)</f>
        <v>0</v>
      </c>
      <c r="F334" s="457">
        <f t="shared" ref="F334" ca="1" si="274">IF(YEAR(H334)&gt;2000,NETWORKDAYS(TODAY(),H334,S.DDL_DEQClosed),0)</f>
        <v>0</v>
      </c>
      <c r="G334" s="343">
        <f t="shared" ref="G334" si="275">AAG334</f>
        <v>0</v>
      </c>
      <c r="H334" s="343">
        <f t="shared" ref="H334" si="276">AAH334</f>
        <v>0</v>
      </c>
      <c r="I334" s="245"/>
      <c r="J334" s="222"/>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s="52"/>
      <c r="AAA334" s="192"/>
      <c r="AAD334" s="90"/>
      <c r="AAE334" s="519">
        <f t="shared" ref="AAE334:AAE339" si="277">IF(S.Fee.Involved="N",0,1)</f>
        <v>0</v>
      </c>
      <c r="AAF334" s="90" t="s">
        <v>0</v>
      </c>
      <c r="AAG334" s="73">
        <f t="shared" ref="AAG334:AAG340" si="278">S.Fee.BANNER.Begin</f>
        <v>0</v>
      </c>
      <c r="AAH334" s="73">
        <f>G334</f>
        <v>0</v>
      </c>
      <c r="AAI334" s="72"/>
      <c r="AAJ334" s="72"/>
      <c r="AAK334" s="92" t="str">
        <f>"* devlopes Fee Approval Packet resources: "&amp;S.Staff.Fiscal&amp;" and team "</f>
        <v xml:space="preserve">* devlopes Fee Approval Packet resources: Robin and team </v>
      </c>
      <c r="AAL334" s="90"/>
    </row>
    <row r="335" spans="1:715" s="23" customFormat="1" ht="15.75" hidden="1" customHeight="1" outlineLevel="1">
      <c r="A335" s="171"/>
      <c r="B335" s="633" t="s">
        <v>248</v>
      </c>
      <c r="C335" s="272"/>
      <c r="D335" s="265"/>
      <c r="E335" s="266"/>
      <c r="F335" s="267"/>
      <c r="G335" s="268"/>
      <c r="H335" s="269"/>
      <c r="I335" s="244"/>
      <c r="J335" s="193"/>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s="52"/>
      <c r="AAA335" s="192"/>
      <c r="AAD335" s="90"/>
      <c r="AAE335" s="519">
        <f t="shared" si="277"/>
        <v>0</v>
      </c>
      <c r="AAF335" s="190" t="s">
        <v>52</v>
      </c>
      <c r="AAG335" s="71"/>
      <c r="AAH335" s="71"/>
      <c r="AAI335" s="72"/>
      <c r="AAJ335" s="55"/>
      <c r="AAK335" s="79"/>
      <c r="AAL335" s="90"/>
    </row>
    <row r="336" spans="1:715" s="23" customFormat="1" ht="15.75" hidden="1" customHeight="1" outlineLevel="1">
      <c r="A336" s="171"/>
      <c r="B336" s="634" t="str">
        <f t="shared" ref="B336:B340" si="279">AAK336</f>
        <v xml:space="preserve"> blank row</v>
      </c>
      <c r="C336" s="358" t="s">
        <v>0</v>
      </c>
      <c r="D336" s="380"/>
      <c r="E336" s="349">
        <f t="shared" ref="E336" si="280">NETWORKDAYS(G336,H336,S.DDL_DEQClosed)</f>
        <v>0</v>
      </c>
      <c r="F336" s="457">
        <f t="shared" ref="F336:F344" ca="1" si="281">IF(YEAR(H336)&gt;2000,NETWORKDAYS(TODAY(),H336,S.DDL_DEQClosed),0)</f>
        <v>0</v>
      </c>
      <c r="G336" s="343">
        <f t="shared" ref="G336:H339" si="282">AAG336</f>
        <v>0</v>
      </c>
      <c r="H336" s="343">
        <f t="shared" si="282"/>
        <v>0</v>
      </c>
      <c r="I336" s="245"/>
      <c r="J336" s="194"/>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s="52"/>
      <c r="AAA336" s="192"/>
      <c r="AAB336"/>
      <c r="AAC336"/>
      <c r="AAD336" s="90"/>
      <c r="AAE336" s="519">
        <f t="shared" si="277"/>
        <v>0</v>
      </c>
      <c r="AAF336" s="72"/>
      <c r="AAG336" s="73">
        <f t="shared" si="278"/>
        <v>0</v>
      </c>
      <c r="AAH336" s="73">
        <f t="shared" ref="AAH336:AAH341" si="283">S.Fee.BANNER.End</f>
        <v>0</v>
      </c>
      <c r="AAI336" s="72"/>
      <c r="AAJ336" s="72"/>
      <c r="AAK336" s="80" t="str">
        <f>IF(S.Fee.DASApprovalRequired="Y","a. FEE.ANALYSIS (blank in folder 3)",IF(S.Fee.Involved="Y","a. FEE.ANALYSIS (blank in folder 3)"," blank row"))</f>
        <v xml:space="preserve"> blank row</v>
      </c>
      <c r="AAL336" s="90"/>
    </row>
    <row r="337" spans="1:715" s="23" customFormat="1" ht="15.75" hidden="1" customHeight="1" outlineLevel="1">
      <c r="A337" s="171"/>
      <c r="B337" s="634" t="str">
        <f t="shared" si="279"/>
        <v xml:space="preserve">  blank row</v>
      </c>
      <c r="C337" s="358" t="s">
        <v>0</v>
      </c>
      <c r="D337" s="380"/>
      <c r="E337" s="349">
        <f t="shared" ref="E337:E338" si="284">NETWORKDAYS(G337,H337,S.DDL_DEQClosed)</f>
        <v>0</v>
      </c>
      <c r="F337" s="457">
        <f t="shared" ca="1" si="281"/>
        <v>0</v>
      </c>
      <c r="G337" s="343">
        <f t="shared" si="282"/>
        <v>0</v>
      </c>
      <c r="H337" s="343">
        <f t="shared" si="282"/>
        <v>0</v>
      </c>
      <c r="I337" s="245"/>
      <c r="J337" s="194"/>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s="52"/>
      <c r="AAA337" s="192"/>
      <c r="AAD337" s="90"/>
      <c r="AAE337" s="519">
        <f t="shared" si="277"/>
        <v>0</v>
      </c>
      <c r="AAF337" s="72"/>
      <c r="AAG337" s="73">
        <f t="shared" si="278"/>
        <v>0</v>
      </c>
      <c r="AAH337" s="73">
        <f t="shared" si="283"/>
        <v>0</v>
      </c>
      <c r="AAI337" s="72"/>
      <c r="AAJ337" s="72"/>
      <c r="AAK337" s="80" t="str">
        <f>IF(S.Fee.DASApprovalRequired="Y","b. FEE.SUPPORT.DOCS",IF(S.Fee.Involved="Y","b. FEE.SUPPORT.DOCS","  blank row"))</f>
        <v xml:space="preserve">  blank row</v>
      </c>
      <c r="AAL337" s="90"/>
    </row>
    <row r="338" spans="1:715" s="23" customFormat="1" ht="15.75" hidden="1" customHeight="1" outlineLevel="1">
      <c r="A338" s="171"/>
      <c r="B338" s="634" t="str">
        <f t="shared" si="279"/>
        <v xml:space="preserve"> blank line</v>
      </c>
      <c r="C338" s="787" t="str">
        <f>HYPERLINK("http://www.oregon.gov/DAS/CFO/budgetkickoffmeetings/march2012/107bf21_feeapproval.doc","i")</f>
        <v>i</v>
      </c>
      <c r="D338" s="380"/>
      <c r="E338" s="349">
        <f t="shared" si="284"/>
        <v>0</v>
      </c>
      <c r="F338" s="457">
        <f t="shared" ca="1" si="281"/>
        <v>0</v>
      </c>
      <c r="G338" s="343">
        <f t="shared" si="282"/>
        <v>0</v>
      </c>
      <c r="H338" s="343">
        <f t="shared" si="282"/>
        <v>0</v>
      </c>
      <c r="I338" s="245"/>
      <c r="J338" s="194"/>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s="52"/>
      <c r="AAA338" s="192"/>
      <c r="AAD338" s="90"/>
      <c r="AAE338" s="519">
        <f t="shared" si="277"/>
        <v>0</v>
      </c>
      <c r="AAF338" s="72"/>
      <c r="AAG338" s="73">
        <f t="shared" si="278"/>
        <v>0</v>
      </c>
      <c r="AAH338" s="73">
        <f t="shared" si="283"/>
        <v>0</v>
      </c>
      <c r="AAI338" s="72"/>
      <c r="AAJ338" s="72"/>
      <c r="AAK338" s="80" t="str">
        <f>IF(S.Fee.DASApprovalRequired="Y","c. FEE.APPROVAL",IF(S.Fee.Involved="Y","      After completing task at bottom of Fee Approval section, "," blank line"))</f>
        <v xml:space="preserve"> blank line</v>
      </c>
      <c r="AAL338" s="90"/>
    </row>
    <row r="339" spans="1:715" s="23" customFormat="1" ht="15.75" hidden="1" customHeight="1" outlineLevel="1">
      <c r="A339" s="171"/>
      <c r="B339" s="634" t="str">
        <f t="shared" si="279"/>
        <v xml:space="preserve"> blank row</v>
      </c>
      <c r="C339" s="787" t="str">
        <f>HYPERLINK("http://www.oregon.gov/DAS/CFO/budgetkickoffmeetings/march2012/107bf22feechangedetail.xls","i")</f>
        <v>i</v>
      </c>
      <c r="D339" s="380"/>
      <c r="E339" s="349">
        <f t="shared" ref="E339" si="285">NETWORKDAYS(G339,H339,S.DDL_DEQClosed)</f>
        <v>0</v>
      </c>
      <c r="F339" s="457">
        <f t="shared" ca="1" si="281"/>
        <v>0</v>
      </c>
      <c r="G339" s="343">
        <f t="shared" si="282"/>
        <v>0</v>
      </c>
      <c r="H339" s="343">
        <f t="shared" si="282"/>
        <v>0</v>
      </c>
      <c r="I339" s="245"/>
      <c r="J339" s="194"/>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s="52"/>
      <c r="AAA339" s="192"/>
      <c r="AAD339" s="90"/>
      <c r="AAE339" s="519">
        <f t="shared" si="277"/>
        <v>0</v>
      </c>
      <c r="AAF339" s="72"/>
      <c r="AAG339" s="73">
        <f t="shared" si="278"/>
        <v>0</v>
      </c>
      <c r="AAH339" s="73">
        <f t="shared" si="283"/>
        <v>0</v>
      </c>
      <c r="AAI339" s="72"/>
      <c r="AAJ339" s="72"/>
      <c r="AAK339" s="80" t="str">
        <f>IF(S.Fee.DASApprovalRequired="Y","d. FEE.DETAIL",IF(S.Fee.Involved="Y","            the next DAS fee notification task is under 4-Notice"," blank row"))</f>
        <v xml:space="preserve"> blank row</v>
      </c>
      <c r="AAL339" s="90"/>
    </row>
    <row r="340" spans="1:715" ht="15.75" hidden="1" customHeight="1" outlineLevel="1">
      <c r="A340" s="171"/>
      <c r="B340" s="363" t="str">
        <f t="shared" si="279"/>
        <v>* initiates MargaretMGR's Fee Approval Packet review and approval, addresses suggestions</v>
      </c>
      <c r="C340" s="359" t="s">
        <v>0</v>
      </c>
      <c r="D340" s="380"/>
      <c r="E340" s="349">
        <f t="shared" ref="E340" si="286">NETWORKDAYS(G340,H340,S.DDL_DEQClosed)</f>
        <v>0</v>
      </c>
      <c r="F340" s="457">
        <f t="shared" ca="1" si="281"/>
        <v>0</v>
      </c>
      <c r="G340" s="343">
        <f>AAG340</f>
        <v>0</v>
      </c>
      <c r="H340" s="343">
        <f t="shared" ref="H340:H344" si="287">AAH340</f>
        <v>0</v>
      </c>
      <c r="I340" s="244"/>
      <c r="J340" s="194"/>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AAA340" s="192"/>
      <c r="AAD340" s="90"/>
      <c r="AAE340" s="519">
        <f>IF(AND(S.Fee.Involved="Y",S.Fee.DASApprovalRequired="Y"),1,0)</f>
        <v>0</v>
      </c>
      <c r="AAF340" s="90"/>
      <c r="AAG340" s="73">
        <f t="shared" si="278"/>
        <v>0</v>
      </c>
      <c r="AAH340" s="73">
        <f t="shared" si="283"/>
        <v>0</v>
      </c>
      <c r="AAI340" s="72"/>
      <c r="AAJ340" s="72"/>
      <c r="AAK340" s="254" t="str">
        <f>"* initiates "&amp;S.Staff.Mgr&amp;"'s Fee Approval Packet review and approval, addresses suggestions"</f>
        <v>* initiates MargaretMGR's Fee Approval Packet review and approval, addresses suggestions</v>
      </c>
      <c r="AAL340" s="90"/>
      <c r="AAM340"/>
    </row>
    <row r="341" spans="1:715" ht="15.75" hidden="1" customHeight="1" outlineLevel="1" thickBot="1">
      <c r="A341" s="171"/>
      <c r="B341" s="483" t="str">
        <f>AAK341</f>
        <v>1st loop of MargaretMGR's Fee Approval Packet review and approval</v>
      </c>
      <c r="D341" s="380"/>
      <c r="E341" s="349">
        <f>NETWORKDAYS(G341,H341,S.DDL_DEQClosed)</f>
        <v>0</v>
      </c>
      <c r="F341" s="457">
        <f t="shared" ca="1" si="281"/>
        <v>0</v>
      </c>
      <c r="G341" s="343">
        <f t="shared" ref="G341:G344" si="288">AAG341</f>
        <v>0</v>
      </c>
      <c r="H341" s="343">
        <f t="shared" si="287"/>
        <v>0</v>
      </c>
      <c r="I341" s="244"/>
      <c r="J341" s="194"/>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AAA341" s="192"/>
      <c r="AAD341" s="90"/>
      <c r="AAE341" s="519">
        <f>IF(AND(S.Fee.Involved="Y",S.Fee.DASApprovalRequired="Y"),1,0)</f>
        <v>0</v>
      </c>
      <c r="AAF341" s="90"/>
      <c r="AAG341" s="73">
        <f>H340</f>
        <v>0</v>
      </c>
      <c r="AAH341" s="73">
        <f t="shared" si="283"/>
        <v>0</v>
      </c>
      <c r="AAI341" s="72"/>
      <c r="AAJ341" s="72"/>
      <c r="AAK341" s="254" t="str">
        <f>"1st loop of "&amp;S.Staff.Mgr&amp;"'s Fee Approval Packet review and approval"</f>
        <v>1st loop of MargaretMGR's Fee Approval Packet review and approval</v>
      </c>
      <c r="AAL341" s="90"/>
      <c r="AAM341"/>
    </row>
    <row r="342" spans="1:715" ht="15.75" hidden="1" customHeight="1" outlineLevel="1" thickBot="1">
      <c r="A342" s="171"/>
      <c r="B342" s="516" t="str">
        <f>AAK342</f>
        <v>2nd loop of MargaretMGR's Fee Approval Packet review and approval</v>
      </c>
      <c r="C342" s="611" t="s">
        <v>303</v>
      </c>
      <c r="D342" s="380"/>
      <c r="E342" s="349">
        <f>NETWORKDAYS(G342,H342,S.DDL_DEQClosed)</f>
        <v>0</v>
      </c>
      <c r="F342" s="457">
        <f t="shared" ca="1" si="281"/>
        <v>0</v>
      </c>
      <c r="G342" s="343">
        <f t="shared" si="288"/>
        <v>0</v>
      </c>
      <c r="H342" s="343">
        <f t="shared" si="287"/>
        <v>0</v>
      </c>
      <c r="I342" s="244" t="s">
        <v>0</v>
      </c>
      <c r="J342" s="194"/>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AAA342" s="192"/>
      <c r="AAD342" s="90"/>
      <c r="AAE342" s="519">
        <f>IF(AND(S.Fee.ApprovePacketLoop2="Y",S.Fee.Involved="Y",S.Fee.DASApprovalRequired="Y"),1,0)</f>
        <v>0</v>
      </c>
      <c r="AAF342" s="90"/>
      <c r="AAG342" s="73">
        <f>IF(S.Fee.ApprovePacketLoop2="N",,H341)</f>
        <v>0</v>
      </c>
      <c r="AAH342" s="73">
        <f>IF(S.Fee.ApprovePacketLoop2="N",,S.Notice.SubmitToSOS)</f>
        <v>0</v>
      </c>
      <c r="AAI342" s="72" t="s">
        <v>0</v>
      </c>
      <c r="AAJ342" s="72"/>
      <c r="AAK342" s="254" t="str">
        <f>"2nd loop of "&amp;S.Staff.Mgr&amp;"'s Fee Approval Packet review and approval"</f>
        <v>2nd loop of MargaretMGR's Fee Approval Packet review and approval</v>
      </c>
      <c r="AAL342" s="90"/>
      <c r="AAM342"/>
    </row>
    <row r="343" spans="1:715" ht="15.75" hidden="1" customHeight="1" outlineLevel="1" thickBot="1">
      <c r="A343" s="171"/>
      <c r="B343" s="480" t="str">
        <f>AAK343</f>
        <v>3rd loop of MargaretMGR's Fee Approval Packet review and approval</v>
      </c>
      <c r="C343" s="377" t="s">
        <v>303</v>
      </c>
      <c r="D343" s="380"/>
      <c r="E343" s="349">
        <f>NETWORKDAYS(G343,H343,S.DDL_DEQClosed)</f>
        <v>0</v>
      </c>
      <c r="F343" s="457">
        <f t="shared" ca="1" si="281"/>
        <v>0</v>
      </c>
      <c r="G343" s="343">
        <f t="shared" si="288"/>
        <v>0</v>
      </c>
      <c r="H343" s="343">
        <f t="shared" si="287"/>
        <v>0</v>
      </c>
      <c r="I343" s="244"/>
      <c r="J343" s="194"/>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AAA343" s="192"/>
      <c r="AAD343" s="90"/>
      <c r="AAE343" s="519">
        <f>IF(AND(S.Fee.ApprovePacketLoop3="Y",S.Fee.Involved="Y",S.Fee.DASApprovalRequired="Y"),1,0)</f>
        <v>0</v>
      </c>
      <c r="AAF343" s="90"/>
      <c r="AAG343" s="73">
        <f>IF(S.Fee.ApprovePacketLoop3="N",,H342)</f>
        <v>0</v>
      </c>
      <c r="AAH343" s="73">
        <f>IF(S.Fee.ApprovePacketLoop3="N",,S.Notice.SubmitToSOS)</f>
        <v>0</v>
      </c>
      <c r="AAI343" s="72" t="s">
        <v>0</v>
      </c>
      <c r="AAJ343" s="72"/>
      <c r="AAK343" s="254" t="str">
        <f>"3rd loop of "&amp;S.Staff.Mgr&amp;"'s Fee Approval Packet review and approval"</f>
        <v>3rd loop of MargaretMGR's Fee Approval Packet review and approval</v>
      </c>
      <c r="AAL343" s="90"/>
      <c r="AAM343"/>
    </row>
    <row r="344" spans="1:715" ht="15.75" hidden="1" customHeight="1" outlineLevel="1" thickBot="1">
      <c r="A344" s="171"/>
      <c r="B344" s="654" t="str">
        <f>AAK344</f>
        <v>4th loop of MargaretMGR's Fee Approval Packet review and approval</v>
      </c>
      <c r="C344" s="377" t="s">
        <v>303</v>
      </c>
      <c r="D344" s="380"/>
      <c r="E344" s="349">
        <f>NETWORKDAYS(G344,H344,S.DDL_DEQClosed)</f>
        <v>0</v>
      </c>
      <c r="F344" s="457">
        <f t="shared" ca="1" si="281"/>
        <v>0</v>
      </c>
      <c r="G344" s="343">
        <f t="shared" si="288"/>
        <v>0</v>
      </c>
      <c r="H344" s="343">
        <f t="shared" si="287"/>
        <v>0</v>
      </c>
      <c r="I344" s="244"/>
      <c r="J344" s="194"/>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AAA344" s="192"/>
      <c r="AAD344" s="90"/>
      <c r="AAE344" s="519">
        <f>IF(AND(S.Fee.ApprovePacketLoop4="Y",S.Fee.Involved="Y",S.Fee.DASApprovalRequired="Y"),1,0)</f>
        <v>0</v>
      </c>
      <c r="AAF344" s="90"/>
      <c r="AAG344" s="73">
        <f>IF(S.Fee.ApprovePacketLoop4="N",,H343)</f>
        <v>0</v>
      </c>
      <c r="AAH344" s="73">
        <f>IF(S.Fee.ApprovePacketLoop4="N",,S.Notice.SubmitToSOS)</f>
        <v>0</v>
      </c>
      <c r="AAI344" s="72"/>
      <c r="AAJ344" s="72"/>
      <c r="AAK344" s="254" t="str">
        <f>"4th loop of "&amp;S.Staff.Mgr&amp;"'s Fee Approval Packet review and approval"</f>
        <v>4th loop of MargaretMGR's Fee Approval Packet review and approval</v>
      </c>
      <c r="AAL344" s="90"/>
      <c r="AAM344"/>
    </row>
    <row r="345" spans="1:715" s="23" customFormat="1" ht="15" hidden="1" customHeight="1" outlineLevel="1">
      <c r="A345" s="171"/>
      <c r="B345" s="396" t="s">
        <v>424</v>
      </c>
      <c r="C345" s="790" t="str">
        <f>HYPERLINK("mailto:RulePubications@deq.state.or.us","i")</f>
        <v>i</v>
      </c>
      <c r="D345" s="380"/>
      <c r="E345" s="891" t="s">
        <v>415</v>
      </c>
      <c r="F345" s="892"/>
      <c r="G345" s="893"/>
      <c r="H345" s="343">
        <f>AAH345</f>
        <v>41614</v>
      </c>
      <c r="I345" s="244"/>
      <c r="J345" s="198"/>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s="52"/>
      <c r="AAA345" s="192"/>
      <c r="AAD345" s="90"/>
      <c r="AAE345" s="519">
        <f t="shared" ref="AAE345:AAE346" si="289">IF(S.Notice.Involved="Y",1,0)</f>
        <v>1</v>
      </c>
      <c r="AAF345" s="90"/>
      <c r="AAG345" s="71"/>
      <c r="AAH345" s="73">
        <f>WORKDAY(MIN(S.Notice.SubmitToSOS,S.Notice.OpenComment),-5,S.DDL_DEQClosed)</f>
        <v>41614</v>
      </c>
      <c r="AAI345" s="72"/>
      <c r="AAJ345" s="72"/>
      <c r="AAK345" s="87"/>
      <c r="AAL345" s="90"/>
    </row>
    <row r="346" spans="1:715" s="23" customFormat="1" ht="15" hidden="1" customHeight="1" outlineLevel="1">
      <c r="A346" s="171" t="s">
        <v>0</v>
      </c>
      <c r="B346" s="670" t="s">
        <v>498</v>
      </c>
      <c r="C346" s="374"/>
      <c r="D346" s="380"/>
      <c r="E346" s="394"/>
      <c r="F346" s="394"/>
      <c r="G346" s="395"/>
      <c r="H346" s="395"/>
      <c r="I346" s="244"/>
      <c r="J346" s="198"/>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s="52"/>
      <c r="AAA346" s="192"/>
      <c r="AAD346" s="90"/>
      <c r="AAE346" s="519">
        <f t="shared" si="289"/>
        <v>1</v>
      </c>
      <c r="AAF346" s="190" t="s">
        <v>52</v>
      </c>
      <c r="AAG346" s="71"/>
      <c r="AAH346" s="71"/>
      <c r="AAI346" s="72"/>
      <c r="AAJ346" s="72"/>
      <c r="AAK346" s="87"/>
      <c r="AAL346" s="90"/>
    </row>
    <row r="347" spans="1:715" ht="15.75" hidden="1" customHeight="1" outlineLevel="1">
      <c r="A347" s="171"/>
      <c r="B347" s="361" t="str">
        <f>AAK347</f>
        <v>AndreaDRC coordinates:</v>
      </c>
      <c r="C347" s="362"/>
      <c r="D347" s="362"/>
      <c r="E347" s="350"/>
      <c r="F347" s="350"/>
      <c r="G347" s="346"/>
      <c r="H347" s="346"/>
      <c r="I347" s="244"/>
      <c r="J347" s="194"/>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AAA347" s="192"/>
      <c r="AAD347" s="90"/>
      <c r="AAE347" s="519">
        <f t="shared" ref="AAE347:AAE354" si="290">IF(AND(S.Fee.Involved="Y",S.Fee.DASApprovalRequired="Y"),1,0)</f>
        <v>0</v>
      </c>
      <c r="AAF347" s="190" t="s">
        <v>52</v>
      </c>
      <c r="AAG347" s="71"/>
      <c r="AAH347" s="71"/>
      <c r="AAI347" s="71"/>
      <c r="AAJ347" s="56"/>
      <c r="AAK347" s="92" t="str">
        <f>S.Staff.DivisionRulesCoordinator&amp;" coordinates:"</f>
        <v>AndreaDRC coordinates:</v>
      </c>
      <c r="AAL347" s="90"/>
      <c r="AAM347"/>
    </row>
    <row r="348" spans="1:715" s="42" customFormat="1" ht="15.75" hidden="1" customHeight="1" outlineLevel="1">
      <c r="A348" s="201"/>
      <c r="B348" s="363" t="s">
        <v>160</v>
      </c>
      <c r="C348" s="364" t="s">
        <v>0</v>
      </c>
      <c r="D348" s="380"/>
      <c r="E348" s="349">
        <f t="shared" ref="E348:E351" si="291">NETWORKDAYS(G348,H348,S.DDL_DEQClosed)</f>
        <v>0</v>
      </c>
      <c r="F348" s="457">
        <f ca="1">IF(YEAR(H348)&gt;2000,NETWORKDAYS(TODAY(),H348,S.DDL_DEQClosed),0)</f>
        <v>0</v>
      </c>
      <c r="G348" s="351">
        <f>AAG348</f>
        <v>0</v>
      </c>
      <c r="H348" s="487">
        <f>AAH348</f>
        <v>0</v>
      </c>
      <c r="I348" s="244"/>
      <c r="J348" s="19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s="52"/>
      <c r="AAA348" s="192"/>
      <c r="AAB348"/>
      <c r="AAC348"/>
      <c r="AAD348" s="90"/>
      <c r="AAE348" s="519">
        <f t="shared" si="290"/>
        <v>0</v>
      </c>
      <c r="AAF348" s="90"/>
      <c r="AAG348" s="73">
        <f>S.Fee.SubmitToDAS</f>
        <v>0</v>
      </c>
      <c r="AAH348" s="73">
        <f>S.Fee.SubmitToDAS</f>
        <v>0</v>
      </c>
      <c r="AAI348" s="72"/>
      <c r="AAJ348" s="72"/>
      <c r="AAK348" s="75"/>
      <c r="AAL348" s="90"/>
    </row>
    <row r="349" spans="1:715" s="23" customFormat="1" ht="15" hidden="1" customHeight="1" outlineLevel="1">
      <c r="A349" s="171"/>
      <c r="B349" s="365" t="s">
        <v>161</v>
      </c>
      <c r="C349" s="362" t="s">
        <v>0</v>
      </c>
      <c r="D349" s="366"/>
      <c r="E349" s="344" t="s">
        <v>0</v>
      </c>
      <c r="F349" s="352" t="s">
        <v>0</v>
      </c>
      <c r="G349" s="353"/>
      <c r="H349" s="346"/>
      <c r="I349" s="244"/>
      <c r="J349" s="194"/>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s="52"/>
      <c r="AAA349" s="192"/>
      <c r="AAD349" s="90"/>
      <c r="AAE349" s="519">
        <f t="shared" si="290"/>
        <v>0</v>
      </c>
      <c r="AAF349" s="190" t="s">
        <v>52</v>
      </c>
      <c r="AAG349" s="71" t="s">
        <v>0</v>
      </c>
      <c r="AAH349" s="71"/>
      <c r="AAI349" s="71"/>
      <c r="AAJ349" s="79"/>
      <c r="AAK349" s="56"/>
      <c r="AAL349" s="90"/>
    </row>
    <row r="350" spans="1:715" s="23" customFormat="1" ht="15" hidden="1" customHeight="1" outlineLevel="1">
      <c r="A350" s="171"/>
      <c r="B350" s="367" t="s">
        <v>168</v>
      </c>
      <c r="C350" s="362" t="s">
        <v>0</v>
      </c>
      <c r="D350" s="366"/>
      <c r="E350" s="344" t="s">
        <v>0</v>
      </c>
      <c r="F350" s="345" t="s">
        <v>0</v>
      </c>
      <c r="G350" s="354"/>
      <c r="H350" s="346"/>
      <c r="I350" s="244"/>
      <c r="J350" s="194"/>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s="52"/>
      <c r="AAA350" s="192"/>
      <c r="AAD350" s="90"/>
      <c r="AAE350" s="519">
        <f t="shared" si="290"/>
        <v>0</v>
      </c>
      <c r="AAF350" s="190" t="s">
        <v>52</v>
      </c>
      <c r="AAG350" s="71" t="s">
        <v>0</v>
      </c>
      <c r="AAH350" s="71"/>
      <c r="AAI350" s="71"/>
      <c r="AAJ350" s="79"/>
      <c r="AAK350" s="56"/>
      <c r="AAL350" s="90"/>
    </row>
    <row r="351" spans="1:715" ht="15.75" hidden="1" customHeight="1" outlineLevel="1">
      <c r="A351" s="171"/>
      <c r="B351" s="286" t="s">
        <v>327</v>
      </c>
      <c r="C351" s="364" t="s">
        <v>0</v>
      </c>
      <c r="D351" s="380"/>
      <c r="E351" s="349">
        <f t="shared" si="291"/>
        <v>1</v>
      </c>
      <c r="F351" s="457">
        <f t="shared" ref="F351:F357" ca="1" si="292">IF(YEAR(H351)&gt;2000,NETWORKDAYS(TODAY(),H351,S.DDL_DEQClosed),0)</f>
        <v>0</v>
      </c>
      <c r="G351" s="343">
        <f>AAG351</f>
        <v>10</v>
      </c>
      <c r="H351" s="487">
        <f t="shared" ref="G351:H357" si="293">AAH351</f>
        <v>10</v>
      </c>
      <c r="I351" s="244"/>
      <c r="J351" s="194"/>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AAA351" s="192"/>
      <c r="AAD351" s="90"/>
      <c r="AAE351" s="519">
        <f t="shared" si="290"/>
        <v>0</v>
      </c>
      <c r="AAF351" s="90"/>
      <c r="AAG351" s="73">
        <f>WORKDAY(G348+9,1,S.DDL_DEQClosed)</f>
        <v>10</v>
      </c>
      <c r="AAH351" s="73">
        <f t="shared" ref="AAH351:AAH357" si="294">G351</f>
        <v>10</v>
      </c>
      <c r="AAI351" s="72"/>
      <c r="AAJ351" s="72"/>
      <c r="AAK351" s="75"/>
      <c r="AAL351" s="90"/>
      <c r="AAM351"/>
    </row>
    <row r="352" spans="1:715" s="23" customFormat="1" ht="15.75" hidden="1" customHeight="1" outlineLevel="1">
      <c r="A352" s="171"/>
      <c r="B352" s="291" t="str">
        <f t="shared" ref="B352:B357" si="295">AAK352</f>
        <v>DAS sends AndreaRW response</v>
      </c>
      <c r="C352" s="364" t="s">
        <v>0</v>
      </c>
      <c r="D352" s="380"/>
      <c r="E352" s="349">
        <f>NETWORKDAYS(G352,H352,S.DDL_DEQClosed)</f>
        <v>1</v>
      </c>
      <c r="F352" s="457">
        <f t="shared" ca="1" si="292"/>
        <v>0</v>
      </c>
      <c r="G352" s="487">
        <f>AAG352</f>
        <v>10</v>
      </c>
      <c r="H352" s="355">
        <f t="shared" ref="H352" si="296">AAH352</f>
        <v>10</v>
      </c>
      <c r="I352" s="244"/>
      <c r="J352" s="194"/>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s="52"/>
      <c r="AAA352" s="192"/>
      <c r="AAB352"/>
      <c r="AAC352"/>
      <c r="AAD352" s="90"/>
      <c r="AAE352" s="519">
        <f t="shared" si="290"/>
        <v>0</v>
      </c>
      <c r="AAF352" s="90"/>
      <c r="AAG352" s="73">
        <f>H351</f>
        <v>10</v>
      </c>
      <c r="AAH352" s="73">
        <f t="shared" ref="AAH352" si="297">G352</f>
        <v>10</v>
      </c>
      <c r="AAI352" s="72"/>
      <c r="AAJ352" s="72"/>
      <c r="AAK352" s="92" t="str">
        <f>"DAS sends "&amp;S.Staff.Lead&amp;" response"</f>
        <v>DAS sends AndreaRW response</v>
      </c>
      <c r="AAL352" s="90"/>
    </row>
    <row r="353" spans="1:715" s="23" customFormat="1" ht="15.75" hidden="1" customHeight="1" outlineLevel="1">
      <c r="A353" s="171"/>
      <c r="B353" s="287" t="str">
        <f t="shared" si="295"/>
        <v>If denied, AndreaRW coordinates addressing DAS response</v>
      </c>
      <c r="C353" s="364" t="s">
        <v>0</v>
      </c>
      <c r="D353" s="380"/>
      <c r="E353" s="349">
        <f t="shared" ref="E353" si="298">NETWORKDAYS(G353,H353,S.DDL_DEQClosed)</f>
        <v>1</v>
      </c>
      <c r="F353" s="457">
        <f t="shared" ca="1" si="292"/>
        <v>0</v>
      </c>
      <c r="G353" s="343">
        <f>AAG353</f>
        <v>10</v>
      </c>
      <c r="H353" s="487">
        <f t="shared" ref="H353" si="299">AAH353</f>
        <v>10</v>
      </c>
      <c r="I353" s="244"/>
      <c r="J353" s="194"/>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s="52"/>
      <c r="AAA353" s="192"/>
      <c r="AAD353" s="90"/>
      <c r="AAE353" s="519">
        <f t="shared" si="290"/>
        <v>0</v>
      </c>
      <c r="AAF353" s="90"/>
      <c r="AAG353" s="73">
        <f>H352</f>
        <v>10</v>
      </c>
      <c r="AAH353" s="73">
        <f t="shared" ref="AAH353" si="300">G353</f>
        <v>10</v>
      </c>
      <c r="AAI353" s="72"/>
      <c r="AAJ353" s="72"/>
      <c r="AAK353" s="92" t="str">
        <f>"If denied, "&amp;S.Staff.Lead&amp;" coordinates addressing DAS response"</f>
        <v>If denied, AndreaRW coordinates addressing DAS response</v>
      </c>
      <c r="AAL353" s="90"/>
    </row>
    <row r="354" spans="1:715" ht="15.75" hidden="1" customHeight="1" outlineLevel="1" thickBot="1">
      <c r="A354" s="171"/>
      <c r="B354" s="483" t="str">
        <f t="shared" si="295"/>
        <v>1st loop of MargaretMGR's approval of response to DAS denial</v>
      </c>
      <c r="C354" s="360" t="s">
        <v>0</v>
      </c>
      <c r="D354" s="380"/>
      <c r="E354" s="349">
        <f>NETWORKDAYS(G354,H354,S.DDL_DEQClosed)</f>
        <v>1</v>
      </c>
      <c r="F354" s="457">
        <f t="shared" ca="1" si="292"/>
        <v>0</v>
      </c>
      <c r="G354" s="343">
        <f t="shared" si="293"/>
        <v>10</v>
      </c>
      <c r="H354" s="343">
        <f t="shared" si="293"/>
        <v>10</v>
      </c>
      <c r="I354" s="244"/>
      <c r="J354" s="194"/>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AAA354" s="192"/>
      <c r="AAD354" s="90"/>
      <c r="AAE354" s="519">
        <f t="shared" si="290"/>
        <v>0</v>
      </c>
      <c r="AAF354" s="90"/>
      <c r="AAG354" s="73">
        <f>H353</f>
        <v>10</v>
      </c>
      <c r="AAH354" s="73">
        <f t="shared" si="294"/>
        <v>10</v>
      </c>
      <c r="AAI354" s="72"/>
      <c r="AAJ354" s="72"/>
      <c r="AAK354" s="254" t="str">
        <f>"1st loop of "&amp;S.Staff.Mgr&amp;"'s approval of response to DAS denial"</f>
        <v>1st loop of MargaretMGR's approval of response to DAS denial</v>
      </c>
      <c r="AAL354" s="90"/>
      <c r="AAM354"/>
    </row>
    <row r="355" spans="1:715" ht="15.75" hidden="1" customHeight="1" outlineLevel="1" thickBot="1">
      <c r="A355" s="171"/>
      <c r="B355" s="516" t="str">
        <f t="shared" si="295"/>
        <v>2nd loop of MargaretMGR's approval of response to DAS denial</v>
      </c>
      <c r="C355" s="611" t="s">
        <v>303</v>
      </c>
      <c r="D355" s="380"/>
      <c r="E355" s="349">
        <f>NETWORKDAYS(G355,H355,S.DDL_DEQClosed)</f>
        <v>0</v>
      </c>
      <c r="F355" s="457">
        <f t="shared" ca="1" si="292"/>
        <v>0</v>
      </c>
      <c r="G355" s="343">
        <f t="shared" si="293"/>
        <v>0</v>
      </c>
      <c r="H355" s="343">
        <f t="shared" si="293"/>
        <v>0</v>
      </c>
      <c r="I355" s="244"/>
      <c r="J355" s="194"/>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AAA355" s="192"/>
      <c r="AAD355" s="90"/>
      <c r="AAE355" s="519">
        <f>IF(AND(S.Fee.ApproveDASdenialResponseLoop1="Y",S.Fee.Involved="Y",S.Fee.DASApprovalRequired="Y"),1,0)</f>
        <v>0</v>
      </c>
      <c r="AAF355" s="90"/>
      <c r="AAG355" s="73">
        <f>IF(S.Fee.ApproveDASdenialResponseLoop1="N",,H354)</f>
        <v>0</v>
      </c>
      <c r="AAH355" s="73">
        <f t="shared" si="294"/>
        <v>0</v>
      </c>
      <c r="AAI355" s="72"/>
      <c r="AAJ355" s="72"/>
      <c r="AAK355" s="254" t="str">
        <f>"2nd loop of "&amp;S.Staff.Mgr&amp;"'s approval of response to DAS denial"</f>
        <v>2nd loop of MargaretMGR's approval of response to DAS denial</v>
      </c>
      <c r="AAL355" s="90"/>
      <c r="AAM355"/>
    </row>
    <row r="356" spans="1:715" ht="15.75" hidden="1" customHeight="1" outlineLevel="1" thickBot="1">
      <c r="A356" s="171"/>
      <c r="B356" s="480" t="str">
        <f t="shared" si="295"/>
        <v>3rd loop of MargaretMGR's approval of response to DAS denial</v>
      </c>
      <c r="C356" s="611" t="s">
        <v>303</v>
      </c>
      <c r="D356" s="380"/>
      <c r="E356" s="349">
        <f>NETWORKDAYS(G356,H356,S.DDL_DEQClosed)</f>
        <v>0</v>
      </c>
      <c r="F356" s="457">
        <f t="shared" ca="1" si="292"/>
        <v>0</v>
      </c>
      <c r="G356" s="343">
        <f t="shared" si="293"/>
        <v>0</v>
      </c>
      <c r="H356" s="343">
        <f t="shared" si="293"/>
        <v>0</v>
      </c>
      <c r="I356" s="244"/>
      <c r="J356" s="194"/>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AAA356" s="192"/>
      <c r="AAD356" s="90"/>
      <c r="AAE356" s="519">
        <f>IF(AND(S.Fee.ApproveDASdenialResponseLoop2="Y",S.Fee.Involved="Y",S.Fee.DASApprovalRequired="Y"),1,0)</f>
        <v>0</v>
      </c>
      <c r="AAF356" s="90"/>
      <c r="AAG356" s="73">
        <f>IF(S.Fee.ApproveDASdenialResponseLoop2="N",,H355)</f>
        <v>0</v>
      </c>
      <c r="AAH356" s="73">
        <f t="shared" si="294"/>
        <v>0</v>
      </c>
      <c r="AAI356" s="72"/>
      <c r="AAJ356" s="72"/>
      <c r="AAK356" s="254" t="str">
        <f>"3rd loop of "&amp;S.Staff.Mgr&amp;"'s approval of response to DAS denial"</f>
        <v>3rd loop of MargaretMGR's approval of response to DAS denial</v>
      </c>
      <c r="AAL356" s="90"/>
      <c r="AAM356"/>
    </row>
    <row r="357" spans="1:715" ht="15.75" hidden="1" customHeight="1" outlineLevel="1" thickBot="1">
      <c r="A357" s="171"/>
      <c r="B357" s="654" t="str">
        <f t="shared" si="295"/>
        <v>4th loop of MargaretMGR's approval of response to DAS denial</v>
      </c>
      <c r="C357" s="611" t="s">
        <v>303</v>
      </c>
      <c r="D357" s="380"/>
      <c r="E357" s="349">
        <f>NETWORKDAYS(G357,H357,S.DDL_DEQClosed)</f>
        <v>0</v>
      </c>
      <c r="F357" s="457">
        <f t="shared" ca="1" si="292"/>
        <v>0</v>
      </c>
      <c r="G357" s="343">
        <f t="shared" si="293"/>
        <v>0</v>
      </c>
      <c r="H357" s="343">
        <f t="shared" si="293"/>
        <v>0</v>
      </c>
      <c r="I357" s="244"/>
      <c r="J357" s="194"/>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AAA357" s="192"/>
      <c r="AAD357" s="90"/>
      <c r="AAE357" s="519">
        <f>IF(AND(S.Fee.ApproveDASdenialResponseLoop4="Y",S.Fee.Involved="Y",S.Fee.DASApprovalRequired="Y"),1,0)</f>
        <v>0</v>
      </c>
      <c r="AAF357" s="90"/>
      <c r="AAG357" s="73">
        <f>IF(S.Fee.ApproveDASdenialResponseLoop4="N",,H356)</f>
        <v>0</v>
      </c>
      <c r="AAH357" s="73">
        <f t="shared" si="294"/>
        <v>0</v>
      </c>
      <c r="AAI357" s="72"/>
      <c r="AAJ357" s="72"/>
      <c r="AAK357" s="254" t="str">
        <f>"4th loop of "&amp;S.Staff.Mgr&amp;"'s approval of response to DAS denial"</f>
        <v>4th loop of MargaretMGR's approval of response to DAS denial</v>
      </c>
      <c r="AAL357" s="90"/>
      <c r="AAM357"/>
    </row>
    <row r="358" spans="1:715" s="23" customFormat="1" ht="15.75" hidden="1" customHeight="1" outlineLevel="1">
      <c r="A358" s="171"/>
      <c r="B358" s="371" t="str">
        <f>AAK358</f>
        <v>If approved, AndreaRW scans and files DAS.PART1.pdf</v>
      </c>
      <c r="C358" s="364" t="s">
        <v>0</v>
      </c>
      <c r="D358" s="380"/>
      <c r="E358" s="349">
        <f>NETWORKDAYS(G358,H358,S.DDL_DEQClosed)</f>
        <v>1</v>
      </c>
      <c r="F358" s="457">
        <f ca="1">IF(YEAR(H358)&gt;2000,NETWORKDAYS(TODAY(),H358,S.DDL_DEQClosed),0)</f>
        <v>0</v>
      </c>
      <c r="G358" s="487">
        <f>AAG358</f>
        <v>10</v>
      </c>
      <c r="H358" s="355">
        <f t="shared" ref="H358" si="301">AAH358</f>
        <v>10</v>
      </c>
      <c r="I358" s="244"/>
      <c r="J358" s="194"/>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s="52"/>
      <c r="AAA358" s="192"/>
      <c r="AAD358" s="90"/>
      <c r="AAE358" s="519">
        <f>IF(AND(S.Fee.Involved="Y",S.Fee.DASApprovalRequired="Y"),1,0)</f>
        <v>0</v>
      </c>
      <c r="AAF358" s="90"/>
      <c r="AAG358" s="73">
        <f>H352</f>
        <v>10</v>
      </c>
      <c r="AAH358" s="73">
        <f>G358</f>
        <v>10</v>
      </c>
      <c r="AAI358" s="72"/>
      <c r="AAJ358" s="72"/>
      <c r="AAK358" s="76" t="str">
        <f>"If approved, "&amp;S.Staff.Lead&amp;" scans and files DAS.PART1.pdf"</f>
        <v>If approved, AndreaRW scans and files DAS.PART1.pdf</v>
      </c>
      <c r="AAL358" s="90"/>
    </row>
    <row r="359" spans="1:715" s="23" customFormat="1" ht="15" hidden="1" customHeight="1" outlineLevel="1">
      <c r="A359" s="171"/>
      <c r="B359" s="368" t="s">
        <v>162</v>
      </c>
      <c r="C359" s="362" t="s">
        <v>0</v>
      </c>
      <c r="D359" s="369"/>
      <c r="E359" s="344" t="s">
        <v>0</v>
      </c>
      <c r="F359" s="345" t="s">
        <v>0</v>
      </c>
      <c r="G359" s="353"/>
      <c r="H359" s="346"/>
      <c r="I359" s="244"/>
      <c r="J359" s="194"/>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s="52"/>
      <c r="AAA359" s="192"/>
      <c r="AAD359" s="90"/>
      <c r="AAE359" s="519">
        <f>IF(AND(S.Fee.Involved="Y",S.Fee.DASApprovalRequired="Y"),1,0)</f>
        <v>0</v>
      </c>
      <c r="AAF359" s="190" t="s">
        <v>52</v>
      </c>
      <c r="AAG359" s="71" t="s">
        <v>0</v>
      </c>
      <c r="AAH359" s="71"/>
      <c r="AAI359" s="71"/>
      <c r="AAJ359" s="79"/>
      <c r="AAK359" s="56"/>
      <c r="AAL359" s="90"/>
    </row>
    <row r="360" spans="1:715" s="23" customFormat="1" ht="15" hidden="1" customHeight="1" outlineLevel="1">
      <c r="A360" s="171"/>
      <c r="B360" s="288" t="str">
        <f>AAK360</f>
        <v>AndreaRW gathers all fee emails for the Rule Record and saves as:</v>
      </c>
      <c r="C360" s="789" t="str">
        <f>HYPERLINK("\\deqhq1\Rule_Development\Currrent Plan","i")</f>
        <v>i</v>
      </c>
      <c r="D360" s="380"/>
      <c r="E360" s="344" t="s">
        <v>0</v>
      </c>
      <c r="F360" s="345" t="s">
        <v>0</v>
      </c>
      <c r="G360" s="346"/>
      <c r="H360" s="346"/>
      <c r="I360" s="244"/>
      <c r="J360" s="194"/>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s="52"/>
      <c r="AAA360" s="192"/>
      <c r="AAD360" s="90"/>
      <c r="AAE360" s="519">
        <f>IF(S.Fee.Involved="Y",1,0)</f>
        <v>0</v>
      </c>
      <c r="AAF360" s="190" t="s">
        <v>52</v>
      </c>
      <c r="AAG360" s="71" t="s">
        <v>0</v>
      </c>
      <c r="AAH360" s="71"/>
      <c r="AAI360" s="71"/>
      <c r="AAJ360" s="79"/>
      <c r="AAK360" s="76" t="str">
        <f>S.Staff.Lead&amp;" gathers all fee emails for the Rule Record and saves as:"</f>
        <v>AndreaRW gathers all fee emails for the Rule Record and saves as:</v>
      </c>
      <c r="AAL360" s="90"/>
    </row>
    <row r="361" spans="1:715" s="23" customFormat="1" ht="15.75" hidden="1" customHeight="1" outlineLevel="1">
      <c r="A361" s="171"/>
      <c r="B361" s="372" t="s">
        <v>169</v>
      </c>
      <c r="C361" s="362"/>
      <c r="D361" s="362"/>
      <c r="E361" s="350"/>
      <c r="F361" s="350"/>
      <c r="G361" s="346"/>
      <c r="H361" s="346"/>
      <c r="I361" s="244"/>
      <c r="J361" s="194"/>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s="52"/>
      <c r="AAA361" s="192"/>
      <c r="AAD361" s="90"/>
      <c r="AAE361" s="519">
        <f>IF(S.Fee.Involved="Y",1,0)</f>
        <v>0</v>
      </c>
      <c r="AAF361" s="190" t="s">
        <v>52</v>
      </c>
      <c r="AAG361" s="71"/>
      <c r="AAH361" s="71"/>
      <c r="AAI361" s="71"/>
      <c r="AAJ361" s="56"/>
      <c r="AAK361" s="71" t="s">
        <v>0</v>
      </c>
      <c r="AAL361" s="90"/>
    </row>
    <row r="362" spans="1:715" ht="6" customHeight="1" collapsed="1">
      <c r="A362" s="171"/>
      <c r="B362" s="135"/>
      <c r="C362" s="114"/>
      <c r="D362" s="136"/>
      <c r="E362" s="97"/>
      <c r="F362" s="97"/>
      <c r="G362" s="137"/>
      <c r="H362" s="138"/>
      <c r="I362" s="244"/>
      <c r="J362" s="218"/>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AAA362" s="192"/>
      <c r="AAD362" s="90"/>
      <c r="AAE362" s="519" t="s">
        <v>21</v>
      </c>
      <c r="AAF362" s="190" t="s">
        <v>52</v>
      </c>
      <c r="AAG362" s="60"/>
      <c r="AAH362" s="60"/>
      <c r="AAI362" s="72"/>
      <c r="AAJ362" s="72"/>
      <c r="AAK362" s="75"/>
      <c r="AAL362" s="90"/>
      <c r="AAM362"/>
    </row>
    <row r="363" spans="1:715" s="23" customFormat="1" ht="18" customHeight="1">
      <c r="A363" s="171"/>
      <c r="B363" s="848" t="str">
        <f>AAK25</f>
        <v>Public Notice</v>
      </c>
      <c r="C363" s="848"/>
      <c r="D363" s="848"/>
      <c r="E363" s="848"/>
      <c r="F363" s="848"/>
      <c r="G363" s="848"/>
      <c r="H363" s="848"/>
      <c r="I363" s="244"/>
      <c r="J363" s="21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s="52"/>
      <c r="AAA363" s="192"/>
      <c r="AAB363"/>
      <c r="AAC363"/>
      <c r="AAD363" s="90"/>
      <c r="AAE363" s="519" t="s">
        <v>22</v>
      </c>
      <c r="AAF363" s="190" t="s">
        <v>52</v>
      </c>
      <c r="AAG363" s="90"/>
      <c r="AAH363" s="90"/>
      <c r="AAI363" s="72"/>
      <c r="AAJ363" s="81"/>
      <c r="AAK363" s="71"/>
      <c r="AAL363" s="90"/>
    </row>
    <row r="364" spans="1:715" s="23" customFormat="1" ht="14.25" customHeight="1">
      <c r="A364" s="171"/>
      <c r="B364" s="141" t="s">
        <v>0</v>
      </c>
      <c r="C364" s="100" t="s">
        <v>0</v>
      </c>
      <c r="D364" s="237"/>
      <c r="E364" s="865" t="s">
        <v>225</v>
      </c>
      <c r="F364" s="865"/>
      <c r="G364" s="865" t="s">
        <v>12</v>
      </c>
      <c r="H364" s="865"/>
      <c r="I364" s="244"/>
      <c r="J364" s="195"/>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s="52"/>
      <c r="AAA364" s="192"/>
      <c r="AAD364" s="90"/>
      <c r="AAE364" s="519" t="s">
        <v>63</v>
      </c>
      <c r="AAF364" s="190" t="s">
        <v>52</v>
      </c>
      <c r="AAG364" s="90"/>
      <c r="AAH364" s="90"/>
      <c r="AAI364" s="72"/>
      <c r="AAJ364" s="81"/>
      <c r="AAK364" s="71"/>
      <c r="AAL364" s="90"/>
    </row>
    <row r="365" spans="1:715" s="552" customFormat="1" ht="24" customHeight="1">
      <c r="A365" s="545"/>
      <c r="B365" s="686" t="str">
        <f>S.General.RulemakingTitle</f>
        <v>Incorporate Lane Regional Air Protection Agency Rules into State Implementation Plan</v>
      </c>
      <c r="C365" s="547" t="s">
        <v>0</v>
      </c>
      <c r="D365" s="547"/>
      <c r="E365" s="559" t="s">
        <v>228</v>
      </c>
      <c r="F365" s="560" t="s">
        <v>226</v>
      </c>
      <c r="G365" s="548" t="s">
        <v>61</v>
      </c>
      <c r="H365" s="548" t="s">
        <v>227</v>
      </c>
      <c r="I365" s="549"/>
      <c r="J365" s="550"/>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51"/>
      <c r="AS365" s="551"/>
      <c r="AT365" s="551"/>
      <c r="AU365" s="551"/>
      <c r="AV365" s="551"/>
      <c r="AW365" s="551"/>
      <c r="AX365" s="551"/>
      <c r="AY365" s="551"/>
      <c r="AZ365" s="551"/>
      <c r="BA365" s="551"/>
      <c r="BB365" s="551"/>
      <c r="BC365" s="551"/>
      <c r="BD365" s="551"/>
      <c r="BE365" s="551"/>
      <c r="BF365" s="551"/>
      <c r="BG365" s="551"/>
      <c r="BH365" s="551"/>
      <c r="BI365" s="551"/>
      <c r="BJ365" s="551"/>
      <c r="BK365" s="551"/>
      <c r="BL365" s="551"/>
      <c r="BM365" s="551"/>
      <c r="BN365" s="551"/>
      <c r="BO365" s="551"/>
      <c r="BP365" s="551"/>
      <c r="BQ365" s="551"/>
      <c r="BR365" s="551"/>
      <c r="BS365" s="551"/>
      <c r="BT365" s="551"/>
      <c r="BU365" s="551"/>
      <c r="BV365" s="551"/>
      <c r="BW365" s="551"/>
      <c r="BX365" s="551"/>
      <c r="BY365" s="551"/>
      <c r="BZ365" s="551"/>
      <c r="CA365" s="551"/>
      <c r="CB365" s="551"/>
      <c r="CC365" s="551"/>
      <c r="CD365" s="551"/>
      <c r="CE365" s="551"/>
      <c r="CF365" s="551"/>
      <c r="CG365" s="551"/>
      <c r="CH365" s="551"/>
      <c r="CI365" s="551"/>
      <c r="CJ365" s="551"/>
      <c r="CK365" s="551"/>
      <c r="CL365" s="551"/>
      <c r="CM365" s="551"/>
      <c r="CN365" s="551"/>
      <c r="CO365" s="551"/>
      <c r="CP365" s="551"/>
      <c r="CQ365" s="551"/>
      <c r="CR365" s="551"/>
      <c r="CS365" s="551"/>
      <c r="CT365" s="551"/>
      <c r="CU365" s="551"/>
      <c r="CV365" s="551"/>
      <c r="CW365" s="551"/>
      <c r="CX365" s="551"/>
      <c r="CY365" s="551"/>
      <c r="CZ365" s="551"/>
      <c r="DA365" s="551"/>
      <c r="DB365" s="551"/>
      <c r="DC365" s="551"/>
      <c r="DD365" s="551"/>
      <c r="DE365" s="551"/>
      <c r="DF365" s="551"/>
      <c r="DG365" s="551"/>
      <c r="DH365" s="551"/>
      <c r="DI365" s="551"/>
      <c r="DJ365" s="551"/>
      <c r="DK365" s="551"/>
      <c r="DL365" s="551"/>
      <c r="DM365" s="551"/>
      <c r="DN365" s="551"/>
      <c r="DO365" s="551"/>
      <c r="DP365" s="551"/>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s="52"/>
      <c r="AAA365" s="770"/>
      <c r="AAD365" s="553"/>
      <c r="AAE365" s="554" t="s">
        <v>63</v>
      </c>
      <c r="AAF365" s="555" t="s">
        <v>52</v>
      </c>
      <c r="AAG365" s="553"/>
      <c r="AAH365" s="553"/>
      <c r="AAI365" s="556"/>
      <c r="AAJ365" s="557"/>
      <c r="AAK365" s="558"/>
      <c r="AAL365" s="553"/>
    </row>
    <row r="366" spans="1:715" ht="18" customHeight="1">
      <c r="A366" s="171"/>
      <c r="B366" s="888" t="s">
        <v>12</v>
      </c>
      <c r="C366" s="888"/>
      <c r="D366" s="888"/>
      <c r="E366" s="888"/>
      <c r="F366" s="260">
        <f>NETWORKDAYS(S.Notice.BANNER.Begin,S.Notice.BANNER.End,S.DDL_DEQClosed)</f>
        <v>62</v>
      </c>
      <c r="G366" s="258">
        <f>AAG366</f>
        <v>41572</v>
      </c>
      <c r="H366" s="142">
        <f>AAH366</f>
        <v>41666</v>
      </c>
      <c r="I366" s="244"/>
      <c r="J366" s="216"/>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AAA366" s="192"/>
      <c r="AAD366" s="90"/>
      <c r="AAE366" s="519" t="s">
        <v>63</v>
      </c>
      <c r="AAF366" s="190" t="s">
        <v>52</v>
      </c>
      <c r="AAG366" s="73">
        <f>IF(S.Notice.Involved="N",0,S.Overview.BANNER.Start)</f>
        <v>41572</v>
      </c>
      <c r="AAH366" s="73">
        <f>S.Notice.CloseComment</f>
        <v>41666</v>
      </c>
      <c r="AAI366" s="73">
        <f>MIN(S.Notice.OpenComment,S.Notice.SubmitToSOS)</f>
        <v>41621</v>
      </c>
      <c r="AAJ366" s="72"/>
      <c r="AAK366" s="75"/>
      <c r="AAL366" s="90"/>
      <c r="AAM366"/>
    </row>
    <row r="367" spans="1:715" ht="6" customHeight="1">
      <c r="A367" s="171">
        <v>111</v>
      </c>
      <c r="B367" s="139"/>
      <c r="C367" s="112"/>
      <c r="D367" s="230"/>
      <c r="E367" s="113"/>
      <c r="F367" s="113"/>
      <c r="G367" s="112"/>
      <c r="H367" s="112"/>
      <c r="I367" s="244"/>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AAA367" s="192"/>
      <c r="AAD367" s="90"/>
      <c r="AAE367" s="519" t="s">
        <v>17</v>
      </c>
      <c r="AAF367" s="190" t="s">
        <v>52</v>
      </c>
      <c r="AAG367" s="60"/>
      <c r="AAH367" s="60"/>
      <c r="AAI367" s="60"/>
      <c r="AAJ367" s="56"/>
      <c r="AAK367" s="56"/>
      <c r="AAL367" s="90"/>
      <c r="AAM367"/>
    </row>
    <row r="368" spans="1:715" s="23" customFormat="1" ht="12.75" customHeight="1">
      <c r="A368" s="171"/>
      <c r="B368" s="798" t="s">
        <v>506</v>
      </c>
      <c r="C368" s="797" t="str">
        <f>HYPERLINK("","i")</f>
        <v>i</v>
      </c>
      <c r="D368" s="231"/>
      <c r="E368" s="97"/>
      <c r="F368" s="97"/>
      <c r="G368" s="96"/>
      <c r="H368" s="96"/>
      <c r="I368" s="244"/>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ZZ368" s="52"/>
      <c r="AAA368" s="192"/>
      <c r="AAD368" s="90"/>
      <c r="AAE368" s="520" t="s">
        <v>21</v>
      </c>
      <c r="AAF368" s="190" t="s">
        <v>52</v>
      </c>
      <c r="AAG368" s="60"/>
      <c r="AAH368" s="60"/>
      <c r="AAI368" s="82"/>
      <c r="AAJ368" s="82"/>
      <c r="AAK368" s="40"/>
      <c r="AAL368" s="90"/>
    </row>
    <row r="369" spans="1:714" s="23" customFormat="1" ht="15" customHeight="1" thickBot="1">
      <c r="A369" s="171"/>
      <c r="B369" s="361" t="str">
        <f>AAK369</f>
        <v>AndreaRW enters hearings locations, dates and times:</v>
      </c>
      <c r="C369" s="904"/>
      <c r="D369" s="904"/>
      <c r="E369" s="904"/>
      <c r="F369" s="904"/>
      <c r="G369" s="904"/>
      <c r="H369" s="375"/>
      <c r="I369" s="244"/>
      <c r="J369" s="221"/>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s="52"/>
      <c r="AAA369" s="192"/>
      <c r="AAB369"/>
      <c r="AAC369"/>
      <c r="AAD369" s="90"/>
      <c r="AAE369" s="519">
        <f>IF(S.Hearing.1stInvolve="Y",1,0)</f>
        <v>1</v>
      </c>
      <c r="AAF369" s="190" t="s">
        <v>52</v>
      </c>
      <c r="AAG369" s="72"/>
      <c r="AAH369" s="72"/>
      <c r="AAI369" s="72"/>
      <c r="AAJ369" s="72"/>
      <c r="AAK369" s="76" t="str">
        <f>IF(S.Hearing.1stInvolve="Y",S.Staff.Lead&amp;" enters hearings locations, dates and times:","No hearings planned")</f>
        <v>AndreaRW enters hearings locations, dates and times:</v>
      </c>
      <c r="AAL369" s="90"/>
    </row>
    <row r="370" spans="1:714" s="23" customFormat="1" ht="15" customHeight="1" thickBot="1">
      <c r="A370" s="171"/>
      <c r="B370" s="620" t="s">
        <v>527</v>
      </c>
      <c r="C370" s="611" t="s">
        <v>17</v>
      </c>
      <c r="D370"/>
      <c r="E370" s="905" t="s">
        <v>113</v>
      </c>
      <c r="F370" s="906"/>
      <c r="G370" s="571">
        <f>AAG370</f>
        <v>41661</v>
      </c>
      <c r="H370" s="524" t="s">
        <v>534</v>
      </c>
      <c r="I370" s="244"/>
      <c r="J370" s="193"/>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s="52"/>
      <c r="AAA370" s="192"/>
      <c r="AAB370"/>
      <c r="AAC370"/>
      <c r="AAD370" s="90"/>
      <c r="AAE370" s="519">
        <f>IF(S.Hearing.1stInvolve="Y",1,0)</f>
        <v>1</v>
      </c>
      <c r="AAF370" s="190" t="s">
        <v>52</v>
      </c>
      <c r="AAG370" s="73">
        <f>S.Hearing.1stDate</f>
        <v>41661</v>
      </c>
      <c r="AAH370" s="572" t="s">
        <v>71</v>
      </c>
      <c r="AAI370" s="39"/>
      <c r="AAJ370" s="55"/>
      <c r="AAK370" s="55"/>
      <c r="AAL370" s="90"/>
    </row>
    <row r="371" spans="1:714" s="23" customFormat="1" ht="15" hidden="1" customHeight="1" outlineLevel="1" thickBot="1">
      <c r="A371" s="171"/>
      <c r="B371" s="620" t="str">
        <f t="shared" ref="B371:B377" si="302">"Enter city name"</f>
        <v>Enter city name</v>
      </c>
      <c r="C371" s="611" t="s">
        <v>303</v>
      </c>
      <c r="D371"/>
      <c r="E371" s="861" t="s">
        <v>114</v>
      </c>
      <c r="F371" s="862"/>
      <c r="G371" s="340">
        <f>AAG371</f>
        <v>0</v>
      </c>
      <c r="H371" s="524" t="str">
        <f t="shared" ref="H371:H377" si="303">AAH371</f>
        <v>5:30pm</v>
      </c>
      <c r="I371" s="244"/>
      <c r="J371" s="194"/>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s="52"/>
      <c r="AAA371" s="192"/>
      <c r="AAB371"/>
      <c r="AAC371"/>
      <c r="AAD371" s="90"/>
      <c r="AAE371" s="519">
        <f>IF(AND(S.Hearing.2ndInvolve="Y",S.Hearing.1stInvolve="Y"),1,)</f>
        <v>0</v>
      </c>
      <c r="AAF371" s="190" t="s">
        <v>52</v>
      </c>
      <c r="AAG371" s="73">
        <f>IF(S.Hearing.2ndInvolve="N",,S.Hearing.1stDate)</f>
        <v>0</v>
      </c>
      <c r="AAH371" s="73" t="str">
        <f>H370</f>
        <v>5:30pm</v>
      </c>
      <c r="AAI371" s="72"/>
      <c r="AAJ371" s="72"/>
      <c r="AAK371" s="79"/>
      <c r="AAL371" s="90"/>
    </row>
    <row r="372" spans="1:714" s="23" customFormat="1" ht="15" hidden="1" customHeight="1" outlineLevel="1" thickBot="1">
      <c r="A372" s="171"/>
      <c r="B372" s="620" t="str">
        <f t="shared" si="302"/>
        <v>Enter city name</v>
      </c>
      <c r="C372" s="611" t="s">
        <v>303</v>
      </c>
      <c r="D372"/>
      <c r="E372" s="861" t="s">
        <v>115</v>
      </c>
      <c r="F372" s="862"/>
      <c r="G372" s="340">
        <f t="shared" ref="G372:G376" si="304">AAG372</f>
        <v>0</v>
      </c>
      <c r="H372" s="524" t="str">
        <f t="shared" si="303"/>
        <v>5:30pm</v>
      </c>
      <c r="I372" s="244"/>
      <c r="J372" s="194"/>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s="52"/>
      <c r="AAA372" s="192"/>
      <c r="AAB372"/>
      <c r="AAC372"/>
      <c r="AAD372" s="90"/>
      <c r="AAE372" s="519">
        <f>IF(AND(S.Hearing.3rdInvolve="Y",S.Hearing.1stInvolve="Y"),1,)</f>
        <v>0</v>
      </c>
      <c r="AAF372" s="190" t="s">
        <v>52</v>
      </c>
      <c r="AAG372" s="73">
        <f>IF(S.Hearing.3rdInvolve="N",,S.Hearing.2ndDate)</f>
        <v>0</v>
      </c>
      <c r="AAH372" s="73" t="str">
        <f>H370</f>
        <v>5:30pm</v>
      </c>
      <c r="AAI372" s="72"/>
      <c r="AAJ372" s="56"/>
      <c r="AAK372" s="75"/>
      <c r="AAL372" s="90"/>
    </row>
    <row r="373" spans="1:714" s="23" customFormat="1" ht="15" hidden="1" customHeight="1" outlineLevel="1" thickBot="1">
      <c r="A373" s="171"/>
      <c r="B373" s="620" t="str">
        <f t="shared" si="302"/>
        <v>Enter city name</v>
      </c>
      <c r="C373" s="611" t="s">
        <v>303</v>
      </c>
      <c r="D373"/>
      <c r="E373" s="861" t="s">
        <v>116</v>
      </c>
      <c r="F373" s="862"/>
      <c r="G373" s="340">
        <f t="shared" si="304"/>
        <v>0</v>
      </c>
      <c r="H373" s="524" t="str">
        <f t="shared" si="303"/>
        <v>5:30pm</v>
      </c>
      <c r="I373" s="244"/>
      <c r="J373" s="194"/>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s="52"/>
      <c r="AAA373" s="192"/>
      <c r="AAB373"/>
      <c r="AAC373"/>
      <c r="AAD373" s="90"/>
      <c r="AAE373" s="519">
        <f>IF(AND(S.Hearing.4thInvolve="Y",S.Hearing.1stInvolve="Y"),1,)</f>
        <v>0</v>
      </c>
      <c r="AAF373" s="190" t="s">
        <v>52</v>
      </c>
      <c r="AAG373" s="73">
        <f>IF(S.Hearing.4thInvolve="N",,S.Hearing.3rdDate)</f>
        <v>0</v>
      </c>
      <c r="AAH373" s="73" t="str">
        <f>H370</f>
        <v>5:30pm</v>
      </c>
      <c r="AAI373" s="72"/>
      <c r="AAJ373" s="56"/>
      <c r="AAK373" s="75"/>
      <c r="AAL373" s="90"/>
    </row>
    <row r="374" spans="1:714" s="23" customFormat="1" ht="15" hidden="1" customHeight="1" outlineLevel="1" thickBot="1">
      <c r="A374" s="171"/>
      <c r="B374" s="620" t="str">
        <f t="shared" si="302"/>
        <v>Enter city name</v>
      </c>
      <c r="C374" s="611" t="s">
        <v>303</v>
      </c>
      <c r="D374"/>
      <c r="E374" s="861" t="s">
        <v>117</v>
      </c>
      <c r="F374" s="862"/>
      <c r="G374" s="340">
        <f t="shared" si="304"/>
        <v>0</v>
      </c>
      <c r="H374" s="524" t="str">
        <f t="shared" si="303"/>
        <v>5:30pm</v>
      </c>
      <c r="I374" s="244"/>
      <c r="J374" s="194"/>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s="52"/>
      <c r="AAA374" s="192"/>
      <c r="AAB374"/>
      <c r="AAC374"/>
      <c r="AAD374" s="90"/>
      <c r="AAE374" s="519">
        <f>IF(AND(S.Hearing.5thInvolve="Y",S.Hearing.1stInvolve="Y"),1,)</f>
        <v>0</v>
      </c>
      <c r="AAF374" s="190" t="s">
        <v>52</v>
      </c>
      <c r="AAG374" s="73">
        <f>IF(S.Hearing.5thInvolve="N",,S.Hearing.4thDate)</f>
        <v>0</v>
      </c>
      <c r="AAH374" s="73" t="str">
        <f>H370</f>
        <v>5:30pm</v>
      </c>
      <c r="AAI374" s="72"/>
      <c r="AAJ374" s="56"/>
      <c r="AAK374" s="75"/>
      <c r="AAL374" s="90"/>
    </row>
    <row r="375" spans="1:714" s="23" customFormat="1" ht="15" hidden="1" customHeight="1" outlineLevel="1" thickBot="1">
      <c r="A375" s="171"/>
      <c r="B375" s="620" t="str">
        <f t="shared" si="302"/>
        <v>Enter city name</v>
      </c>
      <c r="C375" s="611" t="s">
        <v>303</v>
      </c>
      <c r="D375"/>
      <c r="E375" s="861" t="s">
        <v>118</v>
      </c>
      <c r="F375" s="862"/>
      <c r="G375" s="340">
        <f t="shared" si="304"/>
        <v>0</v>
      </c>
      <c r="H375" s="524" t="str">
        <f t="shared" si="303"/>
        <v>5:30pm</v>
      </c>
      <c r="I375" s="244"/>
      <c r="J375" s="194"/>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s="52"/>
      <c r="AAA375" s="192"/>
      <c r="AAB375"/>
      <c r="AAC375"/>
      <c r="AAD375" s="90"/>
      <c r="AAE375" s="519">
        <f>IF(AND(S.Hearing.6thInvolve="Y",S.Hearing.1stInvolve="Y"),1,)</f>
        <v>0</v>
      </c>
      <c r="AAF375" s="190" t="s">
        <v>52</v>
      </c>
      <c r="AAG375" s="73">
        <f>IF(S.Hearing.6thInvolve="N",,S.Hearing.5thDate)</f>
        <v>0</v>
      </c>
      <c r="AAH375" s="73" t="str">
        <f>H370</f>
        <v>5:30pm</v>
      </c>
      <c r="AAI375" s="72"/>
      <c r="AAJ375" s="56"/>
      <c r="AAK375" s="75"/>
      <c r="AAL375" s="90"/>
    </row>
    <row r="376" spans="1:714" s="23" customFormat="1" ht="15" hidden="1" customHeight="1" outlineLevel="1" thickBot="1">
      <c r="A376" s="171"/>
      <c r="B376" s="620" t="str">
        <f t="shared" si="302"/>
        <v>Enter city name</v>
      </c>
      <c r="C376" s="611" t="s">
        <v>303</v>
      </c>
      <c r="D376"/>
      <c r="E376" s="861" t="s">
        <v>119</v>
      </c>
      <c r="F376" s="862"/>
      <c r="G376" s="340">
        <f t="shared" si="304"/>
        <v>0</v>
      </c>
      <c r="H376" s="524" t="str">
        <f t="shared" si="303"/>
        <v>5:30pm</v>
      </c>
      <c r="I376" s="244"/>
      <c r="J376" s="194"/>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s="52"/>
      <c r="AAA376" s="192"/>
      <c r="AAB376"/>
      <c r="AAC376"/>
      <c r="AAD376" s="90"/>
      <c r="AAE376" s="519">
        <f>IF(AND(S.Hearing.7thInvolve="Y",S.Hearing.1stInvolve="Y"),1,)</f>
        <v>0</v>
      </c>
      <c r="AAF376" s="190" t="s">
        <v>52</v>
      </c>
      <c r="AAG376" s="73">
        <f>IF(S.Hearing.7thInvolve="N",,S.Hearing.6thDate)</f>
        <v>0</v>
      </c>
      <c r="AAH376" s="73" t="str">
        <f>H370</f>
        <v>5:30pm</v>
      </c>
      <c r="AAI376" s="72"/>
      <c r="AAJ376" s="56"/>
      <c r="AAK376" s="75"/>
      <c r="AAL376" s="90"/>
    </row>
    <row r="377" spans="1:714" s="23" customFormat="1" ht="15" hidden="1" customHeight="1" outlineLevel="1" thickBot="1">
      <c r="A377" s="171"/>
      <c r="B377" s="620" t="str">
        <f t="shared" si="302"/>
        <v>Enter city name</v>
      </c>
      <c r="C377" s="611" t="s">
        <v>303</v>
      </c>
      <c r="D377"/>
      <c r="E377" s="896" t="s">
        <v>328</v>
      </c>
      <c r="F377" s="897"/>
      <c r="G377" s="340">
        <f>AAG376</f>
        <v>0</v>
      </c>
      <c r="H377" s="340" t="str">
        <f t="shared" si="303"/>
        <v>5:30pm</v>
      </c>
      <c r="I377" s="244"/>
      <c r="J377" s="194"/>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s="52"/>
      <c r="AAA377" s="192"/>
      <c r="AAB377"/>
      <c r="AAC377"/>
      <c r="AAD377" s="90"/>
      <c r="AAE377" s="519">
        <f>IF(AND(S.Hearing.8thtInvolve="Y",S.Hearing.1stInvolve="Y"),1,0)</f>
        <v>0</v>
      </c>
      <c r="AAF377" s="190" t="s">
        <v>52</v>
      </c>
      <c r="AAG377" s="73">
        <f>IF(S.Hearing.8thtInvolve="N",S.Hearing.1stDate,S.Hearing.7thDate)</f>
        <v>41661</v>
      </c>
      <c r="AAH377" s="73" t="str">
        <f>H370</f>
        <v>5:30pm</v>
      </c>
      <c r="AAI377" s="72"/>
      <c r="AAJ377" s="56"/>
      <c r="AAK377" s="75"/>
      <c r="AAL377" s="90"/>
    </row>
    <row r="378" spans="1:714" s="23" customFormat="1" ht="15" customHeight="1" collapsed="1">
      <c r="A378" s="171"/>
      <c r="B378" s="363" t="s">
        <v>0</v>
      </c>
      <c r="C378" s="362"/>
      <c r="D378" s="362"/>
      <c r="E378" s="858" t="s">
        <v>329</v>
      </c>
      <c r="F378" s="859"/>
      <c r="G378" s="571">
        <f>AAG378</f>
        <v>41661</v>
      </c>
      <c r="H378" s="346"/>
      <c r="I378" s="244"/>
      <c r="J378" s="194"/>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s="52"/>
      <c r="AAA378" s="192"/>
      <c r="AAD378" s="90"/>
      <c r="AAE378" s="519">
        <f>IF(S.Hearing.1stInvolve="Y",1,0)</f>
        <v>1</v>
      </c>
      <c r="AAF378" s="190" t="s">
        <v>52</v>
      </c>
      <c r="AAG378" s="73">
        <f>MAX(G370:G377)</f>
        <v>41661</v>
      </c>
      <c r="AAH378" s="71"/>
      <c r="AAI378" s="71"/>
      <c r="AAJ378" s="56"/>
      <c r="AAK378" s="254" t="str">
        <f>S.Staff.Lead&amp;":"</f>
        <v>AndreaRW:</v>
      </c>
      <c r="AAL378" s="90"/>
    </row>
    <row r="379" spans="1:714" s="23" customFormat="1" ht="15" customHeight="1">
      <c r="A379" s="171"/>
      <c r="B379" s="305" t="str">
        <f>AAK379</f>
        <v>SavvySupport reserves venues/equipment for hearings</v>
      </c>
      <c r="C379" s="376" t="s">
        <v>0</v>
      </c>
      <c r="D379" s="380"/>
      <c r="E379" s="342">
        <f>NETWORKDAYS(G379,H379,S.DDL_DEQClosed)</f>
        <v>59</v>
      </c>
      <c r="F379" s="457">
        <f ca="1">IF(YEAR(H379)&gt;2000,NETWORKDAYS(TODAY(),H379,S.DDL_DEQClosed),0)</f>
        <v>29</v>
      </c>
      <c r="G379" s="343">
        <f t="shared" ref="G379:H400" si="305">AAG379</f>
        <v>41572</v>
      </c>
      <c r="H379" s="343">
        <f t="shared" si="305"/>
        <v>41661</v>
      </c>
      <c r="I379" s="244"/>
      <c r="J379" s="194"/>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s="52"/>
      <c r="AAA379" s="192"/>
      <c r="AAB379"/>
      <c r="AAC379"/>
      <c r="AAD379" s="90"/>
      <c r="AAE379" s="519">
        <f>IF(S.Hearing.1stInvolve="Y",1,0)</f>
        <v>1</v>
      </c>
      <c r="AAF379" s="90"/>
      <c r="AAG379" s="73">
        <f t="shared" ref="AAG379" si="306">S.Notice.BANNER.Begin</f>
        <v>41572</v>
      </c>
      <c r="AAH379" s="73">
        <f>S.Notice.LastHearingDate</f>
        <v>41661</v>
      </c>
      <c r="AAI379" s="60"/>
      <c r="AAJ379" s="56"/>
      <c r="AAK379" s="254" t="str">
        <f>S.Staff.Support&amp;" reserves venues/equipment for hearings"</f>
        <v>SavvySupport reserves venues/equipment for hearings</v>
      </c>
      <c r="AAL379" s="90"/>
    </row>
    <row r="380" spans="1:714" s="23" customFormat="1" ht="15.75" customHeight="1">
      <c r="A380" s="171"/>
      <c r="B380" s="486" t="s">
        <v>482</v>
      </c>
      <c r="C380" s="272"/>
      <c r="D380" s="265"/>
      <c r="E380" s="266"/>
      <c r="F380" s="267"/>
      <c r="G380" s="268"/>
      <c r="H380" s="269"/>
      <c r="I380" s="244"/>
      <c r="J380" s="193"/>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s="52"/>
      <c r="AAA380" s="192"/>
      <c r="AAD380" s="90"/>
      <c r="AAE380" s="519">
        <f t="shared" ref="AAE380:AAE385" si="307">IF(AND(S.Hearing.1stInvolve="Y",S.EQC.FacHearing="Y"),1,0)</f>
        <v>0</v>
      </c>
      <c r="AAF380" s="190" t="s">
        <v>52</v>
      </c>
      <c r="AAG380" s="71"/>
      <c r="AAH380" s="71"/>
      <c r="AAI380" s="72"/>
      <c r="AAJ380" s="55"/>
      <c r="AAK380" s="56"/>
      <c r="AAL380" s="90"/>
    </row>
    <row r="381" spans="1:714" s="23" customFormat="1" ht="15.75" customHeight="1">
      <c r="A381" s="171"/>
      <c r="B381" s="440" t="s">
        <v>393</v>
      </c>
      <c r="C381" s="790" t="str">
        <f>HYPERLINK("http://www.oregonlaws.org/ors/192.630","i")</f>
        <v>i</v>
      </c>
      <c r="D381" s="265"/>
      <c r="E381" s="266"/>
      <c r="F381" s="267"/>
      <c r="G381" s="268"/>
      <c r="H381" s="269"/>
      <c r="I381" s="244"/>
      <c r="J381" s="193"/>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s="52"/>
      <c r="AAA381" s="192"/>
      <c r="AAD381" s="90"/>
      <c r="AAE381" s="519">
        <f t="shared" si="307"/>
        <v>0</v>
      </c>
      <c r="AAF381" s="190" t="s">
        <v>52</v>
      </c>
      <c r="AAG381" s="71"/>
      <c r="AAH381" s="71"/>
      <c r="AAI381" s="72"/>
      <c r="AAJ381" s="55"/>
      <c r="AAK381" s="56"/>
      <c r="AAL381" s="90"/>
    </row>
    <row r="382" spans="1:714" s="23" customFormat="1" ht="15" customHeight="1">
      <c r="A382" s="171"/>
      <c r="B382" s="717" t="str">
        <f t="shared" ref="B382:B393" si="308">AAK382</f>
        <v>No EQC facilitated hearing</v>
      </c>
      <c r="C382" s="376" t="s">
        <v>0</v>
      </c>
      <c r="D382" s="380"/>
      <c r="E382"/>
      <c r="F382" s="457">
        <f ca="1">IF(YEAR(H382)&gt;2000,NETWORKDAYS(TODAY(),H382,S.DDL_DEQClosed),0)</f>
        <v>0</v>
      </c>
      <c r="G382"/>
      <c r="H382" s="343">
        <f t="shared" ref="H382:H385" si="309">AAH382</f>
        <v>0</v>
      </c>
      <c r="I382" s="244"/>
      <c r="J382" s="194"/>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s="52"/>
      <c r="AAA382" s="192" t="s">
        <v>0</v>
      </c>
      <c r="AAD382" s="90"/>
      <c r="AAE382" s="519">
        <f t="shared" si="307"/>
        <v>0</v>
      </c>
      <c r="AAF382" s="90"/>
      <c r="AAG382" s="71"/>
      <c r="AAH382" s="73">
        <f>IF(AAE382=0,,S.Notice.LastHearingDate)</f>
        <v>0</v>
      </c>
      <c r="AAI382" s="60"/>
      <c r="AAJ382" s="56"/>
      <c r="AAK382" s="254" t="str">
        <f>IF(S.EQC.FacHearing="N","No EQC facilitated hearing","Identify EQC facilitaed hearing, coordinate with commissioner")</f>
        <v>No EQC facilitated hearing</v>
      </c>
      <c r="AAL382" s="90"/>
    </row>
    <row r="383" spans="1:714" s="23" customFormat="1" ht="15" customHeight="1">
      <c r="A383" s="171"/>
      <c r="B383" s="717" t="str">
        <f t="shared" si="308"/>
        <v>No EQC facilitated hearing</v>
      </c>
      <c r="C383" s="376" t="s">
        <v>0</v>
      </c>
      <c r="D383" s="380"/>
      <c r="E383"/>
      <c r="F383" s="457">
        <f ca="1">IF(YEAR(H383)&gt;2000,NETWORKDAYS(TODAY(),H383,S.DDL_DEQClosed),0)</f>
        <v>0</v>
      </c>
      <c r="G383"/>
      <c r="H383" s="343">
        <f t="shared" si="309"/>
        <v>0</v>
      </c>
      <c r="I383" s="244"/>
      <c r="J383" s="194"/>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s="52"/>
      <c r="AAA383" s="192" t="s">
        <v>0</v>
      </c>
      <c r="AAD383" s="90"/>
      <c r="AAE383" s="519">
        <f t="shared" si="307"/>
        <v>0</v>
      </c>
      <c r="AAF383" s="90"/>
      <c r="AAG383" s="71"/>
      <c r="AAH383" s="73">
        <f>IF(AAE383=0,,S.Notice.LastHearingDate)</f>
        <v>0</v>
      </c>
      <c r="AAI383" s="60"/>
      <c r="AAJ383" s="56"/>
      <c r="AAK383" s="254" t="str">
        <f>IF(S.EQC.FacHearing="N","No EQC facilitated hearing","Identify EQC facilitaed hearing, coordinate with commissioner")</f>
        <v>No EQC facilitated hearing</v>
      </c>
      <c r="AAL383" s="90"/>
    </row>
    <row r="384" spans="1:714" s="23" customFormat="1" ht="15" customHeight="1">
      <c r="A384" s="171"/>
      <c r="B384" s="717" t="str">
        <f t="shared" si="308"/>
        <v>No EQC facilitated hearing</v>
      </c>
      <c r="C384" s="376" t="s">
        <v>0</v>
      </c>
      <c r="D384" s="380"/>
      <c r="E384"/>
      <c r="F384" s="457">
        <f ca="1">IF(YEAR(H384)&gt;2000,NETWORKDAYS(TODAY(),H384,S.DDL_DEQClosed),0)</f>
        <v>0</v>
      </c>
      <c r="G384"/>
      <c r="H384" s="343">
        <f t="shared" si="309"/>
        <v>0</v>
      </c>
      <c r="I384" s="244"/>
      <c r="J384" s="194"/>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s="52"/>
      <c r="AAA384" s="192" t="s">
        <v>0</v>
      </c>
      <c r="AAD384" s="90"/>
      <c r="AAE384" s="519">
        <f t="shared" si="307"/>
        <v>0</v>
      </c>
      <c r="AAF384" s="90"/>
      <c r="AAG384" s="71"/>
      <c r="AAH384" s="73">
        <f>IF(AAE384=0,,S.Notice.LastHearingDate)</f>
        <v>0</v>
      </c>
      <c r="AAI384" s="60"/>
      <c r="AAJ384" s="56"/>
      <c r="AAK384" s="254" t="str">
        <f>IF(S.EQC.FacHearing="N","No EQC facilitated hearing","Identify EQC facilitaed hearing, coordinate with commissioner")</f>
        <v>No EQC facilitated hearing</v>
      </c>
      <c r="AAL384" s="90"/>
    </row>
    <row r="385" spans="1:715" s="23" customFormat="1" ht="15" customHeight="1">
      <c r="A385" s="171"/>
      <c r="B385" s="717" t="str">
        <f t="shared" si="308"/>
        <v>No EQC facilitated hearing</v>
      </c>
      <c r="C385" s="376" t="s">
        <v>0</v>
      </c>
      <c r="D385" s="380"/>
      <c r="E385"/>
      <c r="F385" s="457">
        <f ca="1">IF(YEAR(H385)&gt;2000,NETWORKDAYS(TODAY(),H385,S.DDL_DEQClosed),0)</f>
        <v>0</v>
      </c>
      <c r="G385"/>
      <c r="H385" s="343">
        <f t="shared" si="309"/>
        <v>0</v>
      </c>
      <c r="I385" s="244"/>
      <c r="J385" s="194"/>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s="52"/>
      <c r="AAA385" s="192" t="s">
        <v>0</v>
      </c>
      <c r="AAD385" s="90"/>
      <c r="AAE385" s="519">
        <f t="shared" si="307"/>
        <v>0</v>
      </c>
      <c r="AAF385" s="90"/>
      <c r="AAG385" s="71"/>
      <c r="AAH385" s="73">
        <f>IF(AAE385=0,,S.Notice.LastHearingDate)</f>
        <v>0</v>
      </c>
      <c r="AAI385" s="60"/>
      <c r="AAJ385" s="56"/>
      <c r="AAK385" s="254" t="str">
        <f>IF(S.EQC.FacHearing="N","No EQC facilitated hearing","Identify EQC facilitaed hearing, coordinate with commissioner")</f>
        <v>No EQC facilitated hearing</v>
      </c>
      <c r="AAL385" s="90"/>
    </row>
    <row r="386" spans="1:715" s="23" customFormat="1" ht="15" customHeight="1" outlineLevel="1">
      <c r="A386" s="171"/>
      <c r="B386" s="799" t="s">
        <v>507</v>
      </c>
      <c r="C386" s="376"/>
      <c r="D386"/>
      <c r="E386"/>
      <c r="F386"/>
      <c r="G386"/>
      <c r="H386"/>
      <c r="I386" s="244"/>
      <c r="J386" s="194"/>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ZZ386" s="52"/>
      <c r="AAA386" s="192"/>
      <c r="AAD386" s="90"/>
      <c r="AAE386" s="519">
        <f t="shared" ref="AAE386:AAE390" si="310">IF(S.Notice.Involved="Y",1,0)</f>
        <v>1</v>
      </c>
      <c r="AAF386" s="190" t="s">
        <v>52</v>
      </c>
      <c r="AAG386" s="94"/>
      <c r="AAH386" s="94"/>
      <c r="AAI386" s="72"/>
      <c r="AAJ386" s="56"/>
      <c r="AAK386" s="56"/>
      <c r="AAL386" s="90"/>
    </row>
    <row r="387" spans="1:715" s="23" customFormat="1" ht="15" customHeight="1" outlineLevel="1">
      <c r="A387" s="171"/>
      <c r="B387" s="800" t="s">
        <v>508</v>
      </c>
      <c r="C387" s="376"/>
      <c r="D387"/>
      <c r="E387"/>
      <c r="F387"/>
      <c r="G387"/>
      <c r="H387"/>
      <c r="I387" s="244"/>
      <c r="J387" s="194"/>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ZZ387" s="52"/>
      <c r="AAA387" s="192"/>
      <c r="AAD387" s="90"/>
      <c r="AAE387" s="519">
        <f t="shared" si="310"/>
        <v>1</v>
      </c>
      <c r="AAF387" s="190" t="s">
        <v>52</v>
      </c>
      <c r="AAG387" s="94"/>
      <c r="AAH387" s="94"/>
      <c r="AAI387" s="72"/>
      <c r="AAJ387" s="56"/>
      <c r="AAK387" s="56"/>
      <c r="AAL387" s="90"/>
    </row>
    <row r="388" spans="1:715" s="23" customFormat="1" ht="15" customHeight="1" outlineLevel="1">
      <c r="A388" s="171"/>
      <c r="B388" s="799" t="s">
        <v>509</v>
      </c>
      <c r="C388" s="376"/>
      <c r="D388"/>
      <c r="E388"/>
      <c r="F388"/>
      <c r="G388"/>
      <c r="H388"/>
      <c r="I388" s="244"/>
      <c r="J388" s="194"/>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ZZ388" s="52"/>
      <c r="AAA388" s="192"/>
      <c r="AAD388" s="90"/>
      <c r="AAE388" s="519">
        <f t="shared" si="310"/>
        <v>1</v>
      </c>
      <c r="AAF388" s="190" t="s">
        <v>52</v>
      </c>
      <c r="AAG388" s="94"/>
      <c r="AAH388" s="94"/>
      <c r="AAI388" s="72"/>
      <c r="AAJ388" s="56"/>
      <c r="AAK388" s="56"/>
      <c r="AAL388" s="90"/>
    </row>
    <row r="389" spans="1:715" s="23" customFormat="1" ht="15" customHeight="1" outlineLevel="1">
      <c r="A389" s="171"/>
      <c r="B389" s="799" t="s">
        <v>510</v>
      </c>
      <c r="C389" s="376"/>
      <c r="D389"/>
      <c r="E389"/>
      <c r="F389"/>
      <c r="G389"/>
      <c r="H389"/>
      <c r="I389" s="244"/>
      <c r="J389" s="194"/>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ZZ389" s="52"/>
      <c r="AAA389" s="192"/>
      <c r="AAD389" s="90"/>
      <c r="AAE389" s="519">
        <f t="shared" si="310"/>
        <v>1</v>
      </c>
      <c r="AAF389" s="190" t="s">
        <v>52</v>
      </c>
      <c r="AAG389" s="94"/>
      <c r="AAH389" s="94"/>
      <c r="AAI389" s="72"/>
      <c r="AAJ389" s="56"/>
      <c r="AAK389" s="56"/>
      <c r="AAL389" s="90"/>
    </row>
    <row r="390" spans="1:715" s="23" customFormat="1" ht="15" customHeight="1" outlineLevel="1">
      <c r="A390" s="171"/>
      <c r="B390" s="801" t="s">
        <v>511</v>
      </c>
      <c r="C390" s="376"/>
      <c r="D390"/>
      <c r="E390"/>
      <c r="F390"/>
      <c r="G390"/>
      <c r="H390"/>
      <c r="I390" s="244"/>
      <c r="J390" s="194"/>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ZZ390" s="52"/>
      <c r="AAA390" s="192"/>
      <c r="AAD390" s="90"/>
      <c r="AAE390" s="519">
        <f t="shared" si="310"/>
        <v>1</v>
      </c>
      <c r="AAF390" s="190" t="s">
        <v>52</v>
      </c>
      <c r="AAG390" s="94"/>
      <c r="AAH390" s="94"/>
      <c r="AAI390" s="72"/>
      <c r="AAJ390" s="56"/>
      <c r="AAK390" s="56"/>
      <c r="AAL390" s="90"/>
    </row>
    <row r="391" spans="1:715" ht="15" customHeight="1" outlineLevel="1">
      <c r="A391" s="171"/>
      <c r="B391" s="305" t="str">
        <f t="shared" si="308"/>
        <v>AndreaRW coordinates/drafts Notice Packet that includes:</v>
      </c>
      <c r="C391" s="376" t="s">
        <v>0</v>
      </c>
      <c r="D391" s="380"/>
      <c r="E391" s="342">
        <f>NETWORKDAYS(G391,H391,S.DDL_DEQClosed)</f>
        <v>29700</v>
      </c>
      <c r="F391" s="457">
        <f t="shared" ref="F391:F450" ca="1" si="311">IF(YEAR(H391)&gt;2000,NETWORKDAYS(TODAY(),H391,S.DDL_DEQClosed),0)</f>
        <v>-17</v>
      </c>
      <c r="G391" s="343">
        <f t="shared" si="305"/>
        <v>0</v>
      </c>
      <c r="H391" s="343">
        <f>AAH391</f>
        <v>41593</v>
      </c>
      <c r="I391" s="244"/>
      <c r="J391" s="194"/>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AAA391" s="192"/>
      <c r="AAD391" s="90"/>
      <c r="AAE391" s="519">
        <f t="shared" ref="AAE391:AAE397" si="312">IF(S.Notice.Involved="Y",1,0)</f>
        <v>1</v>
      </c>
      <c r="AAF391" s="90"/>
      <c r="AAG391" s="73">
        <f>IF(AAE$382=0,,S.Notice.BANNER.Begin)</f>
        <v>0</v>
      </c>
      <c r="AAH391" s="73">
        <f>IF(AAE391=0,,WORKDAY(S.Notice.PreviewBegin-1,-1,S.DDL_DEQClosed))</f>
        <v>41593</v>
      </c>
      <c r="AAI391" s="60"/>
      <c r="AAJ391" s="56"/>
      <c r="AAK391" s="254" t="str">
        <f>S.Staff.Lead&amp;" coordinates/drafts Notice Packet that includes:"</f>
        <v>AndreaRW coordinates/drafts Notice Packet that includes:</v>
      </c>
      <c r="AAL391" s="90"/>
      <c r="AAM391"/>
    </row>
    <row r="392" spans="1:715" ht="15" customHeight="1" outlineLevel="1">
      <c r="A392" s="171"/>
      <c r="B392" s="304" t="str">
        <f t="shared" si="308"/>
        <v>a. LRAPAINVITATION.TO.COMMENT preloaded in SharePoint folder 4</v>
      </c>
      <c r="C392"/>
      <c r="D392" s="380"/>
      <c r="E392" s="342">
        <f t="shared" ref="E392:E399" si="313">NETWORKDAYS(G392,H392,S.DDL_DEQClosed)</f>
        <v>29700</v>
      </c>
      <c r="F392" s="457">
        <f t="shared" ca="1" si="311"/>
        <v>-17</v>
      </c>
      <c r="G392" s="343">
        <f t="shared" si="305"/>
        <v>0</v>
      </c>
      <c r="H392" s="343">
        <f t="shared" ref="H392:H450" si="314">AAH392</f>
        <v>41593</v>
      </c>
      <c r="I392" s="244"/>
      <c r="J392" s="194"/>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AAA392" s="192"/>
      <c r="AAD392" s="90"/>
      <c r="AAE392" s="519">
        <f t="shared" si="312"/>
        <v>1</v>
      </c>
      <c r="AAF392" s="90"/>
      <c r="AAG392" s="73">
        <f>IF(AAE$382=0,,S.Notice.BANNER.Begin)</f>
        <v>0</v>
      </c>
      <c r="AAH392" s="73">
        <f>IF(AAE392=0,,WORKDAY(S.Notice.PreviewBegin-1,-1,S.DDL_DEQClosed))</f>
        <v>41593</v>
      </c>
      <c r="AAI392" s="72"/>
      <c r="AAJ392" s="72"/>
      <c r="AAK392" s="80" t="str">
        <f>"a. "&amp;S.General.CodeName&amp;"INVITATION.TO.COMMENT preloaded in SharePoint folder 4"</f>
        <v>a. LRAPAINVITATION.TO.COMMENT preloaded in SharePoint folder 4</v>
      </c>
      <c r="AAL392" s="90"/>
      <c r="AAM392"/>
    </row>
    <row r="393" spans="1:715" ht="15" customHeight="1" outlineLevel="1">
      <c r="A393" s="171"/>
      <c r="B393" s="304" t="str">
        <f t="shared" si="308"/>
        <v>b. LRAPAPROPOSED.RULES</v>
      </c>
      <c r="C393" s="376" t="s">
        <v>0</v>
      </c>
      <c r="D393" s="381"/>
      <c r="E393" s="342">
        <f t="shared" si="313"/>
        <v>29700</v>
      </c>
      <c r="F393" s="457">
        <f t="shared" ca="1" si="311"/>
        <v>-17</v>
      </c>
      <c r="G393" s="343">
        <f t="shared" si="305"/>
        <v>0</v>
      </c>
      <c r="H393" s="343">
        <f t="shared" si="314"/>
        <v>41593</v>
      </c>
      <c r="I393" s="244"/>
      <c r="J393" s="194"/>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AAA393" s="192"/>
      <c r="AAD393" s="90"/>
      <c r="AAE393" s="519">
        <f t="shared" si="312"/>
        <v>1</v>
      </c>
      <c r="AAF393" s="90"/>
      <c r="AAG393" s="73">
        <f>IF(AAE$382=0,,S.Notice.BANNER.Begin)</f>
        <v>0</v>
      </c>
      <c r="AAH393" s="73">
        <f>IF(AAE393=0,,WORKDAY(S.Notice.PreviewBegin-1,-1,S.DDL_DEQClosed))</f>
        <v>41593</v>
      </c>
      <c r="AAI393" s="72"/>
      <c r="AAJ393" s="72"/>
      <c r="AAK393" s="80" t="str">
        <f>"b. "&amp;S.General.CodeName&amp;"PROPOSED.RULES"</f>
        <v>b. LRAPAPROPOSED.RULES</v>
      </c>
      <c r="AAL393" s="90"/>
      <c r="AAM393"/>
    </row>
    <row r="394" spans="1:715" s="23" customFormat="1" ht="15" customHeight="1" outlineLevel="1">
      <c r="A394" s="171"/>
      <c r="B394" s="483" t="str">
        <f t="shared" ref="B394" si="315">AAK394</f>
        <v>AndreaRW verifies:</v>
      </c>
      <c r="C394" s="362"/>
      <c r="D394" s="362"/>
      <c r="E394" s="350"/>
      <c r="F394" s="350"/>
      <c r="G394" s="346"/>
      <c r="H394" s="346"/>
      <c r="I394" s="244"/>
      <c r="J394" s="194"/>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s="52"/>
      <c r="AAA394" s="192"/>
      <c r="AAD394" s="90"/>
      <c r="AAE394" s="519">
        <f t="shared" si="312"/>
        <v>1</v>
      </c>
      <c r="AAF394" s="190" t="s">
        <v>52</v>
      </c>
      <c r="AAG394" s="71"/>
      <c r="AAH394" s="71"/>
      <c r="AAI394" s="71"/>
      <c r="AAJ394" s="56"/>
      <c r="AAK394" s="254" t="str">
        <f>S.Staff.Lead&amp;" verifies:"</f>
        <v>AndreaRW verifies:</v>
      </c>
      <c r="AAL394" s="90"/>
    </row>
    <row r="395" spans="1:715" s="23" customFormat="1" ht="15" customHeight="1" outlineLevel="1">
      <c r="A395" s="171"/>
      <c r="B395" s="656" t="s">
        <v>494</v>
      </c>
      <c r="C395" s="790" t="str">
        <f>HYPERLINK("http://arcweb.sos.state.or.us/pages/rules/oars_300/oar_340/340_tofc.html","i")</f>
        <v>i</v>
      </c>
      <c r="D395" s="380"/>
      <c r="E395" s="342">
        <f t="shared" si="313"/>
        <v>29700</v>
      </c>
      <c r="F395" s="457">
        <f t="shared" ca="1" si="311"/>
        <v>-17</v>
      </c>
      <c r="G395" s="343">
        <f t="shared" si="305"/>
        <v>0</v>
      </c>
      <c r="H395" s="343">
        <f t="shared" si="314"/>
        <v>41593</v>
      </c>
      <c r="I395" s="244"/>
      <c r="J395" s="194"/>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s="52"/>
      <c r="AAA395" s="192"/>
      <c r="AAB395"/>
      <c r="AAC395"/>
      <c r="AAD395" s="90"/>
      <c r="AAE395" s="519">
        <f t="shared" si="312"/>
        <v>1</v>
      </c>
      <c r="AAF395" s="90"/>
      <c r="AAG395" s="73">
        <f t="shared" ref="AAG395:AAG408" si="316">IF(AAE$382=0,,S.Notice.BANNER.Begin)</f>
        <v>0</v>
      </c>
      <c r="AAH395" s="73">
        <f t="shared" ref="AAH395:AAH408" si="317">IF(AAE395=0,,WORKDAY(S.Notice.PreviewBegin-1,-1,S.DDL_DEQClosed))</f>
        <v>41593</v>
      </c>
      <c r="AAI395" s="72"/>
      <c r="AAJ395" s="72"/>
      <c r="AAK395" s="56"/>
      <c r="AAL395" s="90"/>
    </row>
    <row r="396" spans="1:715" s="23" customFormat="1" ht="15" customHeight="1" outlineLevel="1">
      <c r="A396" s="171"/>
      <c r="B396" s="290" t="s">
        <v>325</v>
      </c>
      <c r="C396"/>
      <c r="D396" s="380"/>
      <c r="E396" s="342">
        <f t="shared" ref="E396" si="318">NETWORKDAYS(G396,H396,S.DDL_DEQClosed)</f>
        <v>29700</v>
      </c>
      <c r="F396" s="457">
        <f t="shared" ref="F396" ca="1" si="319">IF(YEAR(H396)&gt;2000,NETWORKDAYS(TODAY(),H396,S.DDL_DEQClosed),0)</f>
        <v>-17</v>
      </c>
      <c r="G396" s="343">
        <f t="shared" ref="G396" si="320">AAG396</f>
        <v>0</v>
      </c>
      <c r="H396" s="343">
        <f t="shared" ref="H396" si="321">AAH396</f>
        <v>41593</v>
      </c>
      <c r="I396" s="244"/>
      <c r="J396" s="194"/>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s="52"/>
      <c r="AAA396" s="192"/>
      <c r="AAD396" s="90"/>
      <c r="AAE396" s="519">
        <f t="shared" si="312"/>
        <v>1</v>
      </c>
      <c r="AAF396" s="90"/>
      <c r="AAG396" s="73">
        <f t="shared" si="316"/>
        <v>0</v>
      </c>
      <c r="AAH396" s="73">
        <f t="shared" si="317"/>
        <v>41593</v>
      </c>
      <c r="AAI396" s="72"/>
      <c r="AAJ396" s="72"/>
      <c r="AAK396" s="56"/>
      <c r="AAL396" s="90"/>
    </row>
    <row r="397" spans="1:715" s="23" customFormat="1" ht="15" customHeight="1" outlineLevel="1">
      <c r="A397" s="171"/>
      <c r="B397" s="656" t="s">
        <v>305</v>
      </c>
      <c r="C397"/>
      <c r="D397" s="380"/>
      <c r="E397" s="342">
        <f t="shared" ref="E397" si="322">NETWORKDAYS(G397,H397,S.DDL_DEQClosed)</f>
        <v>29700</v>
      </c>
      <c r="F397" s="457">
        <f t="shared" ref="F397" ca="1" si="323">IF(YEAR(H397)&gt;2000,NETWORKDAYS(TODAY(),H397,S.DDL_DEQClosed),0)</f>
        <v>-17</v>
      </c>
      <c r="G397" s="343">
        <f t="shared" ref="G397" si="324">AAG397</f>
        <v>0</v>
      </c>
      <c r="H397" s="343">
        <f t="shared" ref="H397" si="325">AAH397</f>
        <v>41593</v>
      </c>
      <c r="I397" s="244"/>
      <c r="J397" s="194"/>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s="52"/>
      <c r="AAA397" s="192"/>
      <c r="AAD397" s="90"/>
      <c r="AAE397" s="519">
        <f t="shared" si="312"/>
        <v>1</v>
      </c>
      <c r="AAF397" s="90"/>
      <c r="AAG397" s="73">
        <f t="shared" si="316"/>
        <v>0</v>
      </c>
      <c r="AAH397" s="73">
        <f t="shared" si="317"/>
        <v>41593</v>
      </c>
      <c r="AAI397" s="72"/>
      <c r="AAJ397" s="72"/>
      <c r="AAK397" s="56"/>
      <c r="AAL397" s="90"/>
    </row>
    <row r="398" spans="1:715" s="23" customFormat="1" ht="15" customHeight="1" outlineLevel="1">
      <c r="A398" s="171"/>
      <c r="B398" s="656" t="str">
        <f>AAK398</f>
        <v>- SIP note is at bottom of all SIP rules</v>
      </c>
      <c r="D398" s="380"/>
      <c r="E398" s="342">
        <f t="shared" ref="E398" si="326">NETWORKDAYS(G398,H398,S.DDL_DEQClosed)</f>
        <v>29700</v>
      </c>
      <c r="F398" s="457">
        <f t="shared" ref="F398" ca="1" si="327">IF(YEAR(H398)&gt;2000,NETWORKDAYS(TODAY(),H398,S.DDL_DEQClosed),0)</f>
        <v>-17</v>
      </c>
      <c r="G398" s="343">
        <f t="shared" ref="G398" si="328">AAG398</f>
        <v>0</v>
      </c>
      <c r="H398" s="343">
        <f t="shared" ref="H398" si="329">AAH398</f>
        <v>41593</v>
      </c>
      <c r="I398" s="244" t="s">
        <v>0</v>
      </c>
      <c r="J398" s="194"/>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s="52"/>
      <c r="AAA398" s="192"/>
      <c r="AAD398" s="90"/>
      <c r="AAE398" s="519">
        <f>IF(AND(S.SIP.Involved="Y",S.Notice.Involved="Y"),1,0)</f>
        <v>1</v>
      </c>
      <c r="AAF398" s="90"/>
      <c r="AAG398" s="73">
        <f t="shared" si="316"/>
        <v>0</v>
      </c>
      <c r="AAH398" s="73">
        <f t="shared" si="317"/>
        <v>41593</v>
      </c>
      <c r="AAI398" s="72"/>
      <c r="AAJ398" s="72"/>
      <c r="AAK398" s="254" t="str">
        <f>IF(S.SIP.Involved="Y","- SIP note is at bottom of all SIP rules","* SIP rules are not involved")</f>
        <v>- SIP note is at bottom of all SIP rules</v>
      </c>
      <c r="AAL398" s="90"/>
    </row>
    <row r="399" spans="1:715" ht="15" customHeight="1" outlineLevel="1">
      <c r="A399" s="171"/>
      <c r="B399" s="413" t="s">
        <v>289</v>
      </c>
      <c r="C399"/>
      <c r="D399" s="380"/>
      <c r="E399" s="342">
        <f t="shared" si="313"/>
        <v>29700</v>
      </c>
      <c r="F399" s="457">
        <f t="shared" ca="1" si="311"/>
        <v>-17</v>
      </c>
      <c r="G399" s="343">
        <f t="shared" si="305"/>
        <v>0</v>
      </c>
      <c r="H399" s="343">
        <f t="shared" si="314"/>
        <v>41593</v>
      </c>
      <c r="I399" s="244"/>
      <c r="J399" s="194"/>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AAA399" s="192"/>
      <c r="AAD399" s="90"/>
      <c r="AAE399" s="519">
        <f t="shared" ref="AAE399:AAE405" si="330">IF(S.Notice.Involved="Y",1,0)</f>
        <v>1</v>
      </c>
      <c r="AAF399" s="90"/>
      <c r="AAG399" s="73">
        <f t="shared" si="316"/>
        <v>0</v>
      </c>
      <c r="AAH399" s="73">
        <f t="shared" si="317"/>
        <v>41593</v>
      </c>
      <c r="AAI399" s="72"/>
      <c r="AAJ399" s="72"/>
      <c r="AAK399" s="56"/>
      <c r="AAL399" s="90"/>
      <c r="AAM399"/>
    </row>
    <row r="400" spans="1:715" s="23" customFormat="1" ht="15" customHeight="1" outlineLevel="1">
      <c r="A400" s="171"/>
      <c r="B400" s="631" t="s">
        <v>268</v>
      </c>
      <c r="C400" s="364" t="s">
        <v>0</v>
      </c>
      <c r="D400" s="382"/>
      <c r="E400" s="342">
        <f t="shared" ref="E400" si="331">NETWORKDAYS(G400,H400,S.DDL_DEQClosed)</f>
        <v>29700</v>
      </c>
      <c r="F400" s="457">
        <f t="shared" ca="1" si="311"/>
        <v>-17</v>
      </c>
      <c r="G400" s="343">
        <f t="shared" si="305"/>
        <v>0</v>
      </c>
      <c r="H400" s="343">
        <f t="shared" si="314"/>
        <v>41593</v>
      </c>
      <c r="I400" s="244"/>
      <c r="J400" s="194"/>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s="52"/>
      <c r="AAA400" s="192"/>
      <c r="AAD400" s="90"/>
      <c r="AAE400" s="519">
        <f t="shared" si="330"/>
        <v>1</v>
      </c>
      <c r="AAF400" s="90"/>
      <c r="AAG400" s="73">
        <f t="shared" si="316"/>
        <v>0</v>
      </c>
      <c r="AAH400" s="73">
        <f t="shared" si="317"/>
        <v>41593</v>
      </c>
      <c r="AAI400" s="72"/>
      <c r="AAJ400" s="72"/>
      <c r="AAK400" s="56"/>
      <c r="AAL400" s="90"/>
    </row>
    <row r="401" spans="1:715" s="23" customFormat="1" ht="15" customHeight="1" outlineLevel="1">
      <c r="A401" s="171"/>
      <c r="B401" s="631" t="s">
        <v>267</v>
      </c>
      <c r="C401" s="364" t="s">
        <v>0</v>
      </c>
      <c r="D401" s="382"/>
      <c r="E401" s="342">
        <f t="shared" ref="E401:E402" si="332">NETWORKDAYS(G401,H401,S.DDL_DEQClosed)</f>
        <v>29700</v>
      </c>
      <c r="F401" s="457">
        <f t="shared" ca="1" si="311"/>
        <v>-17</v>
      </c>
      <c r="G401" s="343">
        <f t="shared" ref="G401:G466" si="333">AAG401</f>
        <v>0</v>
      </c>
      <c r="H401" s="343">
        <f t="shared" si="314"/>
        <v>41593</v>
      </c>
      <c r="I401" s="244"/>
      <c r="J401" s="194"/>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s="52"/>
      <c r="AAA401" s="192"/>
      <c r="AAD401" s="90"/>
      <c r="AAE401" s="519">
        <f t="shared" si="330"/>
        <v>1</v>
      </c>
      <c r="AAF401" s="90"/>
      <c r="AAG401" s="73">
        <f t="shared" si="316"/>
        <v>0</v>
      </c>
      <c r="AAH401" s="73">
        <f t="shared" si="317"/>
        <v>41593</v>
      </c>
      <c r="AAI401" s="72"/>
      <c r="AAJ401" s="72"/>
      <c r="AAK401" s="56"/>
      <c r="AAL401" s="90"/>
    </row>
    <row r="402" spans="1:715" s="23" customFormat="1" ht="15" customHeight="1" outlineLevel="1">
      <c r="A402" s="171"/>
      <c r="B402" s="631" t="s">
        <v>269</v>
      </c>
      <c r="C402" s="364" t="s">
        <v>0</v>
      </c>
      <c r="D402" s="382"/>
      <c r="E402" s="342">
        <f t="shared" si="332"/>
        <v>29700</v>
      </c>
      <c r="F402" s="457">
        <f t="shared" ca="1" si="311"/>
        <v>-17</v>
      </c>
      <c r="G402" s="343">
        <f t="shared" si="333"/>
        <v>0</v>
      </c>
      <c r="H402" s="343">
        <f t="shared" si="314"/>
        <v>41593</v>
      </c>
      <c r="I402" s="244"/>
      <c r="J402" s="194"/>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s="52"/>
      <c r="AAA402" s="192"/>
      <c r="AAD402" s="90"/>
      <c r="AAE402" s="519">
        <f t="shared" si="330"/>
        <v>1</v>
      </c>
      <c r="AAF402" s="90"/>
      <c r="AAG402" s="73">
        <f t="shared" si="316"/>
        <v>0</v>
      </c>
      <c r="AAH402" s="73">
        <f t="shared" si="317"/>
        <v>41593</v>
      </c>
      <c r="AAI402" s="72"/>
      <c r="AAJ402" s="72"/>
      <c r="AAK402" s="56"/>
      <c r="AAL402" s="90"/>
    </row>
    <row r="403" spans="1:715" s="23" customFormat="1" ht="15" customHeight="1" outlineLevel="1">
      <c r="A403" s="171"/>
      <c r="B403" s="631" t="s">
        <v>270</v>
      </c>
      <c r="C403" s="364" t="s">
        <v>0</v>
      </c>
      <c r="D403" s="382"/>
      <c r="E403" s="342">
        <f t="shared" ref="E403:E404" si="334">NETWORKDAYS(G403,H403,S.DDL_DEQClosed)</f>
        <v>29700</v>
      </c>
      <c r="F403" s="457">
        <f t="shared" ca="1" si="311"/>
        <v>-17</v>
      </c>
      <c r="G403" s="343">
        <f t="shared" si="333"/>
        <v>0</v>
      </c>
      <c r="H403" s="343">
        <f t="shared" si="314"/>
        <v>41593</v>
      </c>
      <c r="I403" s="244"/>
      <c r="J403" s="194"/>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s="52"/>
      <c r="AAA403" s="192"/>
      <c r="AAD403" s="90"/>
      <c r="AAE403" s="519">
        <f t="shared" si="330"/>
        <v>1</v>
      </c>
      <c r="AAF403" s="90"/>
      <c r="AAG403" s="73">
        <f t="shared" si="316"/>
        <v>0</v>
      </c>
      <c r="AAH403" s="73">
        <f t="shared" si="317"/>
        <v>41593</v>
      </c>
      <c r="AAI403" s="72"/>
      <c r="AAJ403" s="72"/>
      <c r="AAK403" s="56"/>
      <c r="AAL403" s="90"/>
    </row>
    <row r="404" spans="1:715" s="23" customFormat="1" ht="15" customHeight="1" outlineLevel="1">
      <c r="A404" s="171"/>
      <c r="B404" s="631" t="s">
        <v>271</v>
      </c>
      <c r="C404" s="364" t="s">
        <v>0</v>
      </c>
      <c r="D404" s="382"/>
      <c r="E404" s="342">
        <f t="shared" si="334"/>
        <v>29700</v>
      </c>
      <c r="F404" s="457">
        <f t="shared" ca="1" si="311"/>
        <v>-17</v>
      </c>
      <c r="G404" s="343">
        <f t="shared" si="333"/>
        <v>0</v>
      </c>
      <c r="H404" s="343">
        <f t="shared" si="314"/>
        <v>41593</v>
      </c>
      <c r="I404" s="244"/>
      <c r="J404" s="194"/>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s="52"/>
      <c r="AAA404" s="192"/>
      <c r="AAD404" s="90"/>
      <c r="AAE404" s="519">
        <f t="shared" si="330"/>
        <v>1</v>
      </c>
      <c r="AAF404" s="90"/>
      <c r="AAG404" s="73">
        <f t="shared" si="316"/>
        <v>0</v>
      </c>
      <c r="AAH404" s="73">
        <f t="shared" si="317"/>
        <v>41593</v>
      </c>
      <c r="AAI404" s="72"/>
      <c r="AAJ404" s="72"/>
      <c r="AAK404" s="56"/>
      <c r="AAL404" s="90"/>
    </row>
    <row r="405" spans="1:715" s="23" customFormat="1" ht="15" customHeight="1" outlineLevel="1">
      <c r="A405" s="171"/>
      <c r="B405" s="631" t="s">
        <v>272</v>
      </c>
      <c r="C405" s="364" t="s">
        <v>0</v>
      </c>
      <c r="D405" s="382"/>
      <c r="E405" s="342">
        <f t="shared" ref="E405:E406" si="335">NETWORKDAYS(G405,H405,S.DDL_DEQClosed)</f>
        <v>29700</v>
      </c>
      <c r="F405" s="457">
        <f t="shared" ca="1" si="311"/>
        <v>-17</v>
      </c>
      <c r="G405" s="343">
        <f t="shared" si="333"/>
        <v>0</v>
      </c>
      <c r="H405" s="343">
        <f t="shared" si="314"/>
        <v>41593</v>
      </c>
      <c r="I405" s="244"/>
      <c r="J405" s="194"/>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s="52"/>
      <c r="AAA405" s="192"/>
      <c r="AAD405" s="90"/>
      <c r="AAE405" s="519">
        <f t="shared" si="330"/>
        <v>1</v>
      </c>
      <c r="AAF405" s="90"/>
      <c r="AAG405" s="73">
        <f t="shared" si="316"/>
        <v>0</v>
      </c>
      <c r="AAH405" s="73">
        <f t="shared" si="317"/>
        <v>41593</v>
      </c>
      <c r="AAI405" s="72"/>
      <c r="AAJ405" s="72"/>
      <c r="AAK405" s="56"/>
      <c r="AAL405" s="90"/>
    </row>
    <row r="406" spans="1:715" s="23" customFormat="1" ht="15" customHeight="1" outlineLevel="1">
      <c r="A406" s="171"/>
      <c r="B406" s="632" t="s">
        <v>288</v>
      </c>
      <c r="C406" s="364" t="s">
        <v>0</v>
      </c>
      <c r="D406" s="382"/>
      <c r="E406" s="342">
        <f t="shared" si="335"/>
        <v>0</v>
      </c>
      <c r="F406" s="457">
        <f t="shared" ca="1" si="311"/>
        <v>0</v>
      </c>
      <c r="G406" s="343">
        <f t="shared" si="333"/>
        <v>0</v>
      </c>
      <c r="H406" s="343">
        <f t="shared" si="314"/>
        <v>0</v>
      </c>
      <c r="I406" s="244"/>
      <c r="J406" s="194"/>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s="52"/>
      <c r="AAA406" s="192"/>
      <c r="AAD406" s="90"/>
      <c r="AAE406" s="519">
        <f>IF(S.Fee.Involved="Y",1,0)</f>
        <v>0</v>
      </c>
      <c r="AAF406" s="90"/>
      <c r="AAG406" s="73">
        <f t="shared" si="316"/>
        <v>0</v>
      </c>
      <c r="AAH406" s="73">
        <f t="shared" si="317"/>
        <v>0</v>
      </c>
      <c r="AAI406" s="72"/>
      <c r="AAJ406" s="72"/>
      <c r="AAK406" s="56"/>
      <c r="AAL406" s="90"/>
    </row>
    <row r="407" spans="1:715" s="23" customFormat="1" ht="15" customHeight="1" outlineLevel="1">
      <c r="A407" s="171"/>
      <c r="B407" s="631" t="s">
        <v>273</v>
      </c>
      <c r="C407" s="364" t="s">
        <v>0</v>
      </c>
      <c r="D407" s="382"/>
      <c r="E407" s="342">
        <f t="shared" ref="E407" si="336">NETWORKDAYS(G407,H407,S.DDL_DEQClosed)</f>
        <v>29700</v>
      </c>
      <c r="F407" s="457">
        <f t="shared" ca="1" si="311"/>
        <v>-17</v>
      </c>
      <c r="G407" s="343">
        <f t="shared" si="333"/>
        <v>0</v>
      </c>
      <c r="H407" s="343">
        <f t="shared" si="314"/>
        <v>41593</v>
      </c>
      <c r="I407" s="244"/>
      <c r="J407" s="194"/>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s="52"/>
      <c r="AAA407" s="192"/>
      <c r="AAD407" s="90"/>
      <c r="AAE407" s="519">
        <f t="shared" ref="AAE407:AAE413" si="337">IF(S.Notice.Involved="Y",1,0)</f>
        <v>1</v>
      </c>
      <c r="AAF407" s="90"/>
      <c r="AAG407" s="73">
        <f t="shared" si="316"/>
        <v>0</v>
      </c>
      <c r="AAH407" s="73">
        <f t="shared" si="317"/>
        <v>41593</v>
      </c>
      <c r="AAI407" s="72"/>
      <c r="AAJ407" s="72"/>
      <c r="AAK407" s="56"/>
      <c r="AAL407" s="90"/>
    </row>
    <row r="408" spans="1:715" ht="15" customHeight="1" outlineLevel="1">
      <c r="A408" s="171"/>
      <c r="B408" s="304" t="s">
        <v>274</v>
      </c>
      <c r="C408" s="376" t="s">
        <v>0</v>
      </c>
      <c r="D408" s="382"/>
      <c r="E408" s="342">
        <f>NETWORKDAYS(G408,H408,S.DDL_DEQClosed)</f>
        <v>29700</v>
      </c>
      <c r="F408" s="457">
        <f t="shared" ca="1" si="311"/>
        <v>-17</v>
      </c>
      <c r="G408" s="343">
        <f t="shared" si="333"/>
        <v>0</v>
      </c>
      <c r="H408" s="343">
        <f t="shared" si="314"/>
        <v>41593</v>
      </c>
      <c r="I408" s="244"/>
      <c r="J408" s="194"/>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AAA408" s="192"/>
      <c r="AAD408" s="90"/>
      <c r="AAE408" s="519">
        <f t="shared" si="337"/>
        <v>1</v>
      </c>
      <c r="AAF408" s="90"/>
      <c r="AAG408" s="73">
        <f t="shared" si="316"/>
        <v>0</v>
      </c>
      <c r="AAH408" s="73">
        <f t="shared" si="317"/>
        <v>41593</v>
      </c>
      <c r="AAI408" s="72"/>
      <c r="AAJ408" s="72"/>
      <c r="AAK408" s="56"/>
      <c r="AAL408" s="90"/>
      <c r="AAM408"/>
    </row>
    <row r="409" spans="1:715" s="23" customFormat="1" ht="15" customHeight="1" outlineLevel="1">
      <c r="A409" s="171"/>
      <c r="B409" s="361" t="str">
        <f>AAK409</f>
        <v>AndreaRW:</v>
      </c>
      <c r="C409" s="362"/>
      <c r="D409" s="362"/>
      <c r="E409" s="350"/>
      <c r="F409" s="350"/>
      <c r="G409" s="346"/>
      <c r="H409" s="346"/>
      <c r="I409" s="244"/>
      <c r="J409" s="194"/>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s="52"/>
      <c r="AAA409" s="192"/>
      <c r="AAD409" s="90"/>
      <c r="AAE409" s="519">
        <f t="shared" si="337"/>
        <v>1</v>
      </c>
      <c r="AAF409" s="190" t="s">
        <v>52</v>
      </c>
      <c r="AAG409" s="71"/>
      <c r="AAH409" s="71"/>
      <c r="AAI409" s="71"/>
      <c r="AAJ409" s="56"/>
      <c r="AAK409" s="254" t="str">
        <f>S.Staff.Lead&amp;":"</f>
        <v>AndreaRW:</v>
      </c>
      <c r="AAL409" s="90"/>
    </row>
    <row r="410" spans="1:715" s="23" customFormat="1" ht="15" customHeight="1" outlineLevel="1">
      <c r="A410" s="171"/>
      <c r="B410" s="441" t="str">
        <f>AAK410</f>
        <v>* asks Carol to schedule future meetings:</v>
      </c>
      <c r="C410" s="364" t="s">
        <v>0</v>
      </c>
      <c r="D410" s="52"/>
      <c r="E410" s="52"/>
      <c r="F410" s="52"/>
      <c r="G410" s="699"/>
      <c r="H410" s="343">
        <f t="shared" ref="H410:H412" si="338">AAH410</f>
        <v>41533</v>
      </c>
      <c r="I410" s="244"/>
      <c r="J410" s="194"/>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s="52"/>
      <c r="AAA410" s="192" t="s">
        <v>0</v>
      </c>
      <c r="AAD410" s="90"/>
      <c r="AAE410" s="519">
        <f t="shared" si="337"/>
        <v>1</v>
      </c>
      <c r="AAF410" s="90"/>
      <c r="AAG410" s="71"/>
      <c r="AAH410" s="73">
        <f>IF(AAE410=0,,WORKDAY(S.Notice.DABriefing-59,-1,S.DDL_DEQClosed))</f>
        <v>41533</v>
      </c>
      <c r="AAI410" s="72"/>
      <c r="AAJ410" s="72"/>
      <c r="AAK410" s="254" t="str">
        <f>"* asks "&amp;S.Staff.AssistDA&amp;" to schedule future meetings:"</f>
        <v>* asks Carol to schedule future meetings:</v>
      </c>
      <c r="AAL410" s="90"/>
    </row>
    <row r="411" spans="1:715" s="23" customFormat="1" ht="15" customHeight="1" outlineLevel="1">
      <c r="A411" s="171"/>
      <c r="B411" s="667" t="str">
        <f>AAK411</f>
        <v>- DA briefing meeting with AndreaRW &amp; MargaretMGR</v>
      </c>
      <c r="C411" s="364" t="s">
        <v>0</v>
      </c>
      <c r="D411" s="856" t="s">
        <v>0</v>
      </c>
      <c r="E411" s="856"/>
      <c r="F411" s="856"/>
      <c r="G411" s="857"/>
      <c r="H411" s="351">
        <f t="shared" si="338"/>
        <v>41593</v>
      </c>
      <c r="I411" s="244" t="s">
        <v>0</v>
      </c>
      <c r="J411" s="194"/>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s="52"/>
      <c r="AAA411" s="192" t="s">
        <v>0</v>
      </c>
      <c r="AAD411" s="90"/>
      <c r="AAE411" s="519">
        <f t="shared" si="337"/>
        <v>1</v>
      </c>
      <c r="AAF411" s="90"/>
      <c r="AAG411" s="71"/>
      <c r="AAH411" s="73">
        <f>IF(AAE411=0,,S.Notice.DABriefing)</f>
        <v>41593</v>
      </c>
      <c r="AAI411" s="72"/>
      <c r="AAJ411" s="72"/>
      <c r="AAK411" s="254" t="str">
        <f>"- DA briefing meeting with "&amp;S.Staff.Lead&amp;" &amp; "&amp;S.Staff.Mgr</f>
        <v>- DA briefing meeting with AndreaRW &amp; MargaretMGR</v>
      </c>
      <c r="AAL411" s="90"/>
    </row>
    <row r="412" spans="1:715" s="23" customFormat="1" ht="15" customHeight="1" outlineLevel="1">
      <c r="A412" s="171"/>
      <c r="B412" s="668" t="s">
        <v>330</v>
      </c>
      <c r="C412" s="364" t="s">
        <v>0</v>
      </c>
      <c r="D412" s="383"/>
      <c r="E412" s="342">
        <f>NETWORKDAYS(G412,H412,S.DDL_DEQClosed)</f>
        <v>8</v>
      </c>
      <c r="F412" s="457">
        <f t="shared" ref="F412" ca="1" si="339">IF(YEAR(H412)&gt;2000,NETWORKDAYS(TODAY(),H412,S.DDL_DEQClosed),0)</f>
        <v>-9</v>
      </c>
      <c r="G412" s="351">
        <f t="shared" ref="G412" si="340">AAG412</f>
        <v>41596</v>
      </c>
      <c r="H412" s="351">
        <f t="shared" si="338"/>
        <v>41605</v>
      </c>
      <c r="I412" s="244" t="s">
        <v>0</v>
      </c>
      <c r="J412" s="194"/>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s="52"/>
      <c r="AAA412" s="192" t="s">
        <v>0</v>
      </c>
      <c r="AAD412" s="90"/>
      <c r="AAE412" s="519">
        <f t="shared" si="337"/>
        <v>1</v>
      </c>
      <c r="AAF412" s="90"/>
      <c r="AAG412" s="73">
        <f>IF(AAE412=0,,S.Notice.PreviewBegin)</f>
        <v>41596</v>
      </c>
      <c r="AAH412" s="73">
        <f>IF(AAE412=0,,S.Notice.PreviewEnd)</f>
        <v>41605</v>
      </c>
      <c r="AAI412" s="72"/>
      <c r="AAJ412" s="72"/>
      <c r="AAK412" s="56" t="s">
        <v>0</v>
      </c>
      <c r="AAL412" s="90"/>
    </row>
    <row r="413" spans="1:715" ht="15" customHeight="1" outlineLevel="1">
      <c r="A413" s="171"/>
      <c r="B413" s="441" t="s">
        <v>297</v>
      </c>
      <c r="C413" s="364" t="s">
        <v>0</v>
      </c>
      <c r="D413" s="383"/>
      <c r="E413" s="342">
        <f>NETWORKDAYS(G413,H413,S.DDL_DEQClosed)</f>
        <v>14</v>
      </c>
      <c r="F413" s="457">
        <f t="shared" ref="F413:F448" ca="1" si="341">IF(YEAR(H413)&gt;2000,NETWORKDAYS(TODAY(),H413,S.DDL_DEQClosed),0)</f>
        <v>-18</v>
      </c>
      <c r="G413" s="343">
        <f t="shared" ref="G413:G444" si="342">AAG413</f>
        <v>41572</v>
      </c>
      <c r="H413" s="343">
        <f t="shared" ref="H413:H444" si="343">AAH413</f>
        <v>41592</v>
      </c>
      <c r="I413" s="244"/>
      <c r="J413" s="194"/>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AAA413" s="192" t="s">
        <v>0</v>
      </c>
      <c r="AAD413" s="90"/>
      <c r="AAE413" s="519">
        <f t="shared" si="337"/>
        <v>1</v>
      </c>
      <c r="AAF413" s="90"/>
      <c r="AAG413" s="73">
        <f t="shared" ref="AAG413:AAG425" si="344">IF(AAE413=0,,S.Notice.BANNER.Begin)</f>
        <v>41572</v>
      </c>
      <c r="AAH413" s="73">
        <f t="shared" ref="AAH413:AAH425" si="345">IF(AAE413=0,,WORKDAY(S.Notice.DABriefing,-1,S.DDL_DEQClosed))</f>
        <v>41592</v>
      </c>
      <c r="AAI413" s="72"/>
      <c r="AAJ413" s="72"/>
      <c r="AAK413" s="56" t="s">
        <v>0</v>
      </c>
      <c r="AAL413" s="90"/>
      <c r="AAM413"/>
    </row>
    <row r="414" spans="1:715" s="23" customFormat="1" ht="15" customHeight="1" outlineLevel="1">
      <c r="A414" s="171"/>
      <c r="B414" s="668" t="str">
        <f>AAK414</f>
        <v>* Advisory Commiitee not involved</v>
      </c>
      <c r="C414" s="364" t="s">
        <v>0</v>
      </c>
      <c r="D414" s="383"/>
      <c r="E414" s="342">
        <f t="shared" ref="E414:E415" si="346">NETWORKDAYS(G414,H414,S.DDL_DEQClosed)</f>
        <v>0</v>
      </c>
      <c r="F414" s="457">
        <f t="shared" ca="1" si="341"/>
        <v>0</v>
      </c>
      <c r="G414" s="343">
        <f t="shared" si="342"/>
        <v>0</v>
      </c>
      <c r="H414" s="343">
        <f t="shared" si="343"/>
        <v>0</v>
      </c>
      <c r="I414" s="244"/>
      <c r="J414" s="194"/>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s="52"/>
      <c r="AAA414" s="192"/>
      <c r="AAD414" s="90"/>
      <c r="AAE414" s="519">
        <f>IF(AND(S.Notice.Involved="Y",S.AC.CommitteeInvolved="Y"),1,0)</f>
        <v>0</v>
      </c>
      <c r="AAF414" s="90"/>
      <c r="AAG414" s="73">
        <f t="shared" si="344"/>
        <v>0</v>
      </c>
      <c r="AAH414" s="73">
        <f t="shared" si="345"/>
        <v>0</v>
      </c>
      <c r="AAI414" s="72"/>
      <c r="AAJ414" s="72"/>
      <c r="AAK414" s="80" t="str">
        <f>IF(S.AC.CommitteeInvolved="Y","- Advisory Committee-for fiscal impact","* Advisory Commiitee not involved")</f>
        <v>* Advisory Commiitee not involved</v>
      </c>
      <c r="AAL414" s="90"/>
    </row>
    <row r="415" spans="1:715" s="23" customFormat="1" ht="15" customHeight="1" outlineLevel="1">
      <c r="A415" s="171"/>
      <c r="B415" s="668" t="s">
        <v>282</v>
      </c>
      <c r="C415" s="364" t="s">
        <v>0</v>
      </c>
      <c r="D415" s="383"/>
      <c r="E415" s="342">
        <f t="shared" si="346"/>
        <v>14</v>
      </c>
      <c r="F415" s="457">
        <f t="shared" ca="1" si="341"/>
        <v>-18</v>
      </c>
      <c r="G415" s="343">
        <f t="shared" si="342"/>
        <v>41572</v>
      </c>
      <c r="H415" s="343">
        <f t="shared" si="343"/>
        <v>41592</v>
      </c>
      <c r="I415" s="244"/>
      <c r="J415" s="194"/>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s="52"/>
      <c r="AAA415" s="192"/>
      <c r="AAD415" s="90"/>
      <c r="AAE415" s="519">
        <f>IF(S.Notice.Involved="Y",1,0)</f>
        <v>1</v>
      </c>
      <c r="AAF415" s="90"/>
      <c r="AAG415" s="73">
        <f t="shared" si="344"/>
        <v>41572</v>
      </c>
      <c r="AAH415" s="73">
        <f t="shared" si="345"/>
        <v>41592</v>
      </c>
      <c r="AAI415" s="72"/>
      <c r="AAJ415" s="72"/>
      <c r="AAK415" s="56"/>
      <c r="AAL415" s="90"/>
    </row>
    <row r="416" spans="1:715" s="23" customFormat="1" ht="15" customHeight="1" outlineLevel="1">
      <c r="A416" s="171"/>
      <c r="B416" s="668" t="s">
        <v>283</v>
      </c>
      <c r="C416" s="364" t="s">
        <v>0</v>
      </c>
      <c r="D416" s="383"/>
      <c r="E416" s="342">
        <f t="shared" ref="E416" si="347">NETWORKDAYS(G416,H416,S.DDL_DEQClosed)</f>
        <v>14</v>
      </c>
      <c r="F416" s="457">
        <f t="shared" ca="1" si="341"/>
        <v>-18</v>
      </c>
      <c r="G416" s="343">
        <f t="shared" si="342"/>
        <v>41572</v>
      </c>
      <c r="H416" s="343">
        <f t="shared" si="343"/>
        <v>41592</v>
      </c>
      <c r="I416" s="244"/>
      <c r="J416" s="194"/>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s="52"/>
      <c r="AAA416" s="192"/>
      <c r="AAD416" s="90"/>
      <c r="AAE416" s="519">
        <f>IF(S.Notice.Involved="Y",1,0)</f>
        <v>1</v>
      </c>
      <c r="AAF416" s="90"/>
      <c r="AAG416" s="73">
        <f t="shared" si="344"/>
        <v>41572</v>
      </c>
      <c r="AAH416" s="73">
        <f t="shared" si="345"/>
        <v>41592</v>
      </c>
      <c r="AAI416" s="72"/>
      <c r="AAJ416" s="72"/>
      <c r="AAK416" s="56" t="s">
        <v>0</v>
      </c>
      <c r="AAL416" s="90"/>
    </row>
    <row r="417" spans="1:714" s="23" customFormat="1" ht="15" customHeight="1" outlineLevel="1">
      <c r="A417" s="171"/>
      <c r="B417" s="667" t="str">
        <f t="shared" ref="B417:B420" si="348">AAK417</f>
        <v>- AndreaSIP, edit for sufficiency of SIP inclusion</v>
      </c>
      <c r="C417" s="376" t="s">
        <v>0</v>
      </c>
      <c r="D417" s="383"/>
      <c r="E417" s="342">
        <f t="shared" ref="E417" si="349">NETWORKDAYS(G417,H417,S.DDL_DEQClosed)</f>
        <v>14</v>
      </c>
      <c r="F417" s="457">
        <f t="shared" ca="1" si="341"/>
        <v>-18</v>
      </c>
      <c r="G417" s="343">
        <f t="shared" si="342"/>
        <v>41572</v>
      </c>
      <c r="H417" s="343">
        <f t="shared" si="343"/>
        <v>41592</v>
      </c>
      <c r="I417" s="244"/>
      <c r="J417" s="194"/>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s="52"/>
      <c r="AAA417" s="192"/>
      <c r="AAD417" s="90"/>
      <c r="AAE417" s="519">
        <f>IF(AND(S.SIP.Involved="Y",S.Notice.Involved="Y"),1,0)</f>
        <v>1</v>
      </c>
      <c r="AAF417" s="90"/>
      <c r="AAG417" s="73">
        <f t="shared" si="344"/>
        <v>41572</v>
      </c>
      <c r="AAH417" s="73">
        <f t="shared" si="345"/>
        <v>41592</v>
      </c>
      <c r="AAI417" s="72"/>
      <c r="AAJ417" s="72"/>
      <c r="AAK417" s="80" t="str">
        <f>IF(S.SIP.Involved="Y","- "&amp;S.Staff.SIPCo&amp;", edit for sufficiency of SIP inclusion","* SIP not involved")</f>
        <v>- AndreaSIP, edit for sufficiency of SIP inclusion</v>
      </c>
      <c r="AAL417" s="90"/>
    </row>
    <row r="418" spans="1:714" s="23" customFormat="1" ht="15" customHeight="1" outlineLevel="1">
      <c r="A418" s="171"/>
      <c r="B418" s="667" t="str">
        <f t="shared" si="348"/>
        <v>- AndreaDRC for program sufficiency, consistency &amp; clarity</v>
      </c>
      <c r="C418" s="376" t="s">
        <v>0</v>
      </c>
      <c r="D418" s="383"/>
      <c r="E418" s="342">
        <f t="shared" ref="E418" si="350">NETWORKDAYS(G418,H418,S.DDL_DEQClosed)</f>
        <v>14</v>
      </c>
      <c r="F418" s="457">
        <f t="shared" ca="1" si="341"/>
        <v>-18</v>
      </c>
      <c r="G418" s="343">
        <f t="shared" si="342"/>
        <v>41572</v>
      </c>
      <c r="H418" s="343">
        <f t="shared" si="343"/>
        <v>41592</v>
      </c>
      <c r="I418" s="244"/>
      <c r="J418" s="194"/>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s="52"/>
      <c r="AAA418" s="192"/>
      <c r="AAD418" s="90"/>
      <c r="AAE418" s="519">
        <f t="shared" ref="AAE418:AAE445" si="351">IF(S.Notice.Involved="Y",1,0)</f>
        <v>1</v>
      </c>
      <c r="AAF418" s="90"/>
      <c r="AAG418" s="73">
        <f t="shared" si="344"/>
        <v>41572</v>
      </c>
      <c r="AAH418" s="73">
        <f t="shared" si="345"/>
        <v>41592</v>
      </c>
      <c r="AAI418" s="72"/>
      <c r="AAJ418" s="72"/>
      <c r="AAK418" s="80" t="str">
        <f>"- "&amp;S.Staff.DivisionRulesCoordinator&amp;" for program sufficiency, consistency &amp; clarity"</f>
        <v>- AndreaDRC for program sufficiency, consistency &amp; clarity</v>
      </c>
      <c r="AAL418" s="90"/>
    </row>
    <row r="419" spans="1:714" s="23" customFormat="1" ht="15" customHeight="1" outlineLevel="1">
      <c r="A419" s="171"/>
      <c r="B419" s="667" t="str">
        <f t="shared" si="348"/>
        <v>- LarryK for legal sufficiency of NOTICE and PROPOSED RULES if needed</v>
      </c>
      <c r="C419" s="376" t="s">
        <v>0</v>
      </c>
      <c r="D419" s="383"/>
      <c r="E419" s="342">
        <f t="shared" ref="E419" si="352">NETWORKDAYS(G419,H419,S.DDL_DEQClosed)</f>
        <v>14</v>
      </c>
      <c r="F419" s="457">
        <f t="shared" ca="1" si="341"/>
        <v>-18</v>
      </c>
      <c r="G419" s="343">
        <f t="shared" si="342"/>
        <v>41572</v>
      </c>
      <c r="H419" s="343">
        <f t="shared" si="343"/>
        <v>41592</v>
      </c>
      <c r="I419" s="244"/>
      <c r="J419" s="194"/>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s="52"/>
      <c r="AAA419" s="192"/>
      <c r="AAD419" s="90"/>
      <c r="AAE419" s="519">
        <f t="shared" si="351"/>
        <v>1</v>
      </c>
      <c r="AAF419" s="90"/>
      <c r="AAG419" s="73">
        <f t="shared" si="344"/>
        <v>41572</v>
      </c>
      <c r="AAH419" s="73">
        <f t="shared" si="345"/>
        <v>41592</v>
      </c>
      <c r="AAI419" s="72"/>
      <c r="AAJ419" s="72"/>
      <c r="AAK419" s="80" t="str">
        <f>"- "&amp;S.Staff.AAG&amp;" for legal sufficiency of NOTICE and PROPOSED RULES if needed"</f>
        <v>- LarryK for legal sufficiency of NOTICE and PROPOSED RULES if needed</v>
      </c>
      <c r="AAL419" s="90"/>
    </row>
    <row r="420" spans="1:714" s="23" customFormat="1" ht="15" customHeight="1" outlineLevel="1">
      <c r="A420" s="171"/>
      <c r="B420" s="667" t="str">
        <f t="shared" si="348"/>
        <v>- Maggie for OR rulemaking sufficiency, consistency &amp; clarity</v>
      </c>
      <c r="C420" s="376" t="s">
        <v>0</v>
      </c>
      <c r="D420" s="383"/>
      <c r="E420" s="342">
        <f t="shared" ref="E420" si="353">NETWORKDAYS(G420,H420,S.DDL_DEQClosed)</f>
        <v>14</v>
      </c>
      <c r="F420" s="457">
        <f t="shared" ca="1" si="341"/>
        <v>-18</v>
      </c>
      <c r="G420" s="343">
        <f t="shared" si="342"/>
        <v>41572</v>
      </c>
      <c r="H420" s="343">
        <f t="shared" si="343"/>
        <v>41592</v>
      </c>
      <c r="I420" s="244"/>
      <c r="J420" s="194"/>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s="52"/>
      <c r="AAA420" s="192"/>
      <c r="AAD420" s="90"/>
      <c r="AAE420" s="519">
        <f t="shared" si="351"/>
        <v>1</v>
      </c>
      <c r="AAF420" s="90"/>
      <c r="AAG420" s="73">
        <f t="shared" si="344"/>
        <v>41572</v>
      </c>
      <c r="AAH420" s="73">
        <f t="shared" si="345"/>
        <v>41592</v>
      </c>
      <c r="AAI420" s="72"/>
      <c r="AAJ420" s="72"/>
      <c r="AAK420" s="80" t="str">
        <f>"- "&amp;S.Staff.AgencyRulesCoordinator&amp;" for OR rulemaking sufficiency, consistency &amp; clarity"</f>
        <v>- Maggie for OR rulemaking sufficiency, consistency &amp; clarity</v>
      </c>
      <c r="AAL420" s="90"/>
    </row>
    <row r="421" spans="1:714" s="23" customFormat="1" ht="15" customHeight="1" outlineLevel="1">
      <c r="A421" s="171"/>
      <c r="B421" s="842" t="s">
        <v>386</v>
      </c>
      <c r="C421" s="376" t="s">
        <v>0</v>
      </c>
      <c r="D421" s="383"/>
      <c r="E421" s="342">
        <f t="shared" ref="E421:E422" si="354">NETWORKDAYS(G421,H421,S.DDL_DEQClosed)</f>
        <v>14</v>
      </c>
      <c r="F421" s="457">
        <f t="shared" ca="1" si="341"/>
        <v>-18</v>
      </c>
      <c r="G421" s="343">
        <f t="shared" si="342"/>
        <v>41572</v>
      </c>
      <c r="H421" s="343">
        <f t="shared" si="343"/>
        <v>41592</v>
      </c>
      <c r="I421" s="244"/>
      <c r="J421" s="194"/>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s="52"/>
      <c r="AAA421" s="192"/>
      <c r="AAD421" s="90"/>
      <c r="AAE421" s="519">
        <f t="shared" si="351"/>
        <v>1</v>
      </c>
      <c r="AAF421" s="90"/>
      <c r="AAG421" s="73">
        <f t="shared" si="344"/>
        <v>41572</v>
      </c>
      <c r="AAH421" s="73">
        <f t="shared" si="345"/>
        <v>41592</v>
      </c>
      <c r="AAI421" s="72"/>
      <c r="AAJ421" s="72"/>
      <c r="AAK421" s="56"/>
      <c r="AAL421" s="90"/>
    </row>
    <row r="422" spans="1:714" s="23" customFormat="1" ht="15" customHeight="1" outlineLevel="1">
      <c r="A422" s="171"/>
      <c r="B422" s="669" t="s">
        <v>230</v>
      </c>
      <c r="C422" s="376" t="s">
        <v>0</v>
      </c>
      <c r="D422" s="383"/>
      <c r="E422" s="342">
        <f t="shared" si="354"/>
        <v>14</v>
      </c>
      <c r="F422" s="457">
        <f t="shared" ca="1" si="341"/>
        <v>-18</v>
      </c>
      <c r="G422" s="343">
        <f t="shared" si="342"/>
        <v>41572</v>
      </c>
      <c r="H422" s="343">
        <f t="shared" si="343"/>
        <v>41592</v>
      </c>
      <c r="I422" s="244"/>
      <c r="J422" s="194"/>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s="52"/>
      <c r="AAA422" s="192"/>
      <c r="AAD422" s="90"/>
      <c r="AAE422" s="519">
        <f t="shared" si="351"/>
        <v>1</v>
      </c>
      <c r="AAF422" s="90"/>
      <c r="AAG422" s="73">
        <f t="shared" si="344"/>
        <v>41572</v>
      </c>
      <c r="AAH422" s="73">
        <f t="shared" si="345"/>
        <v>41592</v>
      </c>
      <c r="AAI422" s="72"/>
      <c r="AAJ422" s="72"/>
      <c r="AAK422" s="56"/>
      <c r="AAL422" s="90"/>
    </row>
    <row r="423" spans="1:714" s="23" customFormat="1" ht="15" customHeight="1" outlineLevel="1">
      <c r="A423" s="171"/>
      <c r="B423" s="669" t="s">
        <v>230</v>
      </c>
      <c r="C423" s="376" t="s">
        <v>0</v>
      </c>
      <c r="D423" s="383"/>
      <c r="E423" s="342">
        <f t="shared" ref="E423" si="355">NETWORKDAYS(G423,H423,S.DDL_DEQClosed)</f>
        <v>14</v>
      </c>
      <c r="F423" s="457">
        <f t="shared" ca="1" si="341"/>
        <v>-18</v>
      </c>
      <c r="G423" s="343">
        <f t="shared" si="342"/>
        <v>41572</v>
      </c>
      <c r="H423" s="343">
        <f t="shared" si="343"/>
        <v>41592</v>
      </c>
      <c r="I423" s="244"/>
      <c r="J423" s="194"/>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s="52"/>
      <c r="AAA423" s="192"/>
      <c r="AAD423" s="90"/>
      <c r="AAE423" s="519">
        <f t="shared" si="351"/>
        <v>1</v>
      </c>
      <c r="AAF423" s="90"/>
      <c r="AAG423" s="73">
        <f t="shared" si="344"/>
        <v>41572</v>
      </c>
      <c r="AAH423" s="73">
        <f t="shared" si="345"/>
        <v>41592</v>
      </c>
      <c r="AAI423" s="72"/>
      <c r="AAJ423" s="72"/>
      <c r="AAK423" s="56"/>
      <c r="AAL423" s="90"/>
    </row>
    <row r="424" spans="1:714" s="23" customFormat="1" ht="15" customHeight="1" outlineLevel="1">
      <c r="A424" s="171"/>
      <c r="B424" s="669" t="s">
        <v>230</v>
      </c>
      <c r="C424" s="376" t="s">
        <v>0</v>
      </c>
      <c r="D424" s="383"/>
      <c r="E424" s="342">
        <f t="shared" ref="E424" si="356">NETWORKDAYS(G424,H424,S.DDL_DEQClosed)</f>
        <v>14</v>
      </c>
      <c r="F424" s="457">
        <f t="shared" ca="1" si="341"/>
        <v>-18</v>
      </c>
      <c r="G424" s="343">
        <f t="shared" si="342"/>
        <v>41572</v>
      </c>
      <c r="H424" s="343">
        <f t="shared" si="343"/>
        <v>41592</v>
      </c>
      <c r="I424" s="244"/>
      <c r="J424" s="194"/>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s="52"/>
      <c r="AAA424" s="192"/>
      <c r="AAD424" s="90"/>
      <c r="AAE424" s="519">
        <f t="shared" si="351"/>
        <v>1</v>
      </c>
      <c r="AAF424" s="90"/>
      <c r="AAG424" s="73">
        <f t="shared" si="344"/>
        <v>41572</v>
      </c>
      <c r="AAH424" s="73">
        <f t="shared" si="345"/>
        <v>41592</v>
      </c>
      <c r="AAI424" s="72"/>
      <c r="AAJ424" s="72"/>
      <c r="AAK424" s="56"/>
      <c r="AAL424" s="90"/>
    </row>
    <row r="425" spans="1:714" s="23" customFormat="1" ht="15" customHeight="1" outlineLevel="1">
      <c r="A425" s="171"/>
      <c r="B425" s="441" t="s">
        <v>300</v>
      </c>
      <c r="C425" s="364" t="s">
        <v>0</v>
      </c>
      <c r="D425" s="383"/>
      <c r="E425" s="342">
        <f t="shared" ref="E425:E448" si="357">NETWORKDAYS(G425,H425,S.DDL_DEQClosed)</f>
        <v>14</v>
      </c>
      <c r="F425" s="457">
        <f t="shared" ca="1" si="341"/>
        <v>-18</v>
      </c>
      <c r="G425" s="343">
        <f t="shared" si="342"/>
        <v>41572</v>
      </c>
      <c r="H425" s="343">
        <f t="shared" si="343"/>
        <v>41592</v>
      </c>
      <c r="I425" s="244"/>
      <c r="J425" s="194"/>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s="52"/>
      <c r="AAA425" s="192" t="s">
        <v>0</v>
      </c>
      <c r="AAD425" s="90"/>
      <c r="AAE425" s="519">
        <f t="shared" si="351"/>
        <v>1</v>
      </c>
      <c r="AAF425" s="90"/>
      <c r="AAG425" s="73">
        <f t="shared" si="344"/>
        <v>41572</v>
      </c>
      <c r="AAH425" s="73">
        <f t="shared" si="345"/>
        <v>41592</v>
      </c>
      <c r="AAI425" s="72"/>
      <c r="AAJ425" s="72"/>
      <c r="AAK425" s="56" t="s">
        <v>0</v>
      </c>
      <c r="AAL425" s="90"/>
    </row>
    <row r="426" spans="1:714" s="23" customFormat="1" ht="15" customHeight="1" outlineLevel="1">
      <c r="A426" s="171"/>
      <c r="B426" s="682" t="s">
        <v>457</v>
      </c>
      <c r="C426" s="376" t="s">
        <v>0</v>
      </c>
      <c r="I426" s="244"/>
      <c r="J426" s="194"/>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s="52"/>
      <c r="AAA426" s="192"/>
      <c r="AAD426" s="90"/>
      <c r="AAE426" s="519">
        <f t="shared" si="351"/>
        <v>1</v>
      </c>
      <c r="AAF426" s="190" t="s">
        <v>52</v>
      </c>
      <c r="AAG426" s="72"/>
      <c r="AAH426" s="72"/>
      <c r="AAI426" s="72"/>
      <c r="AAJ426" s="72"/>
      <c r="AAK426" s="87"/>
      <c r="AAL426" s="90"/>
    </row>
    <row r="427" spans="1:714" s="23" customFormat="1" ht="5.25" customHeight="1" outlineLevel="1">
      <c r="A427" s="171"/>
      <c r="B427" s="682"/>
      <c r="C427" s="376"/>
      <c r="I427" s="244"/>
      <c r="J427" s="194"/>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s="52"/>
      <c r="AAA427" s="192"/>
      <c r="AAD427" s="90"/>
      <c r="AAE427" s="519">
        <f t="shared" si="351"/>
        <v>1</v>
      </c>
      <c r="AAF427" s="190" t="s">
        <v>52</v>
      </c>
      <c r="AAG427" s="72"/>
      <c r="AAH427" s="72"/>
      <c r="AAI427" s="72"/>
      <c r="AAJ427" s="72"/>
      <c r="AAK427" s="87"/>
      <c r="AAL427" s="90"/>
    </row>
    <row r="428" spans="1:714" s="23" customFormat="1" ht="15" hidden="1" customHeight="1" outlineLevel="2" thickBot="1">
      <c r="A428" s="171"/>
      <c r="B428" s="706" t="s">
        <v>468</v>
      </c>
      <c r="C428" s="611" t="s">
        <v>303</v>
      </c>
      <c r="D428" s="380"/>
      <c r="E428" s="342">
        <f>NETWORKDAYS(G428,H428,S.DDL_DEQClosed)</f>
        <v>0</v>
      </c>
      <c r="F428" s="457">
        <f t="shared" ref="F428:F439" ca="1" si="358">IF(YEAR(H428)&gt;2000,NETWORKDAYS(TODAY(),H428,S.DDL_DEQClosed),0)</f>
        <v>0</v>
      </c>
      <c r="G428" s="400">
        <f t="shared" ref="G428:G439" si="359">AAG428</f>
        <v>0</v>
      </c>
      <c r="H428" s="400">
        <f t="shared" ref="H428:H439" si="360">AAH428</f>
        <v>0</v>
      </c>
      <c r="I428" s="244"/>
      <c r="J428" s="194"/>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s="52"/>
      <c r="AAA428" s="192"/>
      <c r="AAD428" s="90"/>
      <c r="AAE428" s="519">
        <f>IF(S.Notice.CustomReviewLoop1="N",0,IF(S.General.RuleType="T",0,1))</f>
        <v>0</v>
      </c>
      <c r="AAF428" s="90"/>
      <c r="AAG428" s="73">
        <f t="shared" ref="AAG428:AAG439" si="361">IF(AAE428=0,,S.Notice.BANNER.Begin)</f>
        <v>0</v>
      </c>
      <c r="AAH428" s="73">
        <f t="shared" ref="AAH428:AAH439" si="362">IF(AAE428=0,,WORKDAY(S.Notice.DABriefing,-1,S.DDL_DEQClosed))</f>
        <v>0</v>
      </c>
      <c r="AAI428" s="72"/>
      <c r="AAJ428" s="56"/>
      <c r="AAK428" s="56"/>
      <c r="AAL428" s="90"/>
    </row>
    <row r="429" spans="1:714" s="23" customFormat="1" ht="15" hidden="1" customHeight="1" outlineLevel="2">
      <c r="A429" s="171"/>
      <c r="B429" s="708" t="s">
        <v>376</v>
      </c>
      <c r="C429" s="376" t="s">
        <v>0</v>
      </c>
      <c r="D429" s="423"/>
      <c r="E429" s="397">
        <f t="shared" ref="E429:E431" si="363">NETWORKDAYS(G429,H429,S.DDL_DEQClosed)</f>
        <v>0</v>
      </c>
      <c r="F429" s="457">
        <f t="shared" ca="1" si="358"/>
        <v>0</v>
      </c>
      <c r="G429" s="400">
        <f t="shared" si="359"/>
        <v>0</v>
      </c>
      <c r="H429" s="400">
        <f t="shared" si="360"/>
        <v>0</v>
      </c>
      <c r="I429" s="244"/>
      <c r="J429" s="194"/>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s="52"/>
      <c r="AAA429" s="192"/>
      <c r="AAD429" s="90"/>
      <c r="AAE429" s="519">
        <f>IF(S.Notice.CustomReviewLoop1="N",0,IF(S.General.RuleType="T",0,1))</f>
        <v>0</v>
      </c>
      <c r="AAF429" s="90"/>
      <c r="AAG429" s="73">
        <f t="shared" si="361"/>
        <v>0</v>
      </c>
      <c r="AAH429" s="73">
        <f t="shared" si="362"/>
        <v>0</v>
      </c>
      <c r="AAI429" s="72"/>
      <c r="AAJ429" s="185"/>
      <c r="AAK429" s="56"/>
      <c r="AAL429" s="90"/>
    </row>
    <row r="430" spans="1:714" s="23" customFormat="1" ht="15" hidden="1" customHeight="1" outlineLevel="2">
      <c r="A430" s="171"/>
      <c r="B430" s="708" t="s">
        <v>376</v>
      </c>
      <c r="C430" s="376" t="s">
        <v>0</v>
      </c>
      <c r="D430" s="423"/>
      <c r="E430" s="397">
        <f t="shared" si="363"/>
        <v>0</v>
      </c>
      <c r="F430" s="457">
        <f t="shared" ca="1" si="358"/>
        <v>0</v>
      </c>
      <c r="G430" s="400">
        <f t="shared" si="359"/>
        <v>0</v>
      </c>
      <c r="H430" s="400">
        <f t="shared" si="360"/>
        <v>0</v>
      </c>
      <c r="I430" s="244"/>
      <c r="J430" s="194"/>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s="52"/>
      <c r="AAA430" s="192"/>
      <c r="AAD430" s="90"/>
      <c r="AAE430" s="519">
        <f>IF(S.Notice.CustomReviewLoop1="N",0,IF(S.General.RuleType="T",0,1))</f>
        <v>0</v>
      </c>
      <c r="AAF430" s="90"/>
      <c r="AAG430" s="73">
        <f t="shared" si="361"/>
        <v>0</v>
      </c>
      <c r="AAH430" s="73">
        <f t="shared" si="362"/>
        <v>0</v>
      </c>
      <c r="AAI430" s="72"/>
      <c r="AAJ430" s="185"/>
      <c r="AAK430" s="56"/>
      <c r="AAL430" s="90"/>
    </row>
    <row r="431" spans="1:714" s="23" customFormat="1" ht="15" hidden="1" customHeight="1" outlineLevel="2" thickBot="1">
      <c r="A431" s="171"/>
      <c r="B431" s="708" t="s">
        <v>376</v>
      </c>
      <c r="C431" s="376" t="s">
        <v>0</v>
      </c>
      <c r="D431" s="423"/>
      <c r="E431" s="397">
        <f t="shared" si="363"/>
        <v>0</v>
      </c>
      <c r="F431" s="457">
        <f t="shared" ca="1" si="358"/>
        <v>0</v>
      </c>
      <c r="G431" s="400">
        <f t="shared" si="359"/>
        <v>0</v>
      </c>
      <c r="H431" s="400">
        <f t="shared" si="360"/>
        <v>0</v>
      </c>
      <c r="I431" s="244"/>
      <c r="J431" s="194"/>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s="52"/>
      <c r="AAA431" s="192"/>
      <c r="AAD431" s="90"/>
      <c r="AAE431" s="519">
        <f>IF(S.Notice.CustomReviewLoop1="N",0,IF(S.General.RuleType="T",0,1))</f>
        <v>0</v>
      </c>
      <c r="AAF431" s="90"/>
      <c r="AAG431" s="73">
        <f t="shared" si="361"/>
        <v>0</v>
      </c>
      <c r="AAH431" s="73">
        <f t="shared" si="362"/>
        <v>0</v>
      </c>
      <c r="AAI431" s="72"/>
      <c r="AAJ431" s="185"/>
      <c r="AAK431" s="56"/>
      <c r="AAL431" s="90"/>
    </row>
    <row r="432" spans="1:714" s="23" customFormat="1" ht="15" hidden="1" customHeight="1" outlineLevel="2" thickBot="1">
      <c r="A432" s="171"/>
      <c r="B432" s="709" t="s">
        <v>379</v>
      </c>
      <c r="C432" s="611" t="s">
        <v>303</v>
      </c>
      <c r="D432" s="380"/>
      <c r="E432" s="342">
        <f>NETWORKDAYS(G432,H432,S.DDL_DEQClosed)</f>
        <v>0</v>
      </c>
      <c r="F432" s="457">
        <f t="shared" ca="1" si="358"/>
        <v>0</v>
      </c>
      <c r="G432" s="400">
        <f t="shared" si="359"/>
        <v>0</v>
      </c>
      <c r="H432" s="400">
        <f t="shared" si="360"/>
        <v>0</v>
      </c>
      <c r="I432" s="244"/>
      <c r="J432" s="194"/>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s="52"/>
      <c r="AAA432" s="192"/>
      <c r="AAD432" s="90"/>
      <c r="AAE432" s="519">
        <f>IF(AND(S.Notice.CustomReviewLoop1="Y",S.Notice.CustomReviewLoop2="Y"),1,0)</f>
        <v>0</v>
      </c>
      <c r="AAF432" s="90"/>
      <c r="AAG432" s="73">
        <f t="shared" si="361"/>
        <v>0</v>
      </c>
      <c r="AAH432" s="73">
        <f t="shared" si="362"/>
        <v>0</v>
      </c>
      <c r="AAI432" s="72"/>
      <c r="AAJ432" s="56"/>
      <c r="AAK432" s="56"/>
      <c r="AAL432" s="90"/>
    </row>
    <row r="433" spans="1:715" s="23" customFormat="1" ht="15" hidden="1" customHeight="1" outlineLevel="2">
      <c r="A433" s="171"/>
      <c r="B433" s="710" t="s">
        <v>376</v>
      </c>
      <c r="C433" s="376" t="s">
        <v>0</v>
      </c>
      <c r="D433" s="423"/>
      <c r="E433" s="397">
        <f t="shared" ref="E433:E435" si="364">NETWORKDAYS(G433,H433,S.DDL_DEQClosed)</f>
        <v>0</v>
      </c>
      <c r="F433" s="457">
        <f t="shared" ca="1" si="358"/>
        <v>0</v>
      </c>
      <c r="G433" s="400">
        <f t="shared" si="359"/>
        <v>0</v>
      </c>
      <c r="H433" s="400">
        <f t="shared" si="360"/>
        <v>0</v>
      </c>
      <c r="I433" s="244"/>
      <c r="J433" s="194"/>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s="52"/>
      <c r="AAA433" s="192"/>
      <c r="AAD433" s="90"/>
      <c r="AAE433" s="519">
        <f>IF(AND(S.Notice.CustomReviewLoop1="Y",S.Notice.CustomReviewLoop2="Y"),1,0)</f>
        <v>0</v>
      </c>
      <c r="AAF433" s="90"/>
      <c r="AAG433" s="73">
        <f t="shared" si="361"/>
        <v>0</v>
      </c>
      <c r="AAH433" s="73">
        <f t="shared" si="362"/>
        <v>0</v>
      </c>
      <c r="AAI433" s="72"/>
      <c r="AAJ433" s="185"/>
      <c r="AAK433" s="56"/>
      <c r="AAL433" s="90"/>
    </row>
    <row r="434" spans="1:715" s="23" customFormat="1" ht="15" hidden="1" customHeight="1" outlineLevel="2">
      <c r="A434" s="171"/>
      <c r="B434" s="710" t="s">
        <v>376</v>
      </c>
      <c r="C434" s="376" t="s">
        <v>0</v>
      </c>
      <c r="D434" s="423"/>
      <c r="E434" s="397">
        <f t="shared" si="364"/>
        <v>0</v>
      </c>
      <c r="F434" s="457">
        <f t="shared" ca="1" si="358"/>
        <v>0</v>
      </c>
      <c r="G434" s="400">
        <f t="shared" si="359"/>
        <v>0</v>
      </c>
      <c r="H434" s="400">
        <f t="shared" si="360"/>
        <v>0</v>
      </c>
      <c r="I434" s="244"/>
      <c r="J434" s="194"/>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s="52"/>
      <c r="AAA434" s="192"/>
      <c r="AAD434" s="90"/>
      <c r="AAE434" s="519">
        <f>IF(AND(S.Notice.CustomReviewLoop1="Y",S.Notice.CustomReviewLoop2="Y"),1,0)</f>
        <v>0</v>
      </c>
      <c r="AAF434" s="90"/>
      <c r="AAG434" s="73">
        <f t="shared" si="361"/>
        <v>0</v>
      </c>
      <c r="AAH434" s="73">
        <f t="shared" si="362"/>
        <v>0</v>
      </c>
      <c r="AAI434" s="72"/>
      <c r="AAJ434" s="185"/>
      <c r="AAK434" s="56"/>
      <c r="AAL434" s="90"/>
    </row>
    <row r="435" spans="1:715" s="23" customFormat="1" ht="15" hidden="1" customHeight="1" outlineLevel="2" thickBot="1">
      <c r="A435" s="171"/>
      <c r="B435" s="710" t="s">
        <v>376</v>
      </c>
      <c r="C435" s="376" t="s">
        <v>0</v>
      </c>
      <c r="D435" s="423"/>
      <c r="E435" s="397">
        <f t="shared" si="364"/>
        <v>0</v>
      </c>
      <c r="F435" s="457">
        <f t="shared" ca="1" si="358"/>
        <v>0</v>
      </c>
      <c r="G435" s="400">
        <f t="shared" si="359"/>
        <v>0</v>
      </c>
      <c r="H435" s="400">
        <f t="shared" si="360"/>
        <v>0</v>
      </c>
      <c r="I435" s="244"/>
      <c r="J435" s="194"/>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s="52"/>
      <c r="AAA435" s="192"/>
      <c r="AAD435" s="90"/>
      <c r="AAE435" s="519">
        <f>IF(AND(S.Notice.CustomReviewLoop1="Y",S.Notice.CustomReviewLoop2="Y"),1,0)</f>
        <v>0</v>
      </c>
      <c r="AAF435" s="90"/>
      <c r="AAG435" s="73">
        <f t="shared" si="361"/>
        <v>0</v>
      </c>
      <c r="AAH435" s="73">
        <f t="shared" si="362"/>
        <v>0</v>
      </c>
      <c r="AAI435" s="72"/>
      <c r="AAJ435" s="185"/>
      <c r="AAK435" s="56"/>
      <c r="AAL435" s="90"/>
    </row>
    <row r="436" spans="1:715" s="23" customFormat="1" ht="15" hidden="1" customHeight="1" outlineLevel="2" thickBot="1">
      <c r="A436" s="171"/>
      <c r="B436" s="711" t="s">
        <v>380</v>
      </c>
      <c r="C436" s="611" t="s">
        <v>303</v>
      </c>
      <c r="D436" s="380"/>
      <c r="E436" s="342">
        <f>NETWORKDAYS(G436,H436,S.DDL_DEQClosed)</f>
        <v>0</v>
      </c>
      <c r="F436" s="457">
        <f t="shared" ca="1" si="358"/>
        <v>0</v>
      </c>
      <c r="G436" s="400">
        <f t="shared" si="359"/>
        <v>0</v>
      </c>
      <c r="H436" s="400">
        <f t="shared" si="360"/>
        <v>0</v>
      </c>
      <c r="I436" s="244"/>
      <c r="J436" s="194"/>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s="52"/>
      <c r="AAA436" s="192"/>
      <c r="AAD436" s="90"/>
      <c r="AAE436" s="519">
        <f>IF(AND(S.Notice.CustomReviewLoop1="Y",S.Notice.CustomReviewLoop2="Y",S.Notice.CustomReviewLoop3="Y"),1,0)</f>
        <v>0</v>
      </c>
      <c r="AAF436" s="90"/>
      <c r="AAG436" s="73">
        <f t="shared" si="361"/>
        <v>0</v>
      </c>
      <c r="AAH436" s="73">
        <f t="shared" si="362"/>
        <v>0</v>
      </c>
      <c r="AAI436" s="72"/>
      <c r="AAJ436" s="56"/>
      <c r="AAK436" s="56"/>
      <c r="AAL436" s="90"/>
    </row>
    <row r="437" spans="1:715" s="23" customFormat="1" ht="15" hidden="1" customHeight="1" outlineLevel="2">
      <c r="A437" s="171"/>
      <c r="B437" s="712" t="s">
        <v>376</v>
      </c>
      <c r="C437" s="376" t="s">
        <v>0</v>
      </c>
      <c r="D437" s="423"/>
      <c r="E437" s="397">
        <f t="shared" ref="E437:E439" si="365">NETWORKDAYS(G437,H437,S.DDL_DEQClosed)</f>
        <v>0</v>
      </c>
      <c r="F437" s="457">
        <f t="shared" ca="1" si="358"/>
        <v>0</v>
      </c>
      <c r="G437" s="400">
        <f t="shared" si="359"/>
        <v>0</v>
      </c>
      <c r="H437" s="400">
        <f t="shared" si="360"/>
        <v>0</v>
      </c>
      <c r="I437" s="244"/>
      <c r="J437" s="194"/>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s="52"/>
      <c r="AAA437" s="192"/>
      <c r="AAD437" s="90"/>
      <c r="AAE437" s="519">
        <f>IF(AND(S.Notice.CustomReviewLoop1="Y",S.Notice.CustomReviewLoop2="Y",S.Notice.CustomReviewLoop3="Y"),1,0)</f>
        <v>0</v>
      </c>
      <c r="AAF437" s="90"/>
      <c r="AAG437" s="73">
        <f t="shared" si="361"/>
        <v>0</v>
      </c>
      <c r="AAH437" s="73">
        <f t="shared" si="362"/>
        <v>0</v>
      </c>
      <c r="AAI437" s="72"/>
      <c r="AAJ437" s="185"/>
      <c r="AAK437" s="56"/>
      <c r="AAL437" s="90"/>
    </row>
    <row r="438" spans="1:715" s="23" customFormat="1" ht="15" hidden="1" customHeight="1" outlineLevel="2">
      <c r="A438" s="171"/>
      <c r="B438" s="712" t="s">
        <v>376</v>
      </c>
      <c r="C438" s="376" t="s">
        <v>0</v>
      </c>
      <c r="D438" s="423"/>
      <c r="E438" s="397">
        <f t="shared" si="365"/>
        <v>0</v>
      </c>
      <c r="F438" s="457">
        <f t="shared" ca="1" si="358"/>
        <v>0</v>
      </c>
      <c r="G438" s="400">
        <f t="shared" si="359"/>
        <v>0</v>
      </c>
      <c r="H438" s="400">
        <f t="shared" si="360"/>
        <v>0</v>
      </c>
      <c r="I438" s="244"/>
      <c r="J438" s="194"/>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s="52"/>
      <c r="AAA438" s="192"/>
      <c r="AAD438" s="90"/>
      <c r="AAE438" s="519">
        <f>IF(AND(S.Notice.CustomReviewLoop1="Y",S.Notice.CustomReviewLoop2="Y",S.Notice.CustomReviewLoop3="Y"),1,0)</f>
        <v>0</v>
      </c>
      <c r="AAF438" s="90"/>
      <c r="AAG438" s="73">
        <f t="shared" si="361"/>
        <v>0</v>
      </c>
      <c r="AAH438" s="73">
        <f t="shared" si="362"/>
        <v>0</v>
      </c>
      <c r="AAI438" s="72"/>
      <c r="AAJ438" s="185"/>
      <c r="AAK438" s="56"/>
      <c r="AAL438" s="90"/>
    </row>
    <row r="439" spans="1:715" s="23" customFormat="1" ht="15" hidden="1" customHeight="1" outlineLevel="2">
      <c r="A439" s="171"/>
      <c r="B439" s="712" t="s">
        <v>376</v>
      </c>
      <c r="C439" s="376" t="s">
        <v>0</v>
      </c>
      <c r="D439" s="423"/>
      <c r="E439" s="397">
        <f t="shared" si="365"/>
        <v>0</v>
      </c>
      <c r="F439" s="457">
        <f t="shared" ca="1" si="358"/>
        <v>0</v>
      </c>
      <c r="G439" s="400">
        <f t="shared" si="359"/>
        <v>0</v>
      </c>
      <c r="H439" s="400">
        <f t="shared" si="360"/>
        <v>0</v>
      </c>
      <c r="I439" s="244"/>
      <c r="J439" s="194"/>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s="52"/>
      <c r="AAA439" s="192"/>
      <c r="AAD439" s="90"/>
      <c r="AAE439" s="519">
        <f>IF(AND(S.Notice.CustomReviewLoop1="Y",S.Notice.CustomReviewLoop2="Y",S.Notice.CustomReviewLoop3="Y"),1,0)</f>
        <v>0</v>
      </c>
      <c r="AAF439" s="90"/>
      <c r="AAG439" s="73">
        <f t="shared" si="361"/>
        <v>0</v>
      </c>
      <c r="AAH439" s="73">
        <f t="shared" si="362"/>
        <v>0</v>
      </c>
      <c r="AAI439" s="72"/>
      <c r="AAJ439" s="185"/>
      <c r="AAK439" s="56"/>
      <c r="AAL439" s="90"/>
    </row>
    <row r="440" spans="1:715" s="23" customFormat="1" ht="5.25" hidden="1" customHeight="1" outlineLevel="2">
      <c r="A440" s="171"/>
      <c r="B440" s="682"/>
      <c r="C440" s="376"/>
      <c r="I440" s="244"/>
      <c r="J440" s="194"/>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s="52"/>
      <c r="AAA440" s="192"/>
      <c r="AAD440" s="90"/>
      <c r="AAE440" s="519">
        <f t="shared" si="351"/>
        <v>1</v>
      </c>
      <c r="AAF440" s="190" t="s">
        <v>52</v>
      </c>
      <c r="AAG440" s="72"/>
      <c r="AAH440" s="72"/>
      <c r="AAI440" s="72"/>
      <c r="AAJ440" s="72"/>
      <c r="AAK440" s="87"/>
      <c r="AAL440" s="90"/>
    </row>
    <row r="441" spans="1:715" s="23" customFormat="1" ht="15" customHeight="1" outlineLevel="1" collapsed="1">
      <c r="A441" s="171"/>
      <c r="B441" s="361" t="str">
        <f>AAK441</f>
        <v>AndreaRW:</v>
      </c>
      <c r="C441" s="362"/>
      <c r="D441" s="362"/>
      <c r="E441" s="350"/>
      <c r="F441" s="350"/>
      <c r="G441" s="346"/>
      <c r="H441" s="346"/>
      <c r="I441" s="244"/>
      <c r="J441" s="194"/>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s="52"/>
      <c r="AAA441" s="192"/>
      <c r="AAD441" s="90"/>
      <c r="AAE441" s="519">
        <f t="shared" ref="AAE441" si="366">IF(S.Notice.Involved="Y",1,0)</f>
        <v>1</v>
      </c>
      <c r="AAF441" s="190" t="s">
        <v>52</v>
      </c>
      <c r="AAG441" s="71"/>
      <c r="AAH441" s="71"/>
      <c r="AAI441" s="71"/>
      <c r="AAJ441" s="56"/>
      <c r="AAK441" s="254" t="str">
        <f>S.Staff.Lead&amp;":"</f>
        <v>AndreaRW:</v>
      </c>
      <c r="AAL441" s="90"/>
    </row>
    <row r="442" spans="1:715" s="23" customFormat="1" ht="15" customHeight="1" outlineLevel="1">
      <c r="A442" s="171"/>
      <c r="B442" s="441" t="s">
        <v>301</v>
      </c>
      <c r="C442" s="364" t="s">
        <v>0</v>
      </c>
      <c r="D442" s="383"/>
      <c r="E442" s="342">
        <f t="shared" si="357"/>
        <v>14</v>
      </c>
      <c r="F442" s="457">
        <f t="shared" ca="1" si="341"/>
        <v>-18</v>
      </c>
      <c r="G442" s="343">
        <f t="shared" si="342"/>
        <v>41572</v>
      </c>
      <c r="H442" s="343">
        <f t="shared" si="343"/>
        <v>41592</v>
      </c>
      <c r="I442" s="244"/>
      <c r="J442" s="194"/>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s="52"/>
      <c r="AAA442" s="192" t="s">
        <v>0</v>
      </c>
      <c r="AAD442" s="90"/>
      <c r="AAE442" s="519">
        <f t="shared" si="351"/>
        <v>1</v>
      </c>
      <c r="AAF442" s="90"/>
      <c r="AAG442" s="73">
        <f>IF(AAE442=0,,S.Notice.BANNER.Begin)</f>
        <v>41572</v>
      </c>
      <c r="AAH442" s="73">
        <f>IF(AAE442=0,,WORKDAY(S.Notice.DABriefing,-1,S.DDL_DEQClosed))</f>
        <v>41592</v>
      </c>
      <c r="AAI442" s="72"/>
      <c r="AAJ442" s="72"/>
      <c r="AAK442" s="56" t="s">
        <v>0</v>
      </c>
      <c r="AAL442" s="90"/>
    </row>
    <row r="443" spans="1:715" s="23" customFormat="1" ht="15" customHeight="1" outlineLevel="1">
      <c r="A443" s="171"/>
      <c r="B443" s="441" t="str">
        <f t="shared" ref="B443:B448" si="367">AAK443</f>
        <v>* updates prevously scheduled DA briefing and review, if changed, with Carol</v>
      </c>
      <c r="C443" s="364" t="s">
        <v>0</v>
      </c>
      <c r="D443"/>
      <c r="E443"/>
      <c r="F443"/>
      <c r="G443"/>
      <c r="H443" s="351">
        <f t="shared" ref="H443" si="368">AAH443</f>
        <v>41592</v>
      </c>
      <c r="I443" s="244"/>
      <c r="J443" s="194"/>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s="52"/>
      <c r="AAA443" s="192" t="s">
        <v>0</v>
      </c>
      <c r="AAD443" s="90"/>
      <c r="AAE443" s="519">
        <f t="shared" si="351"/>
        <v>1</v>
      </c>
      <c r="AAF443" s="90"/>
      <c r="AAG443" s="72"/>
      <c r="AAH443" s="73">
        <f>IF(AAE443=0,,WORKDAY(S.Notice.DABriefing,-1,S.DDL_DEQClosed))</f>
        <v>41592</v>
      </c>
      <c r="AAI443" s="72"/>
      <c r="AAJ443" s="72"/>
      <c r="AAK443" s="254" t="str">
        <f>"* updates prevously scheduled DA briefing and review, if changed, with "&amp;S.Staff.AssistDA</f>
        <v>* updates prevously scheduled DA briefing and review, if changed, with Carol</v>
      </c>
      <c r="AAL443" s="90"/>
    </row>
    <row r="444" spans="1:715" s="23" customFormat="1" ht="15" customHeight="1" outlineLevel="1">
      <c r="A444" s="171"/>
      <c r="B444" s="363" t="str">
        <f t="shared" si="367"/>
        <v>* initiates MargaretMGR's review/approval, addresses suggestions</v>
      </c>
      <c r="C444" s="364" t="s">
        <v>0</v>
      </c>
      <c r="D444" s="380"/>
      <c r="E444" s="342">
        <f t="shared" si="357"/>
        <v>1</v>
      </c>
      <c r="F444" s="457">
        <f t="shared" ca="1" si="341"/>
        <v>-18</v>
      </c>
      <c r="G444" s="343">
        <f t="shared" si="342"/>
        <v>41592</v>
      </c>
      <c r="H444" s="343">
        <f t="shared" si="343"/>
        <v>41592</v>
      </c>
      <c r="I444" s="244"/>
      <c r="J444" s="194"/>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s="52"/>
      <c r="AAA444" s="192" t="s">
        <v>0</v>
      </c>
      <c r="AAD444" s="90"/>
      <c r="AAE444" s="519">
        <f t="shared" si="351"/>
        <v>1</v>
      </c>
      <c r="AAF444" s="90"/>
      <c r="AAG444" s="73">
        <f>IF(AAE444=0,,H442)</f>
        <v>41592</v>
      </c>
      <c r="AAH444" s="73">
        <f>IF(AAE444=0,,WORKDAY(S.Notice.DABriefing,-1,S.DDL_DEQClosed))</f>
        <v>41592</v>
      </c>
      <c r="AAI444" s="72"/>
      <c r="AAJ444" s="72"/>
      <c r="AAK444" s="254" t="str">
        <f>"* initiates "&amp;S.Staff.Mgr&amp;"'s review/approval, addresses suggestions"</f>
        <v>* initiates MargaretMGR's review/approval, addresses suggestions</v>
      </c>
      <c r="AAL444" s="90"/>
    </row>
    <row r="445" spans="1:715" ht="15" customHeight="1" outlineLevel="1" thickBot="1">
      <c r="A445" s="171"/>
      <c r="B445" s="516" t="str">
        <f t="shared" si="367"/>
        <v>1st loop of MargaretMGR's Notice Packet review and approval</v>
      </c>
      <c r="C445"/>
      <c r="D445" s="380"/>
      <c r="E445" s="342">
        <f t="shared" si="357"/>
        <v>1</v>
      </c>
      <c r="F445" s="457">
        <f t="shared" ca="1" si="341"/>
        <v>-18</v>
      </c>
      <c r="G445" s="343">
        <f>AAG445</f>
        <v>41592</v>
      </c>
      <c r="H445" s="343">
        <f t="shared" ref="H445:H448" si="369">AAH445</f>
        <v>41592</v>
      </c>
      <c r="I445" s="244" t="s">
        <v>0</v>
      </c>
      <c r="J445" s="194"/>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AAA445" s="192"/>
      <c r="AAD445" s="90"/>
      <c r="AAE445" s="519">
        <f t="shared" si="351"/>
        <v>1</v>
      </c>
      <c r="AAF445" s="90"/>
      <c r="AAG445" s="73">
        <f>IF(AAE445=0,,H444)</f>
        <v>41592</v>
      </c>
      <c r="AAH445" s="73">
        <f>IF(AAE445=0,,G445)</f>
        <v>41592</v>
      </c>
      <c r="AAI445" s="72"/>
      <c r="AAJ445" s="72"/>
      <c r="AAK445" s="254" t="str">
        <f>"1st loop of "&amp;S.Staff.Mgr&amp;"'s Notice Packet review and approval"</f>
        <v>1st loop of MargaretMGR's Notice Packet review and approval</v>
      </c>
      <c r="AAL445" s="90"/>
      <c r="AAM445"/>
    </row>
    <row r="446" spans="1:715" ht="15" customHeight="1" outlineLevel="1" thickBot="1">
      <c r="A446" s="171"/>
      <c r="B446" s="480" t="str">
        <f t="shared" si="367"/>
        <v>2nd loop of MargaretMGR's Notice Packet review and approval</v>
      </c>
      <c r="C446" s="611" t="s">
        <v>17</v>
      </c>
      <c r="D446" s="380"/>
      <c r="E446" s="342">
        <f t="shared" si="357"/>
        <v>1</v>
      </c>
      <c r="F446" s="457">
        <f t="shared" ca="1" si="341"/>
        <v>-18</v>
      </c>
      <c r="G446" s="343">
        <f>AAG446</f>
        <v>41592</v>
      </c>
      <c r="H446" s="343">
        <f t="shared" si="369"/>
        <v>41592</v>
      </c>
      <c r="I446" s="244"/>
      <c r="J446" s="194"/>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AAA446" s="192"/>
      <c r="AAD446" s="90"/>
      <c r="AAE446" s="519">
        <f>IF(AND(S.Notice.ApprovePacketLoop2="Y",S.Notice.Involved="Y"),1,0)</f>
        <v>1</v>
      </c>
      <c r="AAF446" s="90"/>
      <c r="AAG446" s="73">
        <f>IF(AAE446=0,,H445)</f>
        <v>41592</v>
      </c>
      <c r="AAH446" s="73">
        <f>IF(AAE446=0,,G446)</f>
        <v>41592</v>
      </c>
      <c r="AAI446" s="72"/>
      <c r="AAJ446" s="72"/>
      <c r="AAK446" s="254" t="str">
        <f>"2nd loop of "&amp;S.Staff.Mgr&amp;"'s Notice Packet review and approval"</f>
        <v>2nd loop of MargaretMGR's Notice Packet review and approval</v>
      </c>
      <c r="AAL446" s="90"/>
      <c r="AAM446"/>
    </row>
    <row r="447" spans="1:715" ht="15" customHeight="1" outlineLevel="1" thickBot="1">
      <c r="A447" s="171"/>
      <c r="B447" s="653" t="str">
        <f t="shared" si="367"/>
        <v>3rd loop of MargaretMGR's Notice Packet review and approval</v>
      </c>
      <c r="C447" s="611" t="s">
        <v>303</v>
      </c>
      <c r="D447" s="380"/>
      <c r="E447" s="342">
        <f t="shared" si="357"/>
        <v>0</v>
      </c>
      <c r="F447" s="457">
        <f t="shared" ca="1" si="341"/>
        <v>0</v>
      </c>
      <c r="G447" s="343">
        <f>AAG447</f>
        <v>0</v>
      </c>
      <c r="H447" s="343">
        <f t="shared" si="369"/>
        <v>0</v>
      </c>
      <c r="I447" s="244"/>
      <c r="J447" s="194"/>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AAA447" s="192"/>
      <c r="AAD447" s="90"/>
      <c r="AAE447" s="519">
        <f>IF(AND(S.Notice.ApprovePacketLoop3="Y",S.Notice.Involved="Y"),1,0)</f>
        <v>0</v>
      </c>
      <c r="AAF447" s="90"/>
      <c r="AAG447" s="73">
        <f>IF(AAE447=0,,H446)</f>
        <v>0</v>
      </c>
      <c r="AAH447" s="73">
        <f>IF(AAE447=0,,G447)</f>
        <v>0</v>
      </c>
      <c r="AAI447" s="72"/>
      <c r="AAJ447" s="72"/>
      <c r="AAK447" s="254" t="str">
        <f>"3rd loop of "&amp;S.Staff.Mgr&amp;"'s Notice Packet review and approval"</f>
        <v>3rd loop of MargaretMGR's Notice Packet review and approval</v>
      </c>
      <c r="AAL447" s="90"/>
      <c r="AAM447"/>
    </row>
    <row r="448" spans="1:715" ht="15" customHeight="1" outlineLevel="1" thickBot="1">
      <c r="A448" s="171"/>
      <c r="B448" s="654" t="str">
        <f t="shared" si="367"/>
        <v>4th loop of MargaretMGR's Notice Packet review and approval</v>
      </c>
      <c r="C448" s="611" t="s">
        <v>303</v>
      </c>
      <c r="D448" s="380"/>
      <c r="E448" s="342">
        <f t="shared" si="357"/>
        <v>0</v>
      </c>
      <c r="F448" s="457">
        <f t="shared" ca="1" si="341"/>
        <v>0</v>
      </c>
      <c r="G448" s="343">
        <f>AAG448</f>
        <v>0</v>
      </c>
      <c r="H448" s="343">
        <f t="shared" si="369"/>
        <v>0</v>
      </c>
      <c r="I448" s="244"/>
      <c r="J448" s="194"/>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AAA448" s="192"/>
      <c r="AAD448" s="90"/>
      <c r="AAE448" s="519">
        <f>IF(AND(S.Notice.ApprovePacketLoop4="Y",S.Notice.Involved="Y"),1,0)</f>
        <v>0</v>
      </c>
      <c r="AAF448" s="90"/>
      <c r="AAG448" s="73">
        <f>IF(AAE448=0,,H447)</f>
        <v>0</v>
      </c>
      <c r="AAH448" s="73">
        <f>IF(AAE448=0,,G448)</f>
        <v>0</v>
      </c>
      <c r="AAI448" s="72"/>
      <c r="AAJ448" s="72"/>
      <c r="AAK448" s="254" t="str">
        <f>"4th loop of "&amp;S.Staff.Mgr&amp;"'s Notice Packet review and approval"</f>
        <v>4th loop of MargaretMGR's Notice Packet review and approval</v>
      </c>
      <c r="AAL448" s="90"/>
      <c r="AAM448"/>
    </row>
    <row r="449" spans="1:715" ht="15" customHeight="1" outlineLevel="1" thickBot="1">
      <c r="A449" s="171"/>
      <c r="B449" s="304" t="str">
        <f t="shared" ref="B449" si="370">AAK449</f>
        <v>* coordinates SIP inclusion with AndreaSIP</v>
      </c>
      <c r="C449"/>
      <c r="D449" s="380"/>
      <c r="E449" s="342">
        <f t="shared" ref="E449:E466" si="371">NETWORKDAYS(G449,H449,S.DDL_DEQClosed)</f>
        <v>35</v>
      </c>
      <c r="F449" s="457">
        <f t="shared" ca="1" si="311"/>
        <v>5</v>
      </c>
      <c r="G449" s="343">
        <f t="shared" si="333"/>
        <v>41572</v>
      </c>
      <c r="H449" s="343">
        <f t="shared" si="314"/>
        <v>41624</v>
      </c>
      <c r="I449" s="244"/>
      <c r="J449" s="194"/>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AAA449" s="192" t="s">
        <v>0</v>
      </c>
      <c r="AAD449" s="90"/>
      <c r="AAE449" s="519">
        <f>IF(S.SIP.Involved="Y",1,0)</f>
        <v>1</v>
      </c>
      <c r="AAF449" s="90"/>
      <c r="AAG449" s="73">
        <f>IF(AAE449=0,,S.Notice.BANNER.Begin)</f>
        <v>41572</v>
      </c>
      <c r="AAH449" s="73">
        <f>IF(AAE449=0,,WORKDAY(MAX(S.Notice.OpenComment,S.Notice.SubmitToSOS),-2,S.DDL_DEQClosed))</f>
        <v>41624</v>
      </c>
      <c r="AAI449" s="72"/>
      <c r="AAJ449" s="72"/>
      <c r="AAK449" s="80" t="str">
        <f>IF(S.SIP.Involved="Y","* coordinates SIP inclusion with "&amp;S.Staff.SIPCo,"* SIP not involved")</f>
        <v>* coordinates SIP inclusion with AndreaSIP</v>
      </c>
      <c r="AAL449" s="90"/>
      <c r="AAM449"/>
    </row>
    <row r="450" spans="1:715" s="23" customFormat="1" ht="15" customHeight="1" outlineLevel="1" thickBot="1">
      <c r="A450" s="171"/>
      <c r="B450" s="304" t="str">
        <f>AAK450</f>
        <v>* determines if newspaper advertisements are required; resource AndreaDRC</v>
      </c>
      <c r="C450" s="611" t="s">
        <v>17</v>
      </c>
      <c r="D450" s="380"/>
      <c r="E450" s="342">
        <f t="shared" ref="E450" si="372">NETWORKDAYS(G450,H450,S.DDL_DEQClosed)</f>
        <v>32</v>
      </c>
      <c r="F450" s="457">
        <f t="shared" ca="1" si="311"/>
        <v>2</v>
      </c>
      <c r="G450" s="343">
        <f t="shared" si="333"/>
        <v>41572</v>
      </c>
      <c r="H450" s="343">
        <f t="shared" si="314"/>
        <v>41619</v>
      </c>
      <c r="I450" s="244"/>
      <c r="J450" s="194"/>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s="52"/>
      <c r="AAA450" s="192"/>
      <c r="AAD450" s="90"/>
      <c r="AAE450" s="519">
        <f t="shared" ref="AAE450:AAE465" si="373">IF(AND(S.Notice.Involved="Y",S.Notice.AD.Involved="Y"),1,0)</f>
        <v>1</v>
      </c>
      <c r="AAF450" s="90"/>
      <c r="AAG450" s="73">
        <f>IF(AAE450=0,,IF(S.Notice.AD.Involved="N",,S.Notice.BANNER.Begin))</f>
        <v>41572</v>
      </c>
      <c r="AAH450" s="73">
        <f>IF(AAE450=0,,IF(S.Notice.AD.Involved="N",,WORKDAY(MIN(S.Notice.OpenComment,S.Notice.SubmitToSOS),-2,S.DDL_DEQClosed)))</f>
        <v>41619</v>
      </c>
      <c r="AAI450" s="72"/>
      <c r="AAJ450" s="72"/>
      <c r="AAK450" s="80" t="str">
        <f>"* determines if newspaper advertisements are required; resource "&amp;S.Staff.DivisionRulesCoordinator</f>
        <v>* determines if newspaper advertisements are required; resource AndreaDRC</v>
      </c>
      <c r="AAL450" s="90"/>
    </row>
    <row r="451" spans="1:715" ht="15" customHeight="1" outlineLevel="1">
      <c r="A451" s="171"/>
      <c r="B451" s="630" t="s">
        <v>354</v>
      </c>
      <c r="D451" s="380"/>
      <c r="E451" s="342">
        <f t="shared" ref="E451" si="374">NETWORKDAYS(G451,H451,S.DDL_DEQClosed)</f>
        <v>35</v>
      </c>
      <c r="F451" s="457">
        <f t="shared" ref="F451" ca="1" si="375">IF(YEAR(H451)&gt;2000,NETWORKDAYS(TODAY(),H451,S.DDL_DEQClosed),0)</f>
        <v>5</v>
      </c>
      <c r="G451" s="343">
        <f t="shared" ref="G451" si="376">AAG451</f>
        <v>41572</v>
      </c>
      <c r="H451" s="343">
        <f t="shared" ref="H451:H466" si="377">AAH451</f>
        <v>41624</v>
      </c>
      <c r="I451" s="244"/>
      <c r="J451" s="194"/>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AAA451" s="192"/>
      <c r="AAD451" s="90"/>
      <c r="AAE451" s="519">
        <f t="shared" si="373"/>
        <v>1</v>
      </c>
      <c r="AAF451" s="90"/>
      <c r="AAG451" s="73">
        <f>IF(AAE451=0,,IF(S.Notice.AD.Involved="N",,S.Notice.BANNER.Begin))</f>
        <v>41572</v>
      </c>
      <c r="AAH451" s="73">
        <f t="shared" ref="AAH451:AAH462" si="378">IF(AAE451=0,,IF(S.Notice.AD.Involved="N",,WORKDAY(S.Notice.OpenComment,-2,S.DDL_DEQClosed)))</f>
        <v>41624</v>
      </c>
      <c r="AAI451" s="72"/>
      <c r="AAJ451" s="72"/>
      <c r="AAK451" s="56"/>
      <c r="AAL451" s="90"/>
      <c r="AAM451"/>
    </row>
    <row r="452" spans="1:715" s="23" customFormat="1" ht="15" customHeight="1" outlineLevel="1">
      <c r="A452" s="171"/>
      <c r="B452" s="674" t="s">
        <v>529</v>
      </c>
      <c r="D452" s="894" t="s">
        <v>352</v>
      </c>
      <c r="E452" s="894"/>
      <c r="F452" s="894"/>
      <c r="G452" s="895"/>
      <c r="H452" s="343">
        <f t="shared" si="377"/>
        <v>41624</v>
      </c>
      <c r="I452" s="244"/>
      <c r="J452" s="194"/>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s="52"/>
      <c r="AAA452" s="192"/>
      <c r="AAD452" s="90"/>
      <c r="AAE452" s="519">
        <f t="shared" si="373"/>
        <v>1</v>
      </c>
      <c r="AAF452" s="90"/>
      <c r="AAG452" s="72"/>
      <c r="AAH452" s="73">
        <f t="shared" si="378"/>
        <v>41624</v>
      </c>
      <c r="AAI452" s="72" t="s">
        <v>0</v>
      </c>
      <c r="AAJ452" s="72"/>
      <c r="AAK452" s="56"/>
      <c r="AAL452" s="90"/>
    </row>
    <row r="453" spans="1:715" s="23" customFormat="1" ht="15" customHeight="1" outlineLevel="2">
      <c r="A453" s="171"/>
      <c r="B453" s="674" t="s">
        <v>530</v>
      </c>
      <c r="D453" s="894" t="s">
        <v>352</v>
      </c>
      <c r="E453" s="894"/>
      <c r="F453" s="894"/>
      <c r="G453" s="895"/>
      <c r="H453" s="343">
        <f t="shared" si="377"/>
        <v>41624</v>
      </c>
      <c r="I453" s="244"/>
      <c r="J453" s="194"/>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s="52"/>
      <c r="AAA453" s="192"/>
      <c r="AAD453" s="90"/>
      <c r="AAE453" s="519">
        <f t="shared" si="373"/>
        <v>1</v>
      </c>
      <c r="AAF453" s="90"/>
      <c r="AAG453" s="72"/>
      <c r="AAH453" s="73">
        <f t="shared" si="378"/>
        <v>41624</v>
      </c>
      <c r="AAI453" s="72"/>
      <c r="AAJ453" s="72"/>
      <c r="AAK453" s="56"/>
      <c r="AAL453" s="90"/>
    </row>
    <row r="454" spans="1:715" s="23" customFormat="1" ht="15" customHeight="1" outlineLevel="2">
      <c r="A454" s="171"/>
      <c r="B454" s="674" t="s">
        <v>533</v>
      </c>
      <c r="D454" s="894" t="s">
        <v>352</v>
      </c>
      <c r="E454" s="894"/>
      <c r="F454" s="894"/>
      <c r="G454" s="895"/>
      <c r="H454" s="343">
        <f t="shared" si="377"/>
        <v>41624</v>
      </c>
      <c r="I454" s="244"/>
      <c r="J454" s="194"/>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s="52"/>
      <c r="AAA454" s="192"/>
      <c r="AAD454" s="90"/>
      <c r="AAE454" s="519">
        <f t="shared" si="373"/>
        <v>1</v>
      </c>
      <c r="AAF454" s="90"/>
      <c r="AAG454" s="72"/>
      <c r="AAH454" s="73">
        <f t="shared" si="378"/>
        <v>41624</v>
      </c>
      <c r="AAI454" s="72"/>
      <c r="AAJ454" s="72"/>
      <c r="AAK454" s="56"/>
      <c r="AAL454" s="90"/>
    </row>
    <row r="455" spans="1:715" s="23" customFormat="1" ht="15" customHeight="1" outlineLevel="2">
      <c r="A455" s="171"/>
      <c r="B455" s="674" t="s">
        <v>532</v>
      </c>
      <c r="D455" s="894" t="s">
        <v>352</v>
      </c>
      <c r="E455" s="894"/>
      <c r="F455" s="894"/>
      <c r="G455" s="895"/>
      <c r="H455" s="343">
        <f t="shared" si="377"/>
        <v>41624</v>
      </c>
      <c r="I455" s="244"/>
      <c r="J455" s="194"/>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s="52"/>
      <c r="AAA455" s="192"/>
      <c r="AAD455" s="90"/>
      <c r="AAE455" s="519">
        <f t="shared" si="373"/>
        <v>1</v>
      </c>
      <c r="AAF455" s="90"/>
      <c r="AAG455" s="72"/>
      <c r="AAH455" s="73">
        <f t="shared" si="378"/>
        <v>41624</v>
      </c>
      <c r="AAI455" s="72"/>
      <c r="AAJ455" s="72"/>
      <c r="AAK455" s="56"/>
      <c r="AAL455" s="90"/>
    </row>
    <row r="456" spans="1:715" s="23" customFormat="1" ht="15" customHeight="1" outlineLevel="2">
      <c r="A456" s="171"/>
      <c r="B456" s="674"/>
      <c r="D456" s="894" t="s">
        <v>352</v>
      </c>
      <c r="E456" s="894"/>
      <c r="F456" s="894"/>
      <c r="G456" s="895"/>
      <c r="H456" s="343">
        <f t="shared" si="377"/>
        <v>41624</v>
      </c>
      <c r="I456" s="244"/>
      <c r="J456" s="194"/>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s="52"/>
      <c r="AAA456" s="192"/>
      <c r="AAD456" s="90"/>
      <c r="AAE456" s="519">
        <f t="shared" si="373"/>
        <v>1</v>
      </c>
      <c r="AAF456" s="90"/>
      <c r="AAG456" s="72"/>
      <c r="AAH456" s="73">
        <f t="shared" si="378"/>
        <v>41624</v>
      </c>
      <c r="AAI456" s="72"/>
      <c r="AAJ456" s="72"/>
      <c r="AAK456" s="56"/>
      <c r="AAL456" s="90"/>
    </row>
    <row r="457" spans="1:715" s="23" customFormat="1" ht="15" customHeight="1" outlineLevel="2">
      <c r="A457" s="171"/>
      <c r="B457" s="674"/>
      <c r="D457" s="894" t="s">
        <v>352</v>
      </c>
      <c r="E457" s="894"/>
      <c r="F457" s="894"/>
      <c r="G457" s="895"/>
      <c r="H457" s="343">
        <f t="shared" si="377"/>
        <v>41624</v>
      </c>
      <c r="I457" s="244"/>
      <c r="J457" s="194"/>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s="52"/>
      <c r="AAA457" s="192"/>
      <c r="AAD457" s="90"/>
      <c r="AAE457" s="519">
        <f t="shared" si="373"/>
        <v>1</v>
      </c>
      <c r="AAF457" s="90"/>
      <c r="AAG457" s="72"/>
      <c r="AAH457" s="73">
        <f t="shared" si="378"/>
        <v>41624</v>
      </c>
      <c r="AAI457" s="72"/>
      <c r="AAJ457" s="72"/>
      <c r="AAK457" s="56"/>
      <c r="AAL457" s="90"/>
    </row>
    <row r="458" spans="1:715" s="23" customFormat="1" ht="15" customHeight="1" outlineLevel="2">
      <c r="A458" s="171"/>
      <c r="B458" s="674"/>
      <c r="D458" s="894" t="s">
        <v>352</v>
      </c>
      <c r="E458" s="894"/>
      <c r="F458" s="894"/>
      <c r="G458" s="895"/>
      <c r="H458" s="343">
        <f t="shared" si="377"/>
        <v>41624</v>
      </c>
      <c r="I458" s="244"/>
      <c r="J458" s="194"/>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s="52"/>
      <c r="AAA458" s="192"/>
      <c r="AAD458" s="90"/>
      <c r="AAE458" s="519">
        <f t="shared" si="373"/>
        <v>1</v>
      </c>
      <c r="AAF458" s="90"/>
      <c r="AAG458" s="72"/>
      <c r="AAH458" s="73">
        <f t="shared" si="378"/>
        <v>41624</v>
      </c>
      <c r="AAI458" s="72"/>
      <c r="AAJ458" s="72"/>
      <c r="AAK458" s="56"/>
      <c r="AAL458" s="90"/>
    </row>
    <row r="459" spans="1:715" s="23" customFormat="1" ht="15" customHeight="1" outlineLevel="2">
      <c r="A459" s="171"/>
      <c r="B459" s="674"/>
      <c r="C459"/>
      <c r="D459" s="902" t="s">
        <v>352</v>
      </c>
      <c r="E459" s="902"/>
      <c r="F459" s="902"/>
      <c r="G459" s="903"/>
      <c r="H459" s="343">
        <f t="shared" si="377"/>
        <v>41624</v>
      </c>
      <c r="I459" s="244"/>
      <c r="J459" s="194"/>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s="52"/>
      <c r="AAA459" s="192"/>
      <c r="AAD459" s="90"/>
      <c r="AAE459" s="519">
        <f t="shared" si="373"/>
        <v>1</v>
      </c>
      <c r="AAF459" s="90"/>
      <c r="AAG459" s="72"/>
      <c r="AAH459" s="73">
        <f t="shared" si="378"/>
        <v>41624</v>
      </c>
      <c r="AAI459" s="72"/>
      <c r="AAJ459" s="72"/>
      <c r="AAK459" s="56"/>
      <c r="AAL459" s="90"/>
    </row>
    <row r="460" spans="1:715" s="23" customFormat="1" ht="15" customHeight="1" outlineLevel="1" thickBot="1">
      <c r="A460" s="171" t="s">
        <v>0</v>
      </c>
      <c r="B460" s="630" t="s">
        <v>484</v>
      </c>
      <c r="C460" s="789" t="str">
        <f>HYPERLINK("\\deqhq1\Rule_Resources\i\AD.STANDARD.docx","i")</f>
        <v>i</v>
      </c>
      <c r="D460" s="380"/>
      <c r="E460" s="342">
        <f t="shared" ref="E460" si="379">NETWORKDAYS(G460,H460,S.DDL_DEQClosed)</f>
        <v>35</v>
      </c>
      <c r="F460" s="457">
        <f t="shared" ref="F460" ca="1" si="380">IF(YEAR(H460)&gt;2000,NETWORKDAYS(TODAY(),H460,S.DDL_DEQClosed),0)</f>
        <v>5</v>
      </c>
      <c r="G460" s="343">
        <f t="shared" ref="G460" si="381">AAG460</f>
        <v>41572</v>
      </c>
      <c r="H460" s="343">
        <f t="shared" si="377"/>
        <v>41624</v>
      </c>
      <c r="I460" s="244"/>
      <c r="J460" s="19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s="52"/>
      <c r="AAA460" s="192"/>
      <c r="AAD460" s="90"/>
      <c r="AAE460" s="519">
        <f t="shared" si="373"/>
        <v>1</v>
      </c>
      <c r="AAF460" s="90"/>
      <c r="AAG460" s="73">
        <f>IF(AAE460=0,,IF(S.Notice.AD.Involved="N",,S.Notice.BANNER.Begin))</f>
        <v>41572</v>
      </c>
      <c r="AAH460" s="73">
        <f t="shared" si="378"/>
        <v>41624</v>
      </c>
      <c r="AAI460" s="72"/>
      <c r="AAJ460" s="72"/>
      <c r="AAK460" s="56"/>
      <c r="AAL460" s="90"/>
    </row>
    <row r="461" spans="1:715" s="23" customFormat="1" ht="15" customHeight="1" outlineLevel="1" thickBot="1">
      <c r="A461" s="171" t="s">
        <v>0</v>
      </c>
      <c r="B461" s="630" t="s">
        <v>485</v>
      </c>
      <c r="C461" s="790" t="str">
        <f>HYPERLINK("\\deqhq1\Rule_Resources\i\AD.LEGAL.docx","i")</f>
        <v>i</v>
      </c>
      <c r="D461" s="380"/>
      <c r="E461" s="342">
        <f t="shared" ref="E461" si="382">NETWORKDAYS(G461,H461,S.DDL_DEQClosed)</f>
        <v>35</v>
      </c>
      <c r="F461" s="457">
        <f t="shared" ref="F461" ca="1" si="383">IF(YEAR(H461)&gt;2000,NETWORKDAYS(TODAY(),H461,S.DDL_DEQClosed),0)</f>
        <v>5</v>
      </c>
      <c r="G461" s="343">
        <f t="shared" ref="G461" si="384">AAG461</f>
        <v>41572</v>
      </c>
      <c r="H461" s="343">
        <f t="shared" si="377"/>
        <v>41624</v>
      </c>
      <c r="I461" s="244"/>
      <c r="J461" s="194"/>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s="52"/>
      <c r="AAA461" s="192" t="s">
        <v>0</v>
      </c>
      <c r="AAD461" s="90"/>
      <c r="AAE461" s="519">
        <f t="shared" si="373"/>
        <v>1</v>
      </c>
      <c r="AAF461" s="90"/>
      <c r="AAG461" s="73">
        <f>IF(AAE461=0,,IF(S.Notice.AD.Involved="N",,S.Notice.BANNER.Begin))</f>
        <v>41572</v>
      </c>
      <c r="AAH461" s="73">
        <f t="shared" si="378"/>
        <v>41624</v>
      </c>
      <c r="AAI461" s="72"/>
      <c r="AAJ461" s="72"/>
      <c r="AAK461" s="56"/>
      <c r="AAL461" s="90"/>
    </row>
    <row r="462" spans="1:715" s="23" customFormat="1" ht="15" customHeight="1" outlineLevel="1">
      <c r="A462" s="171" t="s">
        <v>0</v>
      </c>
      <c r="B462" s="630" t="s">
        <v>409</v>
      </c>
      <c r="D462" s="380"/>
      <c r="E462" s="342">
        <f t="shared" ref="E462" si="385">NETWORKDAYS(G462,H462,S.DDL_DEQClosed)</f>
        <v>35</v>
      </c>
      <c r="F462" s="457">
        <f t="shared" ref="F462" ca="1" si="386">IF(YEAR(H462)&gt;2000,NETWORKDAYS(TODAY(),H462,S.DDL_DEQClosed),0)</f>
        <v>5</v>
      </c>
      <c r="G462" s="343">
        <f t="shared" ref="G462" si="387">AAG462</f>
        <v>41572</v>
      </c>
      <c r="H462" s="343">
        <f t="shared" si="377"/>
        <v>41624</v>
      </c>
      <c r="I462" s="244"/>
      <c r="J462" s="194"/>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s="52"/>
      <c r="AAA462" s="192"/>
      <c r="AAD462" s="90"/>
      <c r="AAE462" s="519">
        <f t="shared" si="373"/>
        <v>1</v>
      </c>
      <c r="AAF462" s="90"/>
      <c r="AAG462" s="73">
        <f>IF(AAE462=0,,IF(S.Notice.AD.Involved="N",,S.Notice.BANNER.Begin))</f>
        <v>41572</v>
      </c>
      <c r="AAH462" s="73">
        <f t="shared" si="378"/>
        <v>41624</v>
      </c>
      <c r="AAI462" s="72"/>
      <c r="AAJ462" s="72"/>
      <c r="AAK462" s="56"/>
      <c r="AAL462" s="90"/>
    </row>
    <row r="463" spans="1:715" s="23" customFormat="1" ht="15" customHeight="1" outlineLevel="1">
      <c r="A463" s="171"/>
      <c r="B463" s="630" t="s">
        <v>417</v>
      </c>
      <c r="C463" s="364"/>
      <c r="D463" s="900" t="s">
        <v>418</v>
      </c>
      <c r="E463" s="900"/>
      <c r="F463" s="900"/>
      <c r="G463" s="901"/>
      <c r="H463" s="343">
        <f t="shared" si="377"/>
        <v>41624</v>
      </c>
      <c r="I463" s="244"/>
      <c r="J463" s="194"/>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s="52"/>
      <c r="AAA463" s="192"/>
      <c r="AAD463" s="90"/>
      <c r="AAE463" s="519">
        <f t="shared" si="373"/>
        <v>1</v>
      </c>
      <c r="AAF463" s="90"/>
      <c r="AAG463" s="61"/>
      <c r="AAH463" s="73">
        <f>IF(AAE463=0,,H462)</f>
        <v>41624</v>
      </c>
      <c r="AAI463" s="72"/>
      <c r="AAJ463" s="72"/>
      <c r="AAK463" s="87"/>
      <c r="AAL463" s="90"/>
    </row>
    <row r="464" spans="1:715" s="23" customFormat="1" ht="15" customHeight="1" outlineLevel="1">
      <c r="A464" s="171" t="s">
        <v>0</v>
      </c>
      <c r="B464" s="630" t="str">
        <f>AAK464</f>
        <v>- shares contents of HearingAndAdDates tab with MargaretMGR</v>
      </c>
      <c r="C464" s="793" t="s">
        <v>53</v>
      </c>
      <c r="D464" s="511"/>
      <c r="E464" s="342">
        <f t="shared" ref="E464" si="388">NETWORKDAYS(G464,H464,S.DDL_DEQClosed)</f>
        <v>32</v>
      </c>
      <c r="F464" s="457">
        <f t="shared" ref="F464" ca="1" si="389">IF(YEAR(H464)&gt;2000,NETWORKDAYS(TODAY(),H464,S.DDL_DEQClosed),0)</f>
        <v>2</v>
      </c>
      <c r="G464" s="343">
        <f t="shared" ref="G464" si="390">AAG464</f>
        <v>41572</v>
      </c>
      <c r="H464" s="343">
        <f t="shared" si="377"/>
        <v>41619</v>
      </c>
      <c r="I464" s="244"/>
      <c r="J464" s="194"/>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s="52"/>
      <c r="AAA464" s="192"/>
      <c r="AAD464" s="90"/>
      <c r="AAE464" s="519">
        <f t="shared" si="373"/>
        <v>1</v>
      </c>
      <c r="AAF464" s="90"/>
      <c r="AAG464" s="73">
        <f>IF(AAE464=0,,IF(S.Notice.AD.Involved="N",,S.Notice.BANNER.Begin))</f>
        <v>41572</v>
      </c>
      <c r="AAH464" s="73">
        <f>IF(AAE464=0,,IF(S.Notice.AD.Involved="N",,WORKDAY(MIN(S.Notice.OpenComment,S.Notice.SubmitToSOS),-2,S.DDL_DEQClosed)))</f>
        <v>41619</v>
      </c>
      <c r="AAI464" s="72"/>
      <c r="AAJ464" s="72"/>
      <c r="AAK464" s="254" t="str">
        <f>"- shares contents of HearingAndAdDates tab with "&amp;S.Staff.Mgr&amp;""</f>
        <v>- shares contents of HearingAndAdDates tab with MargaretMGR</v>
      </c>
      <c r="AAL464" s="90"/>
    </row>
    <row r="465" spans="1:715" s="23" customFormat="1" ht="15" customHeight="1" outlineLevel="1">
      <c r="A465" s="171" t="s">
        <v>0</v>
      </c>
      <c r="B465" s="630" t="str">
        <f>AAK465</f>
        <v>- obtains MargaretMGR's email approval</v>
      </c>
      <c r="C465" s="364"/>
      <c r="D465" s="380"/>
      <c r="E465" s="342">
        <f t="shared" ref="E465" si="391">NETWORKDAYS(G465,H465,S.DDL_DEQClosed)</f>
        <v>32</v>
      </c>
      <c r="F465" s="457">
        <f t="shared" ref="F465" ca="1" si="392">IF(YEAR(H465)&gt;2000,NETWORKDAYS(TODAY(),H465,S.DDL_DEQClosed),0)</f>
        <v>2</v>
      </c>
      <c r="G465" s="343">
        <f t="shared" ref="G465" si="393">AAG465</f>
        <v>41572</v>
      </c>
      <c r="H465" s="343">
        <f t="shared" si="377"/>
        <v>41619</v>
      </c>
      <c r="I465" s="244"/>
      <c r="J465" s="194"/>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s="52"/>
      <c r="AAA465" s="192"/>
      <c r="AAD465" s="90"/>
      <c r="AAE465" s="519">
        <f t="shared" si="373"/>
        <v>1</v>
      </c>
      <c r="AAF465" s="90"/>
      <c r="AAG465" s="73">
        <f>IF(AAE465=0,,IF(S.Notice.AD.Involved="N",,S.Notice.BANNER.Begin))</f>
        <v>41572</v>
      </c>
      <c r="AAH465" s="73">
        <f>IF(AAE465=0,,IF(S.Notice.AD.Involved="N",,WORKDAY(MIN(S.Notice.OpenComment,S.Notice.SubmitToSOS),-2,S.DDL_DEQClosed)))</f>
        <v>41619</v>
      </c>
      <c r="AAI465" s="72"/>
      <c r="AAJ465" s="72"/>
      <c r="AAK465" s="254" t="str">
        <f>"- obtains "&amp;S.Staff.Mgr&amp;"'s email approval"</f>
        <v>- obtains MargaretMGR's email approval</v>
      </c>
      <c r="AAL465" s="90"/>
    </row>
    <row r="466" spans="1:715" ht="15" customHeight="1" outlineLevel="1">
      <c r="A466" s="171"/>
      <c r="B466" s="304" t="s">
        <v>290</v>
      </c>
      <c r="C466" s="364"/>
      <c r="D466" s="380"/>
      <c r="E466" s="342">
        <f t="shared" si="371"/>
        <v>35</v>
      </c>
      <c r="F466" s="457">
        <f t="shared" ref="F466" ca="1" si="394">IF(YEAR(H466)&gt;2000,NETWORKDAYS(TODAY(),H466,S.DDL_DEQClosed),0)</f>
        <v>5</v>
      </c>
      <c r="G466" s="343">
        <f t="shared" si="333"/>
        <v>41572</v>
      </c>
      <c r="H466" s="343">
        <f t="shared" si="377"/>
        <v>41624</v>
      </c>
      <c r="I466" s="244"/>
      <c r="J466" s="194"/>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AAA466" s="192"/>
      <c r="AAD466" s="90"/>
      <c r="AAE466" s="519">
        <f>IF(S.Hearing.1stInvolve="Y",1,0)</f>
        <v>1</v>
      </c>
      <c r="AAF466" s="90"/>
      <c r="AAG466" s="73">
        <f>IF(AAE466=0,,S.Notice.BANNER.Begin)</f>
        <v>41572</v>
      </c>
      <c r="AAH466" s="73">
        <f>IF(AAE466=0,,WORKDAY(MAX(S.Notice.OpenComment,S.Notice.SubmitToSOS),-2,S.DDL_DEQClosed))</f>
        <v>41624</v>
      </c>
      <c r="AAI466" s="72"/>
      <c r="AAJ466" s="72"/>
      <c r="AAK466" s="56"/>
      <c r="AAL466" s="90"/>
      <c r="AAM466"/>
    </row>
    <row r="467" spans="1:715" s="23" customFormat="1" ht="15" customHeight="1" outlineLevel="1">
      <c r="A467" s="171"/>
      <c r="B467" s="304" t="s">
        <v>366</v>
      </c>
      <c r="C467" s="789" t="str">
        <f>HYPERLINK("\\deqhq1\Rule_Resources\i\EMAIL.Preview.docx","i")</f>
        <v>i</v>
      </c>
      <c r="D467" s="380"/>
      <c r="E467" s="342">
        <f t="shared" ref="E467" si="395">NETWORKDAYS(G467,H467,S.DDL_DEQClosed)</f>
        <v>15</v>
      </c>
      <c r="F467" s="457">
        <f t="shared" ref="F467" ca="1" si="396">IF(YEAR(H467)&gt;2000,NETWORKDAYS(TODAY(),H467,S.DDL_DEQClosed),0)</f>
        <v>-17</v>
      </c>
      <c r="G467" s="343">
        <f t="shared" ref="G467" si="397">AAG467</f>
        <v>41572</v>
      </c>
      <c r="H467" s="343">
        <f t="shared" ref="H467" si="398">AAH467</f>
        <v>41593</v>
      </c>
      <c r="I467" s="244"/>
      <c r="J467" s="194"/>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s="52"/>
      <c r="AAA467" s="192"/>
      <c r="AAD467" s="90"/>
      <c r="AAE467" s="519">
        <f t="shared" ref="AAE467:AAE490" si="399">IF(S.Notice.Involved="Y",1,0)</f>
        <v>1</v>
      </c>
      <c r="AAF467" s="90"/>
      <c r="AAG467" s="73">
        <f>IF(AAE467=0,,S.Notice.BANNER.Begin)</f>
        <v>41572</v>
      </c>
      <c r="AAH467" s="73">
        <f>IF(AAE467=0,,WORKDAY(S.Notice.PreviewBegin-1,-1,S.DDL_DEQClosed))</f>
        <v>41593</v>
      </c>
      <c r="AAI467" s="72"/>
      <c r="AAJ467" s="72"/>
      <c r="AAK467" s="56"/>
      <c r="AAL467" s="90"/>
    </row>
    <row r="468" spans="1:715" s="23" customFormat="1" ht="15" customHeight="1" outlineLevel="1">
      <c r="A468" s="171"/>
      <c r="B468" s="640" t="s">
        <v>359</v>
      </c>
      <c r="C468" s="376" t="s">
        <v>0</v>
      </c>
      <c r="D468"/>
      <c r="E468"/>
      <c r="F468"/>
      <c r="G468"/>
      <c r="H468"/>
      <c r="I468" s="244"/>
      <c r="J468" s="194"/>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s="52"/>
      <c r="AAA468" s="192"/>
      <c r="AAD468" s="90"/>
      <c r="AAE468" s="519">
        <f t="shared" si="399"/>
        <v>1</v>
      </c>
      <c r="AAF468" s="190" t="s">
        <v>52</v>
      </c>
      <c r="AAG468" s="72"/>
      <c r="AAH468" s="72"/>
      <c r="AAI468" s="72"/>
      <c r="AAJ468" s="72"/>
      <c r="AAK468" s="87"/>
      <c r="AAL468" s="90"/>
    </row>
    <row r="469" spans="1:715" s="23" customFormat="1" ht="15" customHeight="1" outlineLevel="1" thickBot="1">
      <c r="A469" s="171"/>
      <c r="B469" s="472" t="s">
        <v>299</v>
      </c>
      <c r="D469" s="390"/>
      <c r="E469" s="350"/>
      <c r="F469" s="350"/>
      <c r="G469" s="391"/>
      <c r="H469" s="392"/>
      <c r="I469" s="244"/>
      <c r="J469" s="194"/>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s="52"/>
      <c r="AAA469" s="192"/>
      <c r="AAD469" s="90"/>
      <c r="AAE469" s="519">
        <f t="shared" si="399"/>
        <v>1</v>
      </c>
      <c r="AAF469" s="190" t="s">
        <v>52</v>
      </c>
      <c r="AAG469" s="60" t="s">
        <v>0</v>
      </c>
      <c r="AAH469" s="60" t="s">
        <v>0</v>
      </c>
      <c r="AAI469" s="60"/>
      <c r="AAJ469" s="56"/>
      <c r="AAK469" s="87" t="s">
        <v>0</v>
      </c>
      <c r="AAL469" s="90"/>
    </row>
    <row r="470" spans="1:715" s="23" customFormat="1" ht="15" customHeight="1" outlineLevel="1" thickBot="1">
      <c r="A470" s="171"/>
      <c r="B470" s="631" t="s">
        <v>298</v>
      </c>
      <c r="C470" s="790" t="str">
        <f>HYPERLINK("http://www.oregonlaws.org/ors/183.335","i")</f>
        <v>i</v>
      </c>
      <c r="D470" s="380"/>
      <c r="E470" s="342">
        <f t="shared" ref="E470" si="400">NETWORKDAYS(G470,H470,S.DDL_DEQClosed)</f>
        <v>35</v>
      </c>
      <c r="F470" s="457">
        <f t="shared" ref="F470" ca="1" si="401">IF(YEAR(H470)&gt;2000,NETWORKDAYS(TODAY(),H470,S.DDL_DEQClosed),0)</f>
        <v>5</v>
      </c>
      <c r="G470" s="343">
        <f t="shared" ref="G470" si="402">AAG470</f>
        <v>41572</v>
      </c>
      <c r="H470" s="343">
        <f t="shared" ref="H470:H473" si="403">AAH470</f>
        <v>41624</v>
      </c>
      <c r="I470" s="244"/>
      <c r="J470" s="194"/>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s="52"/>
      <c r="AAA470" s="192"/>
      <c r="AAD470" s="90"/>
      <c r="AAE470" s="519">
        <f t="shared" si="399"/>
        <v>1</v>
      </c>
      <c r="AAF470" s="90"/>
      <c r="AAG470" s="73">
        <f>IF(AAE470=0,,S.Notice.BANNER.Begin)</f>
        <v>41572</v>
      </c>
      <c r="AAH470" s="73">
        <f>IF(AAE470=0,,WORKDAY(S.Notice.OpenComment,-2,S.DDL_DEQClosed))</f>
        <v>41624</v>
      </c>
      <c r="AAI470" s="72"/>
      <c r="AAJ470" s="72"/>
      <c r="AAK470" s="87" t="s">
        <v>0</v>
      </c>
      <c r="AAL470" s="90"/>
    </row>
    <row r="471" spans="1:715" s="23" customFormat="1" ht="15" customHeight="1" outlineLevel="1">
      <c r="A471" s="171"/>
      <c r="B471" s="289" t="str">
        <f>AAK471</f>
        <v>- validates recipients with MargaretMGR &amp; MargaretLEG</v>
      </c>
      <c r="D471" s="380"/>
      <c r="E471" s="397">
        <f t="shared" ref="E471:E473" si="404">NETWORKDAYS(G471,H471,S.DDL_DEQClosed)</f>
        <v>35</v>
      </c>
      <c r="F471" s="457">
        <f t="shared" ref="F471:F478" ca="1" si="405">IF(YEAR(H471)&gt;2000,NETWORKDAYS(TODAY(),H471,S.DDL_DEQClosed),0)</f>
        <v>5</v>
      </c>
      <c r="G471" s="343">
        <f t="shared" ref="G471:G473" si="406">AAG471</f>
        <v>41572</v>
      </c>
      <c r="H471" s="343">
        <f t="shared" si="403"/>
        <v>41624</v>
      </c>
      <c r="I471" s="244"/>
      <c r="J471" s="194"/>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s="52"/>
      <c r="AAA471" s="192" t="s">
        <v>0</v>
      </c>
      <c r="AAD471" s="90"/>
      <c r="AAE471" s="519">
        <f t="shared" si="399"/>
        <v>1</v>
      </c>
      <c r="AAF471" s="90"/>
      <c r="AAG471" s="73">
        <f>IF(AAE471=0,,S.Notice.BANNER.Begin)</f>
        <v>41572</v>
      </c>
      <c r="AAH471" s="73">
        <f>IF(AAE471=0,,WORKDAY(S.Notice.OpenComment,-2,S.DDL_DEQClosed))</f>
        <v>41624</v>
      </c>
      <c r="AAI471" s="72"/>
      <c r="AAJ471" s="72"/>
      <c r="AAK471" s="254" t="str">
        <f>"- validates recipients with "&amp;S.Staff.Mgr&amp;" &amp; "&amp;S.Staff.LegislativeLiason</f>
        <v>- validates recipients with MargaretMGR &amp; MargaretLEG</v>
      </c>
      <c r="AAL471" s="90"/>
    </row>
    <row r="472" spans="1:715" s="23" customFormat="1" ht="15" customHeight="1" outlineLevel="1">
      <c r="A472" s="171"/>
      <c r="B472" s="289" t="str">
        <f>AAK472</f>
        <v>- obtains approval of legislator's emails from MargaretLEG by email</v>
      </c>
      <c r="D472" s="380"/>
      <c r="E472" s="397">
        <f t="shared" ref="E472" si="407">NETWORKDAYS(G472,H472,S.DDL_DEQClosed)</f>
        <v>35</v>
      </c>
      <c r="F472" s="457">
        <f t="shared" ca="1" si="405"/>
        <v>5</v>
      </c>
      <c r="G472" s="343">
        <f t="shared" ref="G472" si="408">AAG472</f>
        <v>41572</v>
      </c>
      <c r="H472" s="343">
        <f t="shared" ref="H472" si="409">AAH472</f>
        <v>41624</v>
      </c>
      <c r="I472" s="244"/>
      <c r="J472" s="194"/>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s="52"/>
      <c r="AAA472" s="192" t="s">
        <v>0</v>
      </c>
      <c r="AAD472" s="90"/>
      <c r="AAE472" s="519">
        <f t="shared" si="399"/>
        <v>1</v>
      </c>
      <c r="AAF472" s="90"/>
      <c r="AAG472" s="73">
        <f>IF(AAE472=0,,S.Notice.BANNER.Begin)</f>
        <v>41572</v>
      </c>
      <c r="AAH472" s="73">
        <f>IF(AAE472=0,,WORKDAY(S.Notice.OpenComment,-2,S.DDL_DEQClosed))</f>
        <v>41624</v>
      </c>
      <c r="AAI472" s="72"/>
      <c r="AAJ472" s="72"/>
      <c r="AAK472" s="254" t="str">
        <f>"- obtains approval of legislator's emails from "&amp;S.Staff.LegislativeLiason&amp;" by email"</f>
        <v>- obtains approval of legislator's emails from MargaretLEG by email</v>
      </c>
      <c r="AAL472" s="90"/>
    </row>
    <row r="473" spans="1:715" s="23" customFormat="1" ht="15" customHeight="1" outlineLevel="1">
      <c r="A473" s="171"/>
      <c r="B473" s="631" t="s">
        <v>367</v>
      </c>
      <c r="C473" s="791" t="str">
        <f>HYPERLINK("\\deqhq1\Rule_Resources\i\EMAIL.KeyLegislators.docx","i")</f>
        <v>i</v>
      </c>
      <c r="D473" s="380"/>
      <c r="E473" s="397">
        <f t="shared" si="404"/>
        <v>35</v>
      </c>
      <c r="F473" s="457">
        <f t="shared" ca="1" si="405"/>
        <v>5</v>
      </c>
      <c r="G473" s="343">
        <f t="shared" si="406"/>
        <v>41572</v>
      </c>
      <c r="H473" s="343">
        <f t="shared" si="403"/>
        <v>41624</v>
      </c>
      <c r="I473" s="244"/>
      <c r="J473" s="194"/>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s="52"/>
      <c r="AAA473" s="192" t="s">
        <v>0</v>
      </c>
      <c r="AAD473" s="90"/>
      <c r="AAE473" s="519">
        <f t="shared" si="399"/>
        <v>1</v>
      </c>
      <c r="AAF473" s="90"/>
      <c r="AAG473" s="73">
        <f>IF(AAE473=0,,S.Notice.BANNER.Begin)</f>
        <v>41572</v>
      </c>
      <c r="AAH473" s="73">
        <f>IF(AAE473=0,,WORKDAY(S.Notice.OpenComment,-2,S.DDL_DEQClosed))</f>
        <v>41624</v>
      </c>
      <c r="AAI473" s="72"/>
      <c r="AAJ473" s="72"/>
      <c r="AAK473" s="185" t="s">
        <v>0</v>
      </c>
      <c r="AAL473" s="90"/>
    </row>
    <row r="474" spans="1:715" ht="15" customHeight="1" outlineLevel="1">
      <c r="A474" s="171"/>
      <c r="B474" s="384" t="str">
        <f>AAK474</f>
        <v>AndreaRW and MargaretMGR:</v>
      </c>
      <c r="C474" s="360" t="s">
        <v>0</v>
      </c>
      <c r="D474"/>
      <c r="E474"/>
      <c r="F474"/>
      <c r="G474"/>
      <c r="H474"/>
      <c r="I474" s="244"/>
      <c r="J474" s="194"/>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AAA474" s="192"/>
      <c r="AAD474" s="90"/>
      <c r="AAE474" s="519">
        <f t="shared" si="399"/>
        <v>1</v>
      </c>
      <c r="AAF474" s="90"/>
      <c r="AAG474" s="72"/>
      <c r="AAH474" s="72"/>
      <c r="AAI474" s="72"/>
      <c r="AAJ474" s="72"/>
      <c r="AAK474" s="80" t="str">
        <f>S.Staff.Lead&amp;" and "&amp;S.Staff.Mgr&amp;":"</f>
        <v>AndreaRW and MargaretMGR:</v>
      </c>
      <c r="AAL474" s="90"/>
      <c r="AAM474"/>
    </row>
    <row r="475" spans="1:715" s="23" customFormat="1" ht="15" customHeight="1" outlineLevel="1">
      <c r="A475" s="171"/>
      <c r="B475" s="441" t="str">
        <f>AAK475</f>
        <v>* brief Andy</v>
      </c>
      <c r="C475" s="721" t="s">
        <v>0</v>
      </c>
      <c r="D475" s="380"/>
      <c r="E475" s="854" t="s">
        <v>414</v>
      </c>
      <c r="F475" s="854"/>
      <c r="G475" s="855"/>
      <c r="H475" s="343">
        <f>AAH475</f>
        <v>41593</v>
      </c>
      <c r="I475" s="244"/>
      <c r="J475" s="194"/>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s="52"/>
      <c r="AAA475" s="192"/>
      <c r="AAD475" s="90"/>
      <c r="AAE475" s="519">
        <f t="shared" si="399"/>
        <v>1</v>
      </c>
      <c r="AAF475" s="90"/>
      <c r="AAG475" s="72"/>
      <c r="AAH475" s="73">
        <f>IF(AAE475=0,,WORKDAY(S.Notice.EMAIL.RulePublication-20,-1,S.DDL_DEQClosed))</f>
        <v>41593</v>
      </c>
      <c r="AAI475" s="72" t="s">
        <v>0</v>
      </c>
      <c r="AAJ475" s="72"/>
      <c r="AAK475" s="80" t="str">
        <f>"* brief "&amp;S.Staff.DA</f>
        <v>* brief Andy</v>
      </c>
      <c r="AAL475" s="90"/>
    </row>
    <row r="476" spans="1:715" s="23" customFormat="1" ht="15" customHeight="1" outlineLevel="1">
      <c r="A476" s="171"/>
      <c r="B476" s="441" t="str">
        <f>AAK476</f>
        <v>* reminds Andy &amp; JoanieS that this IS the lead DA review period</v>
      </c>
      <c r="C476" s="360" t="s">
        <v>0</v>
      </c>
      <c r="D476"/>
      <c r="E476"/>
      <c r="F476"/>
      <c r="G476"/>
      <c r="H476"/>
      <c r="I476" s="244"/>
      <c r="J476" s="194"/>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s="52"/>
      <c r="AAA476" s="192"/>
      <c r="AAD476" s="90"/>
      <c r="AAE476" s="519">
        <f t="shared" si="399"/>
        <v>1</v>
      </c>
      <c r="AAF476" s="90"/>
      <c r="AAG476" s="72"/>
      <c r="AAH476" s="72"/>
      <c r="AAI476" s="72"/>
      <c r="AAJ476" s="72"/>
      <c r="AAK476" s="80" t="str">
        <f>"* reminds "&amp;S.Staff.DA&amp;" &amp; "&amp;S.Staff.CheifPublicAffairsOfficer&amp;" that this IS the lead DA review period"</f>
        <v>* reminds Andy &amp; JoanieS that this IS the lead DA review period</v>
      </c>
      <c r="AAL476" s="90"/>
    </row>
    <row r="477" spans="1:715" s="23" customFormat="1" ht="15" customHeight="1" outlineLevel="1">
      <c r="A477" s="171"/>
      <c r="B477" s="384" t="str">
        <f>AAK477</f>
        <v>Andy personalizes EMAIL.PREVIEW and</v>
      </c>
      <c r="C477" s="360" t="s">
        <v>0</v>
      </c>
      <c r="D477"/>
      <c r="E477"/>
      <c r="F477"/>
      <c r="G477"/>
      <c r="H477"/>
      <c r="I477" s="244"/>
      <c r="J477" s="194"/>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s="52"/>
      <c r="AAA477" s="192" t="s">
        <v>0</v>
      </c>
      <c r="AAD477" s="90"/>
      <c r="AAE477" s="519">
        <f t="shared" si="399"/>
        <v>1</v>
      </c>
      <c r="AAF477" s="90"/>
      <c r="AAG477" s="72"/>
      <c r="AAH477" s="72"/>
      <c r="AAI477" s="72"/>
      <c r="AAJ477" s="72"/>
      <c r="AAK477" s="80" t="str">
        <f>S.Staff.DA&amp;" personalizes EMAIL.PREVIEW and"</f>
        <v>Andy personalizes EMAIL.PREVIEW and</v>
      </c>
      <c r="AAL477" s="90"/>
    </row>
    <row r="478" spans="1:715" s="23" customFormat="1" ht="15" customHeight="1" outlineLevel="1">
      <c r="A478" s="171"/>
      <c r="B478" s="621" t="s">
        <v>213</v>
      </c>
      <c r="C478" s="376" t="s">
        <v>0</v>
      </c>
      <c r="D478" s="380"/>
      <c r="E478"/>
      <c r="F478" s="457">
        <f t="shared" ca="1" si="405"/>
        <v>-16</v>
      </c>
      <c r="G478"/>
      <c r="H478" s="351">
        <f>AAH478</f>
        <v>41596</v>
      </c>
      <c r="I478" s="244"/>
      <c r="J478" s="194"/>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s="52"/>
      <c r="AAA478" s="192"/>
      <c r="AAB478"/>
      <c r="AAC478"/>
      <c r="AAD478" s="90"/>
      <c r="AAE478" s="519">
        <f t="shared" si="399"/>
        <v>1</v>
      </c>
      <c r="AAF478" s="90"/>
      <c r="AAG478" s="72"/>
      <c r="AAH478" s="73">
        <f>IF(AAE478=0,,WORKDAY(S.Notice.DABriefing,1,S.DDL_DEQClosed))</f>
        <v>41596</v>
      </c>
      <c r="AAI478" s="72"/>
      <c r="AAJ478" s="72"/>
      <c r="AAK478" s="56"/>
      <c r="AAL478" s="90"/>
    </row>
    <row r="479" spans="1:715" ht="15" customHeight="1" outlineLevel="1">
      <c r="A479" s="171"/>
      <c r="B479" s="622" t="s">
        <v>284</v>
      </c>
      <c r="C479" s="386"/>
      <c r="D479" s="385"/>
      <c r="E479"/>
      <c r="F479" s="387"/>
      <c r="G479" s="388"/>
      <c r="H479" s="388"/>
      <c r="I479" s="244"/>
      <c r="J479" s="194"/>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AAA479" s="192"/>
      <c r="AAD479" s="90"/>
      <c r="AAE479" s="519">
        <f t="shared" si="399"/>
        <v>1</v>
      </c>
      <c r="AAF479" s="190" t="s">
        <v>52</v>
      </c>
      <c r="AAG479" s="71"/>
      <c r="AAH479" s="71"/>
      <c r="AAI479" s="72"/>
      <c r="AAJ479" s="72"/>
      <c r="AAK479" s="56"/>
      <c r="AAL479" s="90"/>
      <c r="AAM479"/>
    </row>
    <row r="480" spans="1:715" ht="15" customHeight="1" outlineLevel="1">
      <c r="A480" s="171"/>
      <c r="B480" s="622" t="s">
        <v>121</v>
      </c>
      <c r="C480" s="386"/>
      <c r="D480" s="385"/>
      <c r="E480"/>
      <c r="F480" s="387"/>
      <c r="G480" s="388"/>
      <c r="H480" s="388"/>
      <c r="I480" s="244"/>
      <c r="J480" s="194"/>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AAA480" s="192"/>
      <c r="AAD480" s="90"/>
      <c r="AAE480" s="519">
        <f t="shared" si="399"/>
        <v>1</v>
      </c>
      <c r="AAF480" s="190" t="s">
        <v>52</v>
      </c>
      <c r="AAG480" s="71"/>
      <c r="AAH480" s="71"/>
      <c r="AAI480" s="72" t="s">
        <v>0</v>
      </c>
      <c r="AAJ480" s="72"/>
      <c r="AAK480" s="56"/>
      <c r="AAL480" s="90"/>
      <c r="AAM480"/>
    </row>
    <row r="481" spans="1:715" ht="15" customHeight="1" outlineLevel="1">
      <c r="A481" s="171"/>
      <c r="B481" s="623" t="s">
        <v>214</v>
      </c>
      <c r="C481" s="379" t="s">
        <v>0</v>
      </c>
      <c r="D481" s="380"/>
      <c r="E481"/>
      <c r="F481" s="457">
        <f ca="1">IF(YEAR(H481)&gt;2000,NETWORKDAYS(TODAY(),H481,S.DDL_DEQClosed),0)</f>
        <v>-9</v>
      </c>
      <c r="G481"/>
      <c r="H481" s="355">
        <f t="shared" ref="H481" si="410">AAH481</f>
        <v>41605</v>
      </c>
      <c r="I481" s="244"/>
      <c r="J481" s="194"/>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AAA481" s="192"/>
      <c r="AAD481" s="90"/>
      <c r="AAE481" s="519">
        <f t="shared" si="399"/>
        <v>1</v>
      </c>
      <c r="AAF481" s="90"/>
      <c r="AAG481" s="71"/>
      <c r="AAH481" s="73">
        <f>IF(AAE481=0,,WORKDAY(S.Notice.PreviewBegin,7,S.DDL_DEQClosed))</f>
        <v>41605</v>
      </c>
      <c r="AAI481" s="722" t="s">
        <v>0</v>
      </c>
      <c r="AAJ481" s="72"/>
      <c r="AAK481" s="56"/>
      <c r="AAL481" s="90"/>
      <c r="AAM481"/>
    </row>
    <row r="482" spans="1:715" s="23" customFormat="1" ht="15" customHeight="1" outlineLevel="1">
      <c r="A482" s="171"/>
      <c r="B482" s="361" t="str">
        <f>AAK482</f>
        <v>AndreaRW:</v>
      </c>
      <c r="C482" s="362"/>
      <c r="D482" s="362"/>
      <c r="E482" s="350"/>
      <c r="F482" s="350"/>
      <c r="G482" s="346"/>
      <c r="H482" s="346"/>
      <c r="I482" s="244"/>
      <c r="J482" s="194"/>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s="52"/>
      <c r="AAA482" s="192"/>
      <c r="AAD482" s="90"/>
      <c r="AAE482" s="519">
        <f t="shared" si="399"/>
        <v>1</v>
      </c>
      <c r="AAF482" s="190" t="s">
        <v>52</v>
      </c>
      <c r="AAG482" s="71"/>
      <c r="AAH482" s="71"/>
      <c r="AAI482" s="71"/>
      <c r="AAJ482" s="56"/>
      <c r="AAK482" s="254" t="str">
        <f>S.Staff.Lead&amp;":"</f>
        <v>AndreaRW:</v>
      </c>
      <c r="AAL482" s="90"/>
    </row>
    <row r="483" spans="1:715" s="23" customFormat="1" ht="15" customHeight="1" outlineLevel="1">
      <c r="A483" s="171"/>
      <c r="B483" s="396" t="s">
        <v>361</v>
      </c>
      <c r="C483" s="789" t="str">
        <f>HYPERLINK("\\deqhq1\Rule_Development\Currrent Plan","i")</f>
        <v>i</v>
      </c>
      <c r="D483" s="380"/>
      <c r="E483"/>
      <c r="F483" s="457">
        <f ca="1">IF(YEAR(H483)&gt;2000,NETWORKDAYS(TODAY(),H483,S.DDL_DEQClosed),0)</f>
        <v>-16</v>
      </c>
      <c r="G483"/>
      <c r="H483" s="700">
        <f>AAH483</f>
        <v>41596</v>
      </c>
      <c r="I483" s="244"/>
      <c r="J483" s="194"/>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s="52"/>
      <c r="AAA483" s="192" t="s">
        <v>0</v>
      </c>
      <c r="AAD483" s="90"/>
      <c r="AAE483" s="519">
        <f t="shared" si="399"/>
        <v>1</v>
      </c>
      <c r="AAF483" s="90"/>
      <c r="AAG483" s="72"/>
      <c r="AAH483" s="73">
        <f>IF(AAE483=0,,S.Notice.PreviewBegin)</f>
        <v>41596</v>
      </c>
      <c r="AAI483" s="71"/>
      <c r="AAJ483" s="72"/>
      <c r="AAK483" s="56"/>
      <c r="AAL483" s="90"/>
    </row>
    <row r="484" spans="1:715" s="23" customFormat="1" ht="15" customHeight="1" outlineLevel="1">
      <c r="A484" s="171"/>
      <c r="B484" s="396" t="s">
        <v>285</v>
      </c>
      <c r="C484" s="376" t="s">
        <v>0</v>
      </c>
      <c r="D484" s="380"/>
      <c r="E484" s="342">
        <f>NETWORKDAYS(G484,H484,S.DDL_DEQClosed)</f>
        <v>28</v>
      </c>
      <c r="F484" s="457">
        <f t="shared" ref="F484" ca="1" si="411">IF(YEAR(H484)&gt;2000,NETWORKDAYS(TODAY(),H484,S.DDL_DEQClosed),0)</f>
        <v>-4</v>
      </c>
      <c r="G484" s="355">
        <f t="shared" ref="G484:G493" si="412">AAG484</f>
        <v>41572</v>
      </c>
      <c r="H484" s="355">
        <f t="shared" ref="H484:H498" si="413">AAH484</f>
        <v>41613</v>
      </c>
      <c r="I484" s="244"/>
      <c r="J484" s="194"/>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s="52"/>
      <c r="AAA484" s="192" t="s">
        <v>0</v>
      </c>
      <c r="AAD484" s="90"/>
      <c r="AAE484" s="519">
        <f t="shared" si="399"/>
        <v>1</v>
      </c>
      <c r="AAF484" s="90"/>
      <c r="AAG484" s="73">
        <f>IF(AAE484=0,,S.Notice.BANNER.Begin)</f>
        <v>41572</v>
      </c>
      <c r="AAH484" s="73">
        <f t="shared" ref="AAH484:AAH489" si="414">IF(AAE484=0,,WORKDAY(S.Notice.EMAIL.RulePublication,-1,S.DDL_DEQClosed))</f>
        <v>41613</v>
      </c>
      <c r="AAI484" s="72"/>
      <c r="AAJ484" s="72"/>
      <c r="AAK484" s="56"/>
      <c r="AAL484" s="90"/>
    </row>
    <row r="485" spans="1:715" ht="15" customHeight="1" outlineLevel="1">
      <c r="A485" s="171"/>
      <c r="B485" s="396" t="str">
        <f t="shared" ref="B485" si="415">AAK485</f>
        <v>* talks with MargaretMGR decides how to address any feedback</v>
      </c>
      <c r="C485" s="376" t="s">
        <v>0</v>
      </c>
      <c r="D485" s="380"/>
      <c r="E485" s="23"/>
      <c r="F485" s="457">
        <f t="shared" ref="F485:F493" ca="1" si="416">IF(YEAR(H485)&gt;2000,NETWORKDAYS(TODAY(),H485,S.DDL_DEQClosed),0)</f>
        <v>-4</v>
      </c>
      <c r="G485" s="355">
        <f t="shared" si="412"/>
        <v>41572</v>
      </c>
      <c r="H485" s="355">
        <f t="shared" si="413"/>
        <v>41613</v>
      </c>
      <c r="I485" s="244"/>
      <c r="J485" s="194"/>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AAA485" s="192" t="s">
        <v>0</v>
      </c>
      <c r="AAD485" s="90"/>
      <c r="AAE485" s="519">
        <f t="shared" si="399"/>
        <v>1</v>
      </c>
      <c r="AAF485" s="90"/>
      <c r="AAG485" s="73">
        <f>IF(AAE485=0,,S.Notice.BANNER.Begin)</f>
        <v>41572</v>
      </c>
      <c r="AAH485" s="73">
        <f t="shared" si="414"/>
        <v>41613</v>
      </c>
      <c r="AAI485" s="72"/>
      <c r="AAJ485" s="72"/>
      <c r="AAK485" s="80" t="str">
        <f>"* talks with "&amp; S.Staff.Mgr&amp;" decides how to address any feedback"</f>
        <v>* talks with MargaretMGR decides how to address any feedback</v>
      </c>
      <c r="AAL485" s="90"/>
      <c r="AAM485"/>
    </row>
    <row r="486" spans="1:715" ht="15" customHeight="1" outlineLevel="1">
      <c r="A486" s="171"/>
      <c r="B486" s="407" t="s">
        <v>368</v>
      </c>
      <c r="C486" s="791" t="str">
        <f>HYPERLINK("\\deqhq1\Rule_Resources\i\EMAIL.BUDGET.SIGNOFF.docx","i")</f>
        <v>i</v>
      </c>
      <c r="D486" s="380"/>
      <c r="E486" s="342">
        <f t="shared" ref="E486:E488" si="417">NETWORKDAYS(G486,H486,S.DDL_DEQClosed)</f>
        <v>28</v>
      </c>
      <c r="F486" s="457">
        <f t="shared" ca="1" si="416"/>
        <v>-4</v>
      </c>
      <c r="G486" s="355">
        <f t="shared" si="412"/>
        <v>41572</v>
      </c>
      <c r="H486" s="355">
        <f t="shared" si="413"/>
        <v>41613</v>
      </c>
      <c r="I486" s="244"/>
      <c r="J486" s="194"/>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AAA486" s="192" t="s">
        <v>0</v>
      </c>
      <c r="AAD486" s="90"/>
      <c r="AAE486" s="519">
        <f t="shared" si="399"/>
        <v>1</v>
      </c>
      <c r="AAF486" s="90"/>
      <c r="AAG486" s="73">
        <f>IF(AAE486=0,,S.Notice.BANNER.Begin)</f>
        <v>41572</v>
      </c>
      <c r="AAH486" s="73">
        <f t="shared" si="414"/>
        <v>41613</v>
      </c>
      <c r="AAI486" s="72"/>
      <c r="AAJ486" s="72"/>
      <c r="AAK486" s="56"/>
      <c r="AAL486" s="90"/>
      <c r="AAM486"/>
    </row>
    <row r="487" spans="1:715" s="23" customFormat="1" ht="15" customHeight="1" outlineLevel="1">
      <c r="A487" s="171"/>
      <c r="B487" s="304" t="s">
        <v>407</v>
      </c>
      <c r="C487" s="789" t="str">
        <f>HYPERLINK("\\deqhq1\Rule_Development\Currrent Plan","i")</f>
        <v>i</v>
      </c>
      <c r="D487" s="380"/>
      <c r="E487"/>
      <c r="F487"/>
      <c r="G487"/>
      <c r="H487" s="355">
        <f t="shared" si="413"/>
        <v>41613</v>
      </c>
      <c r="I487" s="244"/>
      <c r="J487" s="194"/>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s="52"/>
      <c r="AAA487" s="192" t="s">
        <v>0</v>
      </c>
      <c r="AAD487" s="90"/>
      <c r="AAE487" s="519">
        <f t="shared" si="399"/>
        <v>1</v>
      </c>
      <c r="AAF487" s="90"/>
      <c r="AAG487" s="72"/>
      <c r="AAH487" s="73">
        <f t="shared" si="414"/>
        <v>41613</v>
      </c>
      <c r="AAI487" s="72"/>
      <c r="AAJ487" s="72"/>
      <c r="AAK487" s="56"/>
      <c r="AAL487" s="90"/>
    </row>
    <row r="488" spans="1:715" ht="15" customHeight="1" outlineLevel="1">
      <c r="A488" s="171"/>
      <c r="B488" s="304" t="s">
        <v>360</v>
      </c>
      <c r="C488" s="376" t="s">
        <v>0</v>
      </c>
      <c r="D488" s="380"/>
      <c r="E488" s="342">
        <f t="shared" si="417"/>
        <v>28</v>
      </c>
      <c r="F488" s="457">
        <f t="shared" ca="1" si="416"/>
        <v>-4</v>
      </c>
      <c r="G488" s="355">
        <f t="shared" si="412"/>
        <v>41572</v>
      </c>
      <c r="H488" s="355">
        <f t="shared" si="413"/>
        <v>41613</v>
      </c>
      <c r="I488" s="244"/>
      <c r="J488" s="194"/>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AAA488" s="192" t="s">
        <v>0</v>
      </c>
      <c r="AAD488" s="90"/>
      <c r="AAE488" s="519">
        <f t="shared" si="399"/>
        <v>1</v>
      </c>
      <c r="AAF488" s="90"/>
      <c r="AAG488" s="73">
        <f>IF(AAE488=0,,S.Notice.BANNER.Begin)</f>
        <v>41572</v>
      </c>
      <c r="AAH488" s="73">
        <f t="shared" si="414"/>
        <v>41613</v>
      </c>
      <c r="AAI488" s="72"/>
      <c r="AAJ488" s="72"/>
      <c r="AAK488" s="56"/>
      <c r="AAL488" s="90"/>
      <c r="AAM488"/>
    </row>
    <row r="489" spans="1:715" ht="15" customHeight="1" outlineLevel="1">
      <c r="A489" s="171"/>
      <c r="B489" s="407" t="str">
        <f>AAK489</f>
        <v>* finalizes Notice Packet with MargaretMGR</v>
      </c>
      <c r="C489" s="360" t="s">
        <v>0</v>
      </c>
      <c r="D489" s="380"/>
      <c r="E489" s="342">
        <f>NETWORKDAYS(G489,H489,S.DDL_DEQClosed)</f>
        <v>28</v>
      </c>
      <c r="F489" s="457">
        <f ca="1">IF(YEAR(H489)&gt;2000,NETWORKDAYS(TODAY(),H489,S.DDL_DEQClosed),0)</f>
        <v>-4</v>
      </c>
      <c r="G489" s="355">
        <f t="shared" si="412"/>
        <v>41572</v>
      </c>
      <c r="H489" s="355">
        <f t="shared" si="413"/>
        <v>41613</v>
      </c>
      <c r="I489" s="244"/>
      <c r="J489" s="194"/>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AAA489" s="192"/>
      <c r="AAD489" s="90"/>
      <c r="AAE489" s="519">
        <f t="shared" si="399"/>
        <v>1</v>
      </c>
      <c r="AAF489" s="90"/>
      <c r="AAG489" s="73">
        <f>IF(AAE489=0,,S.Notice.BANNER.Begin)</f>
        <v>41572</v>
      </c>
      <c r="AAH489" s="73">
        <f t="shared" si="414"/>
        <v>41613</v>
      </c>
      <c r="AAI489" s="72"/>
      <c r="AAJ489" s="72"/>
      <c r="AAK489" s="80" t="str">
        <f>"* finalizes Notice Packet with "&amp;S.Staff.Mgr</f>
        <v>* finalizes Notice Packet with MargaretMGR</v>
      </c>
      <c r="AAL489" s="90"/>
      <c r="AAM489"/>
    </row>
    <row r="490" spans="1:715" s="23" customFormat="1" ht="15" customHeight="1" outlineLevel="1">
      <c r="A490" s="171"/>
      <c r="B490" s="683" t="s">
        <v>387</v>
      </c>
      <c r="C490" s="362"/>
      <c r="D490" s="684"/>
      <c r="E490" s="685"/>
      <c r="F490" s="685"/>
      <c r="G490" s="353"/>
      <c r="H490" s="346"/>
      <c r="I490" s="244"/>
      <c r="J490" s="194"/>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s="52"/>
      <c r="AAA490" s="192"/>
      <c r="AAD490" s="90"/>
      <c r="AAE490" s="519">
        <f t="shared" si="399"/>
        <v>1</v>
      </c>
      <c r="AAF490" s="190" t="s">
        <v>52</v>
      </c>
      <c r="AAG490" s="71"/>
      <c r="AAH490" s="71"/>
      <c r="AAI490" s="71"/>
      <c r="AAJ490" s="56"/>
      <c r="AAK490" s="56"/>
      <c r="AAL490" s="90"/>
    </row>
    <row r="491" spans="1:715" ht="15" customHeight="1" outlineLevel="1">
      <c r="A491" s="171"/>
      <c r="B491" s="396" t="s">
        <v>408</v>
      </c>
      <c r="C491" s="376" t="s">
        <v>0</v>
      </c>
      <c r="D491" s="854" t="s">
        <v>419</v>
      </c>
      <c r="E491" s="854"/>
      <c r="F491" s="854"/>
      <c r="G491" s="855"/>
      <c r="H491" s="642">
        <f>AAH491</f>
        <v>41624</v>
      </c>
      <c r="I491" s="244"/>
      <c r="J491" s="194"/>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AAA491" s="192" t="s">
        <v>0</v>
      </c>
      <c r="AAD491" s="90"/>
      <c r="AAE491" s="519">
        <f>IF(AND(S.Notice.AD.Involved="Y",S.Notice.Involved="Y"),1,0)</f>
        <v>1</v>
      </c>
      <c r="AAF491" s="90"/>
      <c r="AAG491" s="72"/>
      <c r="AAH491" s="73">
        <f>IF(AAE491=0,,S.Notice.AD.ToContractServices)</f>
        <v>41624</v>
      </c>
      <c r="AAI491" s="72"/>
      <c r="AAJ491" s="72"/>
      <c r="AAK491" s="80" t="str">
        <f>"* modifies documents as needed"</f>
        <v>* modifies documents as needed</v>
      </c>
      <c r="AAL491" s="90"/>
      <c r="AAM491"/>
    </row>
    <row r="492" spans="1:715" s="23" customFormat="1" ht="15" customHeight="1" outlineLevel="1" thickBot="1">
      <c r="A492" s="171"/>
      <c r="B492" s="389" t="str">
        <f t="shared" ref="B492" si="418">AAK492</f>
        <v>MargaretMGR:</v>
      </c>
      <c r="C492" s="374"/>
      <c r="D492" s="393"/>
      <c r="E492" s="394"/>
      <c r="F492" s="394"/>
      <c r="G492" s="395"/>
      <c r="H492" s="395"/>
      <c r="I492" s="244"/>
      <c r="J492" s="198"/>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s="52"/>
      <c r="AAA492" s="192"/>
      <c r="AAD492" s="90"/>
      <c r="AAE492" s="519">
        <f>IF(S.Notice.Involved="Y",1,0)</f>
        <v>1</v>
      </c>
      <c r="AAF492" s="190" t="s">
        <v>52</v>
      </c>
      <c r="AAG492" s="71"/>
      <c r="AAH492" s="71"/>
      <c r="AAI492" s="72"/>
      <c r="AAJ492" s="72"/>
      <c r="AAK492" s="80" t="str">
        <f>S.Staff.Mgr&amp;":"</f>
        <v>MargaretMGR:</v>
      </c>
      <c r="AAL492" s="90"/>
    </row>
    <row r="493" spans="1:715" s="23" customFormat="1" ht="15" customHeight="1" outlineLevel="1" thickBot="1">
      <c r="A493" s="171"/>
      <c r="B493" s="407" t="str">
        <f>AAK493</f>
        <v>* resubmits Notice Packet to Andy - OPTIONAL</v>
      </c>
      <c r="C493" s="611" t="s">
        <v>303</v>
      </c>
      <c r="D493" s="380"/>
      <c r="E493" s="342">
        <f t="shared" ref="E493" si="419">NETWORKDAYS(G493,H493,S.DDL_DEQClosed)</f>
        <v>0</v>
      </c>
      <c r="F493" s="457">
        <f t="shared" ca="1" si="416"/>
        <v>0</v>
      </c>
      <c r="G493" s="355">
        <f t="shared" si="412"/>
        <v>0</v>
      </c>
      <c r="H493" s="355">
        <f t="shared" si="413"/>
        <v>0</v>
      </c>
      <c r="I493" s="244"/>
      <c r="J493" s="194"/>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s="52"/>
      <c r="AAA493" s="192"/>
      <c r="AAD493" s="90"/>
      <c r="AAE493" s="519">
        <f>IF(AND(C493="Y",S.Notice.Involved="Y"),1,0)</f>
        <v>0</v>
      </c>
      <c r="AAF493" s="90"/>
      <c r="AAG493" s="73">
        <f>IF(AAE493=0,,G489)</f>
        <v>0</v>
      </c>
      <c r="AAH493" s="73">
        <f>IF(AAE493=0,,WORKDAY(S.Notice.EMAIL.RulePublication,-1,S.DDL_DEQClosed))</f>
        <v>0</v>
      </c>
      <c r="AAI493" s="72"/>
      <c r="AAJ493" s="72"/>
      <c r="AAK493" s="80" t="str">
        <f>"* resubmits Notice Packet to "&amp;S.Staff.DA&amp;" - OPTIONAL"</f>
        <v>* resubmits Notice Packet to Andy - OPTIONAL</v>
      </c>
      <c r="AAL493" s="90"/>
    </row>
    <row r="494" spans="1:715" s="23" customFormat="1" ht="15" customHeight="1" outlineLevel="1" thickBot="1">
      <c r="A494" s="171"/>
      <c r="B494" s="542" t="str">
        <f>AAK494</f>
        <v>- manages review/approval process with Andy</v>
      </c>
      <c r="C494" s="360" t="s">
        <v>0</v>
      </c>
      <c r="D494"/>
      <c r="E494"/>
      <c r="F494"/>
      <c r="G494"/>
      <c r="H494"/>
      <c r="I494" s="244"/>
      <c r="J494" s="194"/>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s="52"/>
      <c r="AAA494" s="192"/>
      <c r="AAD494" s="90"/>
      <c r="AAE494" s="519">
        <f>IF(AND(C493="Y",S.Notice.Involved="Y"),1,0)</f>
        <v>0</v>
      </c>
      <c r="AAF494" s="190" t="s">
        <v>52</v>
      </c>
      <c r="AAG494" s="72"/>
      <c r="AAH494" s="72"/>
      <c r="AAI494" s="72"/>
      <c r="AAJ494" s="72"/>
      <c r="AAK494" s="80" t="str">
        <f>"- manages review/approval process with "&amp;S.Staff.DA</f>
        <v>- manages review/approval process with Andy</v>
      </c>
      <c r="AAL494" s="90"/>
    </row>
    <row r="495" spans="1:715" s="23" customFormat="1" ht="15" customHeight="1" outlineLevel="1" thickBot="1">
      <c r="A495" s="171"/>
      <c r="B495" s="396" t="str">
        <f>AAK495</f>
        <v>* emails management's approval to publish Notice Packet to AndreaRW</v>
      </c>
      <c r="C495" s="513" t="s">
        <v>53</v>
      </c>
      <c r="D495" s="380"/>
      <c r="E495" s="891" t="s">
        <v>443</v>
      </c>
      <c r="F495" s="892"/>
      <c r="G495" s="893"/>
      <c r="H495" s="355">
        <f t="shared" si="413"/>
        <v>41613</v>
      </c>
      <c r="I495" s="244"/>
      <c r="J495" s="198"/>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s="52"/>
      <c r="AAA495" s="192"/>
      <c r="AAD495" s="90"/>
      <c r="AAE495" s="519">
        <f t="shared" ref="AAE495:AAE517" si="420">IF(S.Notice.Involved="Y",1,0)</f>
        <v>1</v>
      </c>
      <c r="AAF495" s="90"/>
      <c r="AAG495" s="72"/>
      <c r="AAH495" s="73">
        <f>IF(AAE495=0,,WORKDAY(S.Notice.EMAIL.RulePublication,-1,S.DDL_DEQClosed))</f>
        <v>41613</v>
      </c>
      <c r="AAI495" s="72"/>
      <c r="AAJ495" s="72"/>
      <c r="AAK495" s="80" t="str">
        <f>"* emails management's approval to publish Notice Packet to "&amp;S.Staff.Lead</f>
        <v>* emails management's approval to publish Notice Packet to AndreaRW</v>
      </c>
      <c r="AAL495" s="90"/>
    </row>
    <row r="496" spans="1:715" s="23" customFormat="1" ht="15" customHeight="1" outlineLevel="1">
      <c r="A496" s="171"/>
      <c r="B496" s="542" t="str">
        <f>AAK496</f>
        <v>- copies AndreaDRC and Maggie</v>
      </c>
      <c r="C496" s="360" t="s">
        <v>0</v>
      </c>
      <c r="D496"/>
      <c r="E496"/>
      <c r="F496"/>
      <c r="G496" s="23" t="s">
        <v>0</v>
      </c>
      <c r="H496"/>
      <c r="I496" s="244"/>
      <c r="J496" s="194"/>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s="52"/>
      <c r="AAA496" s="192"/>
      <c r="AAD496" s="90"/>
      <c r="AAE496" s="519">
        <f t="shared" si="420"/>
        <v>1</v>
      </c>
      <c r="AAF496" s="190" t="s">
        <v>52</v>
      </c>
      <c r="AAG496" s="72"/>
      <c r="AAH496" s="72"/>
      <c r="AAI496" s="72"/>
      <c r="AAJ496" s="72"/>
      <c r="AAK496" s="80" t="str">
        <f>"- copies "&amp;S.Staff.DivisionRulesCoordinator&amp;" and "&amp;S.Staff.AgencyRulesCoordinator</f>
        <v>- copies AndreaDRC and Maggie</v>
      </c>
      <c r="AAL496" s="90"/>
    </row>
    <row r="497" spans="1:715" s="23" customFormat="1" ht="15" customHeight="1" outlineLevel="1">
      <c r="A497" s="171"/>
      <c r="B497" s="361" t="str">
        <f>AAK497</f>
        <v>AndreaRW:</v>
      </c>
      <c r="C497" s="362"/>
      <c r="D497" s="362"/>
      <c r="E497" s="350"/>
      <c r="F497" s="350"/>
      <c r="G497" s="346"/>
      <c r="H497" s="346"/>
      <c r="I497" s="244"/>
      <c r="J497" s="194"/>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s="52"/>
      <c r="AAA497" s="192"/>
      <c r="AAD497" s="90"/>
      <c r="AAE497" s="519">
        <f t="shared" si="420"/>
        <v>1</v>
      </c>
      <c r="AAF497" s="190" t="s">
        <v>52</v>
      </c>
      <c r="AAG497" s="71"/>
      <c r="AAH497" s="71"/>
      <c r="AAI497" s="71"/>
      <c r="AAJ497" s="56"/>
      <c r="AAK497" s="254" t="str">
        <f>S.Staff.Lead&amp;":"</f>
        <v>AndreaRW:</v>
      </c>
      <c r="AAL497" s="90"/>
    </row>
    <row r="498" spans="1:715" s="23" customFormat="1" ht="15" customHeight="1" outlineLevel="1">
      <c r="A498" s="171"/>
      <c r="B498" s="407" t="s">
        <v>406</v>
      </c>
      <c r="C498" s="360" t="s">
        <v>0</v>
      </c>
      <c r="D498" s="380"/>
      <c r="E498"/>
      <c r="F498"/>
      <c r="G498"/>
      <c r="H498" s="355">
        <f t="shared" si="413"/>
        <v>41613</v>
      </c>
      <c r="I498" s="244"/>
      <c r="J498" s="194"/>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s="52"/>
      <c r="AAA498" s="192" t="s">
        <v>0</v>
      </c>
      <c r="AAD498" s="90"/>
      <c r="AAE498" s="519">
        <f t="shared" si="420"/>
        <v>1</v>
      </c>
      <c r="AAF498" s="90"/>
      <c r="AAG498" s="60" t="s">
        <v>0</v>
      </c>
      <c r="AAH498" s="73">
        <f>IF(AAE498=0,,WORKDAY(S.Notice.EMAIL.RulePublication,-1,S.DDL_DEQClosed))</f>
        <v>41613</v>
      </c>
      <c r="AAI498" s="72"/>
      <c r="AAJ498" s="72"/>
      <c r="AAK498" s="87" t="s">
        <v>0</v>
      </c>
      <c r="AAL498" s="90"/>
    </row>
    <row r="499" spans="1:715" ht="15" customHeight="1" outlineLevel="1">
      <c r="A499" s="171"/>
      <c r="B499" s="643" t="s">
        <v>107</v>
      </c>
      <c r="C499" s="362"/>
      <c r="D499" s="390"/>
      <c r="E499" s="350"/>
      <c r="F499" s="350"/>
      <c r="G499" s="391"/>
      <c r="H499" s="392"/>
      <c r="I499" s="244"/>
      <c r="J499" s="194"/>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AAA499" s="192"/>
      <c r="AAD499" s="90"/>
      <c r="AAE499" s="519">
        <f t="shared" si="420"/>
        <v>1</v>
      </c>
      <c r="AAF499" s="190" t="s">
        <v>52</v>
      </c>
      <c r="AAG499" s="60" t="s">
        <v>0</v>
      </c>
      <c r="AAH499" s="60" t="s">
        <v>0</v>
      </c>
      <c r="AAI499" s="60"/>
      <c r="AAJ499" s="56"/>
      <c r="AAK499" s="87" t="s">
        <v>0</v>
      </c>
      <c r="AAL499" s="90"/>
      <c r="AAM499"/>
    </row>
    <row r="500" spans="1:715" s="23" customFormat="1" ht="15" customHeight="1" outlineLevel="1" thickBot="1">
      <c r="A500" s="171" t="s">
        <v>0</v>
      </c>
      <c r="B500" s="389" t="str">
        <f t="shared" ref="B500" si="421">AAK500</f>
        <v>AndreaRW:</v>
      </c>
      <c r="C500" s="374"/>
      <c r="D500" s="393"/>
      <c r="E500" s="394"/>
      <c r="F500" s="394"/>
      <c r="G500" s="395"/>
      <c r="H500" s="395"/>
      <c r="I500" s="244"/>
      <c r="J500" s="198"/>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s="52"/>
      <c r="AAA500" s="192"/>
      <c r="AAD500" s="90"/>
      <c r="AAE500" s="519">
        <f t="shared" si="420"/>
        <v>1</v>
      </c>
      <c r="AAF500" s="190" t="s">
        <v>52</v>
      </c>
      <c r="AAG500" s="71"/>
      <c r="AAH500" s="71"/>
      <c r="AAI500" s="72"/>
      <c r="AAJ500" s="72"/>
      <c r="AAK500" s="80" t="str">
        <f>S.Staff.Lead&amp;":"</f>
        <v>AndreaRW:</v>
      </c>
      <c r="AAL500" s="90"/>
    </row>
    <row r="501" spans="1:715" s="23" customFormat="1" ht="15" customHeight="1" outlineLevel="1" thickBot="1">
      <c r="A501" s="171"/>
      <c r="B501" s="396" t="s">
        <v>410</v>
      </c>
      <c r="C501" s="513" t="s">
        <v>53</v>
      </c>
      <c r="D501" s="380"/>
      <c r="E501" s="891" t="s">
        <v>415</v>
      </c>
      <c r="F501" s="892"/>
      <c r="G501" s="893"/>
      <c r="H501" s="343">
        <f>AAH501</f>
        <v>41614</v>
      </c>
      <c r="I501" s="244"/>
      <c r="J501" s="198"/>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s="52"/>
      <c r="AAA501" s="192"/>
      <c r="AAD501" s="90"/>
      <c r="AAE501" s="519">
        <f t="shared" si="420"/>
        <v>1</v>
      </c>
      <c r="AAF501" s="90"/>
      <c r="AAG501" s="71"/>
      <c r="AAH501" s="73">
        <f>IF(AAE501=0,,WORKDAY(MIN(S.Notice.SubmitToSOS,S.Notice.OpenComment),-5,S.DDL_DEQClosed))</f>
        <v>41614</v>
      </c>
      <c r="AAI501" s="72"/>
      <c r="AAJ501" s="72"/>
      <c r="AAK501" s="87"/>
      <c r="AAL501" s="90"/>
    </row>
    <row r="502" spans="1:715" s="23" customFormat="1" ht="15" customHeight="1" outlineLevel="1">
      <c r="A502" s="171" t="s">
        <v>0</v>
      </c>
      <c r="B502" s="396" t="s">
        <v>337</v>
      </c>
      <c r="C502" s="374"/>
      <c r="D502" s="380"/>
      <c r="E502" s="394"/>
      <c r="F502" s="394"/>
      <c r="G502" s="395"/>
      <c r="H502" s="395"/>
      <c r="I502" s="244"/>
      <c r="J502" s="198"/>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s="52"/>
      <c r="AAA502" s="192"/>
      <c r="AAD502" s="90"/>
      <c r="AAE502" s="519">
        <f t="shared" si="420"/>
        <v>1</v>
      </c>
      <c r="AAF502" s="190" t="s">
        <v>52</v>
      </c>
      <c r="AAG502" s="71"/>
      <c r="AAH502" s="71"/>
      <c r="AAI502" s="72"/>
      <c r="AAJ502" s="72"/>
      <c r="AAK502" s="87"/>
      <c r="AAL502" s="90"/>
    </row>
    <row r="503" spans="1:715" s="23" customFormat="1" ht="15" customHeight="1" outlineLevel="1">
      <c r="A503" s="171" t="s">
        <v>0</v>
      </c>
      <c r="B503" s="670" t="s">
        <v>499</v>
      </c>
      <c r="C503" s="376" t="s">
        <v>0</v>
      </c>
      <c r="I503" s="244"/>
      <c r="J503" s="194"/>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s="52"/>
      <c r="AAA503" s="192"/>
      <c r="AAD503" s="90"/>
      <c r="AAE503" s="519">
        <f t="shared" si="420"/>
        <v>1</v>
      </c>
      <c r="AAF503" s="190" t="s">
        <v>52</v>
      </c>
      <c r="AAG503" s="72"/>
      <c r="AAH503" s="72"/>
      <c r="AAI503" s="72"/>
      <c r="AAJ503" s="72"/>
      <c r="AAK503" s="87"/>
      <c r="AAL503" s="90"/>
    </row>
    <row r="504" spans="1:715" s="23" customFormat="1" ht="15" customHeight="1" outlineLevel="1">
      <c r="A504" s="171" t="s">
        <v>0</v>
      </c>
      <c r="B504" s="720" t="s">
        <v>411</v>
      </c>
      <c r="C504" s="376" t="s">
        <v>0</v>
      </c>
      <c r="I504" s="244"/>
      <c r="J504" s="194"/>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s="52"/>
      <c r="AAA504" s="192"/>
      <c r="AAD504" s="90"/>
      <c r="AAE504" s="519">
        <f t="shared" si="420"/>
        <v>1</v>
      </c>
      <c r="AAF504" s="190" t="s">
        <v>52</v>
      </c>
      <c r="AAG504" s="72"/>
      <c r="AAH504" s="72"/>
      <c r="AAI504" s="72"/>
      <c r="AAJ504" s="72"/>
      <c r="AAK504" s="87"/>
      <c r="AAL504" s="90"/>
    </row>
    <row r="505" spans="1:715" s="23" customFormat="1" ht="15" customHeight="1" outlineLevel="1">
      <c r="A505" s="171" t="s">
        <v>0</v>
      </c>
      <c r="B505" s="720" t="s">
        <v>500</v>
      </c>
      <c r="C505" s="376" t="s">
        <v>0</v>
      </c>
      <c r="I505" s="244"/>
      <c r="J505" s="194"/>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s="52"/>
      <c r="AAA505" s="192"/>
      <c r="AAD505" s="90"/>
      <c r="AAE505" s="519">
        <f t="shared" si="420"/>
        <v>1</v>
      </c>
      <c r="AAF505" s="190" t="s">
        <v>52</v>
      </c>
      <c r="AAG505" s="72"/>
      <c r="AAH505" s="72"/>
      <c r="AAI505" s="72"/>
      <c r="AAJ505" s="72"/>
      <c r="AAK505" s="87"/>
      <c r="AAL505" s="90"/>
    </row>
    <row r="506" spans="1:715" s="23" customFormat="1" ht="15" customHeight="1" outlineLevel="1">
      <c r="A506" s="171" t="s">
        <v>0</v>
      </c>
      <c r="B506" s="720" t="s">
        <v>412</v>
      </c>
      <c r="C506" s="376" t="s">
        <v>0</v>
      </c>
      <c r="I506" s="244"/>
      <c r="J506" s="194"/>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s="52"/>
      <c r="AAA506" s="192"/>
      <c r="AAD506" s="90"/>
      <c r="AAE506" s="519">
        <f t="shared" si="420"/>
        <v>1</v>
      </c>
      <c r="AAF506" s="190" t="s">
        <v>52</v>
      </c>
      <c r="AAG506" s="72"/>
      <c r="AAH506" s="72"/>
      <c r="AAI506" s="72"/>
      <c r="AAJ506" s="72"/>
      <c r="AAK506" s="87"/>
      <c r="AAL506" s="90"/>
    </row>
    <row r="507" spans="1:715" s="23" customFormat="1" ht="15" customHeight="1" outlineLevel="1">
      <c r="A507" s="171"/>
      <c r="B507" s="670" t="str">
        <f>AAK507</f>
        <v>- editing for SOS submittal and authorization --  Maggie</v>
      </c>
      <c r="C507" s="376" t="s">
        <v>0</v>
      </c>
      <c r="I507" s="244"/>
      <c r="J507" s="194"/>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s="52"/>
      <c r="AAA507" s="192"/>
      <c r="AAD507" s="90"/>
      <c r="AAE507" s="519">
        <f t="shared" si="420"/>
        <v>1</v>
      </c>
      <c r="AAF507" s="190" t="s">
        <v>52</v>
      </c>
      <c r="AAG507" s="72"/>
      <c r="AAH507" s="72"/>
      <c r="AAI507" s="72"/>
      <c r="AAJ507" s="72"/>
      <c r="AAK507" s="80" t="str">
        <f>"- editing for SOS submittal and authorization --  "&amp;S.Staff.AgencyRulesCoordinator</f>
        <v>- editing for SOS submittal and authorization --  Maggie</v>
      </c>
      <c r="AAL507" s="90"/>
    </row>
    <row r="508" spans="1:715" s="23" customFormat="1" ht="15" customHeight="1" outlineLevel="1">
      <c r="A508" s="171"/>
      <c r="B508" s="640" t="s">
        <v>413</v>
      </c>
      <c r="C508" s="376" t="s">
        <v>0</v>
      </c>
      <c r="I508" s="244"/>
      <c r="J508" s="194"/>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s="52"/>
      <c r="AAA508" s="192"/>
      <c r="AAD508" s="90"/>
      <c r="AAE508" s="519">
        <f t="shared" si="420"/>
        <v>1</v>
      </c>
      <c r="AAF508" s="190" t="s">
        <v>52</v>
      </c>
      <c r="AAG508" s="72"/>
      <c r="AAH508" s="72"/>
      <c r="AAI508" s="72"/>
      <c r="AAJ508" s="72"/>
      <c r="AAK508" s="87"/>
      <c r="AAL508" s="90"/>
    </row>
    <row r="509" spans="1:715" s="23" customFormat="1" ht="15" customHeight="1" outlineLevel="1">
      <c r="A509" s="171"/>
      <c r="B509" s="670" t="str">
        <f>AAK509</f>
        <v>- editing for plain English, style guide and tone -- WilliamK</v>
      </c>
      <c r="C509" s="376" t="s">
        <v>0</v>
      </c>
      <c r="I509" s="244"/>
      <c r="J509" s="194"/>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s="52"/>
      <c r="AAA509" s="192"/>
      <c r="AAD509" s="90"/>
      <c r="AAE509" s="519">
        <f t="shared" si="420"/>
        <v>1</v>
      </c>
      <c r="AAF509" s="190" t="s">
        <v>52</v>
      </c>
      <c r="AAG509" s="72"/>
      <c r="AAH509" s="72"/>
      <c r="AAI509" s="72"/>
      <c r="AAJ509" s="72"/>
      <c r="AAK509" s="80" t="str">
        <f>"- editing for plain English, style guide and tone -- "&amp;S.Staff.OCOCommunication</f>
        <v>- editing for plain English, style guide and tone -- WilliamK</v>
      </c>
      <c r="AAL509" s="90"/>
    </row>
    <row r="510" spans="1:715" s="23" customFormat="1" ht="15" customHeight="1" outlineLevel="1">
      <c r="A510" s="171"/>
      <c r="B510" s="670" t="str">
        <f>AAK510</f>
        <v>- verifying/clarifying consolidated edits with AndreaRW</v>
      </c>
      <c r="C510" s="374"/>
      <c r="D510" s="393"/>
      <c r="E510" s="394"/>
      <c r="F510" s="394"/>
      <c r="G510" s="395"/>
      <c r="H510" s="395"/>
      <c r="I510" s="244"/>
      <c r="J510" s="198"/>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s="52"/>
      <c r="AAA510" s="192"/>
      <c r="AAD510" s="90"/>
      <c r="AAE510" s="519">
        <f t="shared" si="420"/>
        <v>1</v>
      </c>
      <c r="AAF510" s="190" t="s">
        <v>52</v>
      </c>
      <c r="AAG510" s="71"/>
      <c r="AAH510" s="71"/>
      <c r="AAI510" s="72"/>
      <c r="AAJ510" s="72"/>
      <c r="AAK510" s="80" t="str">
        <f>"- verifying/clarifying consolidated edits with "&amp;S.Staff.Lead</f>
        <v>- verifying/clarifying consolidated edits with AndreaRW</v>
      </c>
      <c r="AAL510" s="90"/>
    </row>
    <row r="511" spans="1:715" s="23" customFormat="1" ht="15" customHeight="1" outlineLevel="1" thickBot="1">
      <c r="A511" s="171"/>
      <c r="B511" s="670" t="str">
        <f>AAK511</f>
        <v>- establishing Outlook comment box with AndreaRW as owner</v>
      </c>
      <c r="C511" s="374"/>
      <c r="D511" s="393"/>
      <c r="E511" s="394"/>
      <c r="F511" s="394"/>
      <c r="G511" s="395"/>
      <c r="H511" s="395"/>
      <c r="I511" s="244"/>
      <c r="J511" s="198"/>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s="52"/>
      <c r="AAA511" s="192"/>
      <c r="AAD511" s="90"/>
      <c r="AAE511" s="519">
        <f t="shared" si="420"/>
        <v>1</v>
      </c>
      <c r="AAF511" s="190" t="s">
        <v>52</v>
      </c>
      <c r="AAG511" s="71"/>
      <c r="AAH511" s="71"/>
      <c r="AAI511" s="72"/>
      <c r="AAJ511" s="72"/>
      <c r="AAK511" s="80" t="str">
        <f>"- establishing Outlook comment box with "&amp;S.Staff.Lead&amp;" as owner"</f>
        <v>- establishing Outlook comment box with AndreaRW as owner</v>
      </c>
      <c r="AAL511" s="90"/>
    </row>
    <row r="512" spans="1:715" s="23" customFormat="1" ht="15" customHeight="1" outlineLevel="1" thickBot="1">
      <c r="A512" s="171"/>
      <c r="B512" s="640" t="s">
        <v>331</v>
      </c>
      <c r="C512" s="513" t="s">
        <v>53</v>
      </c>
      <c r="D512" s="357"/>
      <c r="E512" s="350"/>
      <c r="F512" s="350"/>
      <c r="G512" s="346"/>
      <c r="H512" s="346"/>
      <c r="I512" s="244"/>
      <c r="J512" s="194"/>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s="52"/>
      <c r="AAA512" s="192"/>
      <c r="AAD512" s="90"/>
      <c r="AAE512" s="519">
        <f t="shared" si="420"/>
        <v>1</v>
      </c>
      <c r="AAF512" s="190" t="s">
        <v>52</v>
      </c>
      <c r="AAG512" s="71"/>
      <c r="AAH512" s="71"/>
      <c r="AAI512" s="72"/>
      <c r="AAJ512" s="72"/>
      <c r="AAK512" s="87"/>
      <c r="AAL512" s="90"/>
    </row>
    <row r="513" spans="1:715" s="23" customFormat="1" ht="15" customHeight="1" outlineLevel="1" thickBot="1">
      <c r="A513" s="171"/>
      <c r="B513" s="640" t="s">
        <v>332</v>
      </c>
      <c r="D513" s="357"/>
      <c r="E513" s="350"/>
      <c r="F513" s="350"/>
      <c r="G513" s="346"/>
      <c r="H513" s="346"/>
      <c r="I513" s="244"/>
      <c r="J513" s="194"/>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s="52"/>
      <c r="AAA513" s="192"/>
      <c r="AAD513" s="90"/>
      <c r="AAE513" s="519">
        <f t="shared" si="420"/>
        <v>1</v>
      </c>
      <c r="AAF513" s="190" t="s">
        <v>52</v>
      </c>
      <c r="AAG513" s="71"/>
      <c r="AAH513" s="71"/>
      <c r="AAI513" s="72"/>
      <c r="AAJ513" s="72"/>
      <c r="AAK513" s="87"/>
      <c r="AAL513" s="90"/>
    </row>
    <row r="514" spans="1:715" s="23" customFormat="1" ht="15" customHeight="1" outlineLevel="1" thickBot="1">
      <c r="A514" s="171"/>
      <c r="B514" s="640" t="s">
        <v>333</v>
      </c>
      <c r="C514" s="513" t="s">
        <v>53</v>
      </c>
      <c r="D514" s="357"/>
      <c r="E514" s="350"/>
      <c r="F514" s="350"/>
      <c r="G514" s="346"/>
      <c r="H514" s="346"/>
      <c r="I514" s="244"/>
      <c r="J514" s="194"/>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s="52"/>
      <c r="AAA514" s="192"/>
      <c r="AAD514" s="90"/>
      <c r="AAE514" s="519">
        <f t="shared" si="420"/>
        <v>1</v>
      </c>
      <c r="AAF514" s="190" t="s">
        <v>52</v>
      </c>
      <c r="AAG514" s="71"/>
      <c r="AAH514" s="71"/>
      <c r="AAI514" s="72"/>
      <c r="AAJ514" s="72"/>
      <c r="AAK514" s="87"/>
      <c r="AAL514" s="90"/>
    </row>
    <row r="515" spans="1:715" s="23" customFormat="1" ht="15" customHeight="1" outlineLevel="1" thickBot="1">
      <c r="A515" s="171"/>
      <c r="B515" s="640" t="str">
        <f>AAK515</f>
        <v>- validating Web page, comment form, hearing date accuracy with AndreaRW</v>
      </c>
      <c r="D515" s="357"/>
      <c r="E515" s="350"/>
      <c r="F515" s="350"/>
      <c r="G515" s="346"/>
      <c r="H515" s="346"/>
      <c r="I515" s="244"/>
      <c r="J515" s="194"/>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s="52"/>
      <c r="AAA515" s="192"/>
      <c r="AAD515" s="90"/>
      <c r="AAE515" s="519">
        <f t="shared" si="420"/>
        <v>1</v>
      </c>
      <c r="AAF515" s="190" t="s">
        <v>52</v>
      </c>
      <c r="AAG515" s="71"/>
      <c r="AAH515" s="71"/>
      <c r="AAI515" s="72"/>
      <c r="AAJ515" s="72"/>
      <c r="AAK515" s="80" t="str">
        <f>"- validating Web page, comment form, hearing date accuracy with "&amp;S.Staff.Lead</f>
        <v>- validating Web page, comment form, hearing date accuracy with AndreaRW</v>
      </c>
      <c r="AAL515" s="90"/>
    </row>
    <row r="516" spans="1:715" s="23" customFormat="1" ht="15" customHeight="1" outlineLevel="1" thickBot="1">
      <c r="A516" s="171"/>
      <c r="B516" s="670" t="str">
        <f>"- submitting notice to SOS for publication in Oregon Bulletin"</f>
        <v>- submitting notice to SOS for publication in Oregon Bulletin</v>
      </c>
      <c r="C516" s="513" t="str">
        <f>HYPERLINK("http://oarnoticefilings.sos.state.or.us","i")</f>
        <v>i</v>
      </c>
      <c r="D516"/>
      <c r="E516"/>
      <c r="F516"/>
      <c r="G516"/>
      <c r="H516"/>
      <c r="I516" s="244"/>
      <c r="J516" s="194"/>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s="52"/>
      <c r="AAA516" s="192" t="s">
        <v>0</v>
      </c>
      <c r="AAD516" s="90"/>
      <c r="AAE516" s="519">
        <f t="shared" si="420"/>
        <v>1</v>
      </c>
      <c r="AAF516" s="90"/>
      <c r="AAG516" s="72"/>
      <c r="AAH516" s="72"/>
      <c r="AAI516" s="72"/>
      <c r="AAJ516" s="72"/>
      <c r="AAK516" s="87"/>
      <c r="AAL516" s="90"/>
    </row>
    <row r="517" spans="1:715" s="23" customFormat="1" ht="15" customHeight="1" outlineLevel="1">
      <c r="A517" s="171"/>
      <c r="B517" s="640" t="s">
        <v>334</v>
      </c>
      <c r="C517"/>
      <c r="D517"/>
      <c r="E517"/>
      <c r="F517"/>
      <c r="G517"/>
      <c r="H517"/>
      <c r="I517" s="244"/>
      <c r="J517" s="194"/>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s="52"/>
      <c r="AAA517" s="192"/>
      <c r="AAD517" s="90"/>
      <c r="AAE517" s="519">
        <f t="shared" si="420"/>
        <v>1</v>
      </c>
      <c r="AAF517" s="190" t="s">
        <v>52</v>
      </c>
      <c r="AAG517" s="61"/>
      <c r="AAH517" s="61"/>
      <c r="AAI517" s="72"/>
      <c r="AAJ517" s="72"/>
      <c r="AAK517" s="87"/>
      <c r="AAL517" s="90"/>
    </row>
    <row r="518" spans="1:715" s="23" customFormat="1" ht="15" customHeight="1" outlineLevel="1">
      <c r="A518" s="171" t="s">
        <v>0</v>
      </c>
      <c r="B518" s="640" t="s">
        <v>335</v>
      </c>
      <c r="C518" s="376" t="s">
        <v>0</v>
      </c>
      <c r="D518"/>
      <c r="E518"/>
      <c r="F518"/>
      <c r="G518"/>
      <c r="H518"/>
      <c r="I518" s="244"/>
      <c r="J518" s="194"/>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s="52"/>
      <c r="AAA518" s="192" t="s">
        <v>0</v>
      </c>
      <c r="AAD518" s="90"/>
      <c r="AAE518" s="519">
        <f>IF(AND(S.Notice.DASNotification=TRUE,S.Notice.Involved="Y"),1,0)</f>
        <v>0</v>
      </c>
      <c r="AAF518" s="90"/>
      <c r="AAG518" s="61"/>
      <c r="AAH518" s="61"/>
      <c r="AAI518" s="72"/>
      <c r="AAJ518" s="72"/>
      <c r="AAK518" s="87"/>
      <c r="AAL518" s="90"/>
    </row>
    <row r="519" spans="1:715" s="23" customFormat="1" ht="15" customHeight="1" outlineLevel="1" thickBot="1">
      <c r="A519" s="171" t="s">
        <v>0</v>
      </c>
      <c r="B519" s="640" t="s">
        <v>336</v>
      </c>
      <c r="C519" s="376" t="s">
        <v>0</v>
      </c>
      <c r="D519"/>
      <c r="E519"/>
      <c r="F519"/>
      <c r="G519"/>
      <c r="H519"/>
      <c r="I519" s="244"/>
      <c r="J519" s="194"/>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s="52"/>
      <c r="AAA519" s="192" t="s">
        <v>0</v>
      </c>
      <c r="AAD519" s="90"/>
      <c r="AAE519" s="519">
        <f>IF(AND(S.Notice.DASNotification=TRUE,S.Notice.Involved="Y"),1,0)</f>
        <v>0</v>
      </c>
      <c r="AAF519" s="90"/>
      <c r="AAG519" s="61"/>
      <c r="AAH519" s="61"/>
      <c r="AAI519" s="72"/>
      <c r="AAJ519" s="72"/>
      <c r="AAK519" s="87"/>
      <c r="AAL519" s="90"/>
    </row>
    <row r="520" spans="1:715" s="23" customFormat="1" ht="15" customHeight="1" outlineLevel="1" thickBot="1">
      <c r="A520" s="171"/>
      <c r="B520" s="407" t="s">
        <v>483</v>
      </c>
      <c r="C520" s="762" t="s">
        <v>53</v>
      </c>
      <c r="D520" s="380"/>
      <c r="E520"/>
      <c r="F520" s="672">
        <f ca="1">IF(YEAR(H520)&gt;2000,NETWORKDAYS(TODAY(),H520,S.DDL_DEQClosed),0)</f>
        <v>1</v>
      </c>
      <c r="G520"/>
      <c r="H520" s="343">
        <f>AAH520</f>
        <v>41618</v>
      </c>
      <c r="I520" s="244"/>
      <c r="J520" s="194"/>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s="52"/>
      <c r="AAA520" s="192" t="s">
        <v>0</v>
      </c>
      <c r="AAD520" s="90"/>
      <c r="AAE520" s="519">
        <f>IF(S.Notice.Involved="Y",1,0)</f>
        <v>1</v>
      </c>
      <c r="AAF520" s="90"/>
      <c r="AAG520" s="61"/>
      <c r="AAH520" s="73">
        <f>IF(AAE520=0,,WORKDAY(S.Notice.EMAIL.RulePublication,2,S.DDL_DEQClosed))</f>
        <v>41618</v>
      </c>
      <c r="AAI520" s="72"/>
      <c r="AAJ520" s="72"/>
      <c r="AAK520" s="87"/>
      <c r="AAL520" s="90"/>
    </row>
    <row r="521" spans="1:715" ht="15" customHeight="1" outlineLevel="1">
      <c r="A521" s="171"/>
      <c r="B521" s="407" t="s">
        <v>249</v>
      </c>
      <c r="C521" s="376" t="s">
        <v>0</v>
      </c>
      <c r="D521" s="380"/>
      <c r="E521" s="23"/>
      <c r="F521" s="672">
        <f ca="1">IF(YEAR(H521)&gt;2000,NETWORKDAYS(TODAY(),H521,S.DDL_DEQClosed),0)</f>
        <v>1</v>
      </c>
      <c r="G521" s="23"/>
      <c r="H521" s="487">
        <f t="shared" ref="H521" si="422">AAH521</f>
        <v>41618</v>
      </c>
      <c r="I521" s="244"/>
      <c r="J521" s="194"/>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AAA521" s="192" t="s">
        <v>0</v>
      </c>
      <c r="AAD521" s="90"/>
      <c r="AAE521" s="519">
        <f>IF(S.SIP.Involved="Y",1,0)</f>
        <v>1</v>
      </c>
      <c r="AAF521" s="90"/>
      <c r="AAG521" s="61"/>
      <c r="AAH521" s="73">
        <f>IF(AAE521=0,,WORKDAY(S.Notice.EMAIL.RulePublication,2,S.DDL_DEQClosed))</f>
        <v>41618</v>
      </c>
      <c r="AAI521" s="72"/>
      <c r="AAJ521" s="72"/>
      <c r="AAK521" s="87"/>
      <c r="AAL521" s="90"/>
      <c r="AAM521"/>
    </row>
    <row r="522" spans="1:715" s="23" customFormat="1" ht="15" customHeight="1" outlineLevel="1">
      <c r="A522" s="171"/>
      <c r="B522" s="671" t="s">
        <v>388</v>
      </c>
      <c r="C522" s="346"/>
      <c r="D522" s="357"/>
      <c r="E522" s="350"/>
      <c r="F522" s="350"/>
      <c r="G522" s="346"/>
      <c r="H522" s="346"/>
      <c r="I522" s="244"/>
      <c r="J522" s="194"/>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s="52"/>
      <c r="AAA522" s="192"/>
      <c r="AAD522" s="90"/>
      <c r="AAE522" s="519">
        <f t="shared" ref="AAE522:AAE537" si="423">IF(S.Notice.Involved="Y",1,0)</f>
        <v>1</v>
      </c>
      <c r="AAF522" s="190" t="s">
        <v>52</v>
      </c>
      <c r="AAG522" s="71"/>
      <c r="AAH522" s="71"/>
      <c r="AAI522" s="72"/>
      <c r="AAJ522" s="72"/>
      <c r="AAK522" s="254" t="str">
        <f>S.Staff.DivisionRulesCoordinator&amp;":"</f>
        <v>AndreaDRC:</v>
      </c>
      <c r="AAL522" s="90"/>
    </row>
    <row r="523" spans="1:715" ht="15" customHeight="1" outlineLevel="1">
      <c r="A523" s="171"/>
      <c r="B523" s="396" t="s">
        <v>293</v>
      </c>
      <c r="C523" s="376" t="s">
        <v>0</v>
      </c>
      <c r="D523" s="889" t="s">
        <v>294</v>
      </c>
      <c r="E523" s="889"/>
      <c r="F523" s="889"/>
      <c r="G523" s="890"/>
      <c r="H523" s="351">
        <f>AAH523</f>
        <v>41626</v>
      </c>
      <c r="I523" s="244"/>
      <c r="J523" s="194"/>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AAA523" s="192" t="s">
        <v>0</v>
      </c>
      <c r="AAD523" s="90"/>
      <c r="AAE523" s="519">
        <f t="shared" si="423"/>
        <v>1</v>
      </c>
      <c r="AAF523" s="90"/>
      <c r="AAG523" s="72"/>
      <c r="AAH523" s="73">
        <f>IF(AAE523=0,,S.Notice.OpenComment)</f>
        <v>41626</v>
      </c>
      <c r="AAI523" s="72"/>
      <c r="AAJ523" s="72"/>
      <c r="AAK523" s="87"/>
      <c r="AAL523" s="90"/>
      <c r="AAM523"/>
    </row>
    <row r="524" spans="1:715" s="23" customFormat="1" ht="15" customHeight="1" outlineLevel="1">
      <c r="A524" s="171"/>
      <c r="B524" s="624" t="s">
        <v>237</v>
      </c>
      <c r="C524" s="376" t="s">
        <v>0</v>
      </c>
      <c r="D524" s="380"/>
      <c r="E524" s="397">
        <f t="shared" ref="E524" si="424">NETWORKDAYS(G524,H524,S.DDL_DEQClosed)</f>
        <v>1</v>
      </c>
      <c r="F524" s="457">
        <f t="shared" ref="F524:F527" ca="1" si="425">IF(YEAR(H524)&gt;2000,NETWORKDAYS(TODAY(),H524,S.DDL_DEQClosed),0)</f>
        <v>7</v>
      </c>
      <c r="G524" s="400">
        <f t="shared" ref="G524:G527" si="426">AAG524</f>
        <v>41626</v>
      </c>
      <c r="H524" s="487">
        <f t="shared" ref="H524:H527" si="427">AAG524</f>
        <v>41626</v>
      </c>
      <c r="I524" s="244"/>
      <c r="J524" s="194"/>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s="52"/>
      <c r="AAA524" s="192"/>
      <c r="AAD524" s="90"/>
      <c r="AAE524" s="519">
        <f t="shared" si="423"/>
        <v>1</v>
      </c>
      <c r="AAF524" s="90"/>
      <c r="AAG524" s="73">
        <f>IF(AAE524=0,,S.Notice.OpenComment)</f>
        <v>41626</v>
      </c>
      <c r="AAH524" s="73">
        <f>IF(AAE524=0,,G524)</f>
        <v>41626</v>
      </c>
      <c r="AAI524" s="72"/>
      <c r="AAJ524" s="72"/>
      <c r="AAK524" s="185" t="s">
        <v>0</v>
      </c>
      <c r="AAL524" s="90"/>
    </row>
    <row r="525" spans="1:715" s="23" customFormat="1" ht="15" customHeight="1" outlineLevel="1">
      <c r="A525" s="171"/>
      <c r="B525" s="624" t="s">
        <v>250</v>
      </c>
      <c r="C525" s="376" t="s">
        <v>0</v>
      </c>
      <c r="D525" s="380"/>
      <c r="E525" s="397">
        <f t="shared" ref="E525" si="428">NETWORKDAYS(G525,H525,S.DDL_DEQClosed)</f>
        <v>1</v>
      </c>
      <c r="F525" s="457">
        <f t="shared" ca="1" si="425"/>
        <v>7</v>
      </c>
      <c r="G525" s="400">
        <f t="shared" si="426"/>
        <v>41626</v>
      </c>
      <c r="H525" s="487">
        <f t="shared" si="427"/>
        <v>41626</v>
      </c>
      <c r="I525" s="244"/>
      <c r="J525" s="194"/>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s="52"/>
      <c r="AAA525" s="192"/>
      <c r="AAD525" s="90"/>
      <c r="AAE525" s="519">
        <f t="shared" si="423"/>
        <v>1</v>
      </c>
      <c r="AAF525" s="90"/>
      <c r="AAG525" s="73">
        <f>IF(AAE525=0,,S.Notice.OpenComment)</f>
        <v>41626</v>
      </c>
      <c r="AAH525" s="73">
        <f t="shared" ref="AAH525:AAH528" si="429">IF(AAE525=0,,G525)</f>
        <v>41626</v>
      </c>
      <c r="AAI525" s="72"/>
      <c r="AAJ525" s="72"/>
      <c r="AAK525" s="185" t="s">
        <v>0</v>
      </c>
      <c r="AAL525" s="90"/>
    </row>
    <row r="526" spans="1:715" s="23" customFormat="1" ht="15" customHeight="1" outlineLevel="1">
      <c r="A526" s="171"/>
      <c r="B526" s="624" t="s">
        <v>251</v>
      </c>
      <c r="C526" s="376" t="s">
        <v>0</v>
      </c>
      <c r="D526" s="380"/>
      <c r="E526" s="397">
        <f t="shared" ref="E526:E527" si="430">NETWORKDAYS(G526,H526,S.DDL_DEQClosed)</f>
        <v>1</v>
      </c>
      <c r="F526" s="457">
        <f t="shared" ca="1" si="425"/>
        <v>7</v>
      </c>
      <c r="G526" s="400">
        <f t="shared" si="426"/>
        <v>41626</v>
      </c>
      <c r="H526" s="487">
        <f t="shared" si="427"/>
        <v>41626</v>
      </c>
      <c r="I526" s="244"/>
      <c r="J526" s="194"/>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s="52"/>
      <c r="AAA526" s="192"/>
      <c r="AAD526" s="90"/>
      <c r="AAE526" s="519">
        <f t="shared" si="423"/>
        <v>1</v>
      </c>
      <c r="AAF526" s="90"/>
      <c r="AAG526" s="73">
        <f>IF(AAE526=0,,S.Notice.OpenComment)</f>
        <v>41626</v>
      </c>
      <c r="AAH526" s="73">
        <f t="shared" si="429"/>
        <v>41626</v>
      </c>
      <c r="AAI526" s="72"/>
      <c r="AAJ526" s="72"/>
      <c r="AAK526" s="185" t="s">
        <v>0</v>
      </c>
      <c r="AAL526" s="90"/>
    </row>
    <row r="527" spans="1:715" s="23" customFormat="1" ht="15" customHeight="1" outlineLevel="1" thickBot="1">
      <c r="A527" s="171"/>
      <c r="B527" s="396" t="s">
        <v>404</v>
      </c>
      <c r="C527" s="376" t="s">
        <v>0</v>
      </c>
      <c r="D527" s="380"/>
      <c r="E527" s="397">
        <f t="shared" si="430"/>
        <v>1</v>
      </c>
      <c r="F527" s="457">
        <f t="shared" ca="1" si="425"/>
        <v>7</v>
      </c>
      <c r="G527" s="400">
        <f t="shared" si="426"/>
        <v>41626</v>
      </c>
      <c r="H527" s="487">
        <f t="shared" si="427"/>
        <v>41626</v>
      </c>
      <c r="I527" s="244"/>
      <c r="J527" s="194"/>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s="52"/>
      <c r="AAA527" s="192" t="s">
        <v>0</v>
      </c>
      <c r="AAD527" s="90"/>
      <c r="AAE527" s="519">
        <f t="shared" si="423"/>
        <v>1</v>
      </c>
      <c r="AAF527" s="90"/>
      <c r="AAG527" s="73">
        <f>IF(AAE527=0,,S.Notice.OpenComment)</f>
        <v>41626</v>
      </c>
      <c r="AAH527" s="73">
        <f t="shared" si="429"/>
        <v>41626</v>
      </c>
      <c r="AAI527" s="72"/>
      <c r="AAJ527" s="72"/>
      <c r="AAK527" s="185" t="s">
        <v>0</v>
      </c>
      <c r="AAL527" s="90"/>
    </row>
    <row r="528" spans="1:715" s="23" customFormat="1" ht="15" customHeight="1" outlineLevel="1" thickBot="1">
      <c r="A528" s="171"/>
      <c r="B528" s="624" t="s">
        <v>405</v>
      </c>
      <c r="C528" s="513" t="s">
        <v>53</v>
      </c>
      <c r="D528" s="380"/>
      <c r="E528" s="397">
        <f t="shared" ref="E528" si="431">NETWORKDAYS(G528,H528,S.DDL_DEQClosed)</f>
        <v>1</v>
      </c>
      <c r="F528" s="457">
        <f t="shared" ref="F528" ca="1" si="432">IF(YEAR(H528)&gt;2000,NETWORKDAYS(TODAY(),H528,S.DDL_DEQClosed),0)</f>
        <v>7</v>
      </c>
      <c r="G528" s="400">
        <f t="shared" ref="G528" si="433">AAG528</f>
        <v>41626</v>
      </c>
      <c r="H528" s="487">
        <f t="shared" ref="H528" si="434">AAG528</f>
        <v>41626</v>
      </c>
      <c r="I528" s="244"/>
      <c r="J528" s="194"/>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s="52"/>
      <c r="AAA528" s="192"/>
      <c r="AAD528" s="90"/>
      <c r="AAE528" s="519">
        <f t="shared" si="423"/>
        <v>1</v>
      </c>
      <c r="AAF528" s="90"/>
      <c r="AAG528" s="73">
        <f>IF(AAE528=0,,S.Notice.OpenComment)</f>
        <v>41626</v>
      </c>
      <c r="AAH528" s="73">
        <f t="shared" si="429"/>
        <v>41626</v>
      </c>
      <c r="AAI528" s="72"/>
      <c r="AAJ528" s="72"/>
      <c r="AAK528" s="185" t="s">
        <v>0</v>
      </c>
      <c r="AAL528" s="90"/>
    </row>
    <row r="529" spans="1:715" ht="15" customHeight="1" outlineLevel="1">
      <c r="A529" s="171"/>
      <c r="B529" s="612" t="s">
        <v>338</v>
      </c>
      <c r="C529" s="346"/>
      <c r="D529" s="357"/>
      <c r="E529" s="350"/>
      <c r="F529" s="350"/>
      <c r="G529" s="346"/>
      <c r="H529" s="346"/>
      <c r="I529" s="244"/>
      <c r="J529" s="194"/>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AAA529" s="192"/>
      <c r="AAD529" s="90"/>
      <c r="AAE529" s="519">
        <f t="shared" si="423"/>
        <v>1</v>
      </c>
      <c r="AAF529" s="190" t="s">
        <v>52</v>
      </c>
      <c r="AAG529" s="71"/>
      <c r="AAH529" s="71"/>
      <c r="AAI529" s="72"/>
      <c r="AAJ529" s="72"/>
      <c r="AAK529" s="491"/>
      <c r="AAL529" s="90"/>
      <c r="AAM529"/>
    </row>
    <row r="530" spans="1:715" ht="15" customHeight="1" outlineLevel="1">
      <c r="A530" s="171"/>
      <c r="B530" s="612" t="s">
        <v>339</v>
      </c>
      <c r="C530" s="346"/>
      <c r="D530" s="357"/>
      <c r="E530" s="350"/>
      <c r="F530" s="350"/>
      <c r="G530" s="346"/>
      <c r="H530" s="346"/>
      <c r="I530" s="244"/>
      <c r="J530" s="194"/>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AAA530" s="192"/>
      <c r="AAD530" s="90"/>
      <c r="AAE530" s="519">
        <f t="shared" si="423"/>
        <v>1</v>
      </c>
      <c r="AAF530" s="190" t="s">
        <v>52</v>
      </c>
      <c r="AAG530" s="71"/>
      <c r="AAH530" s="71"/>
      <c r="AAI530" s="72"/>
      <c r="AAJ530" s="72"/>
      <c r="AAK530" s="491"/>
      <c r="AAL530" s="90"/>
      <c r="AAM530"/>
    </row>
    <row r="531" spans="1:715" ht="15" customHeight="1" outlineLevel="1">
      <c r="A531" s="171"/>
      <c r="B531" s="612" t="s">
        <v>365</v>
      </c>
      <c r="C531" s="346"/>
      <c r="D531" s="357"/>
      <c r="E531" s="350"/>
      <c r="F531" s="350"/>
      <c r="G531" s="346"/>
      <c r="H531" s="346"/>
      <c r="I531" s="244"/>
      <c r="J531" s="194"/>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AAA531" s="192"/>
      <c r="AAD531" s="90"/>
      <c r="AAE531" s="519">
        <f t="shared" si="423"/>
        <v>1</v>
      </c>
      <c r="AAF531" s="190" t="s">
        <v>52</v>
      </c>
      <c r="AAG531" s="71"/>
      <c r="AAH531" s="71"/>
      <c r="AAI531" s="72"/>
      <c r="AAJ531" s="72"/>
      <c r="AAK531" s="491"/>
      <c r="AAL531" s="90"/>
      <c r="AAM531"/>
    </row>
    <row r="532" spans="1:715" s="23" customFormat="1" ht="15" customHeight="1" outlineLevel="1">
      <c r="A532" s="171"/>
      <c r="B532" s="641" t="str">
        <f>AAK532</f>
        <v>AndreaDRC:</v>
      </c>
      <c r="C532" s="346"/>
      <c r="D532" s="357"/>
      <c r="E532" s="350"/>
      <c r="F532" s="350"/>
      <c r="G532" s="346"/>
      <c r="H532" s="346"/>
      <c r="I532" s="244"/>
      <c r="J532" s="194"/>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s="52"/>
      <c r="AAA532" s="192"/>
      <c r="AAD532" s="90"/>
      <c r="AAE532" s="519">
        <f t="shared" si="423"/>
        <v>1</v>
      </c>
      <c r="AAF532" s="190" t="s">
        <v>52</v>
      </c>
      <c r="AAG532" s="71"/>
      <c r="AAH532" s="71"/>
      <c r="AAI532" s="72"/>
      <c r="AAJ532" s="72"/>
      <c r="AAK532" s="254" t="str">
        <f>S.Staff.DivisionRulesCoordinator&amp;":"</f>
        <v>AndreaDRC:</v>
      </c>
      <c r="AAL532" s="90"/>
    </row>
    <row r="533" spans="1:715" ht="15" customHeight="1" outlineLevel="1">
      <c r="A533" s="171"/>
      <c r="B533" s="304" t="s">
        <v>353</v>
      </c>
      <c r="C533" s="376" t="s">
        <v>0</v>
      </c>
      <c r="D533" s="380"/>
      <c r="E533" s="644">
        <f t="shared" ref="E533" si="435">NETWORKDAYS(G533,H533,S.DDL_DEQClosed)</f>
        <v>1</v>
      </c>
      <c r="F533" s="575">
        <f t="shared" ref="F533" ca="1" si="436">IF(YEAR(H533)&gt;2000,NETWORKDAYS(TODAY(),H533,S.DDL_DEQClosed),0)</f>
        <v>7</v>
      </c>
      <c r="G533" s="400">
        <f t="shared" ref="G533" si="437">AAG533</f>
        <v>41626</v>
      </c>
      <c r="H533" s="645">
        <f t="shared" ref="H533" si="438">AAH533</f>
        <v>41626</v>
      </c>
      <c r="I533" s="244"/>
      <c r="J533" s="194"/>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AAA533" s="192"/>
      <c r="AAD533" s="90"/>
      <c r="AAE533" s="519">
        <f t="shared" si="423"/>
        <v>1</v>
      </c>
      <c r="AAF533" s="90"/>
      <c r="AAG533" s="73">
        <f>IF(AAE533=0,,S.Notice.OpenComment)</f>
        <v>41626</v>
      </c>
      <c r="AAH533" s="73">
        <f t="shared" ref="AAH533" si="439">IF(AAE533=0,,G533)</f>
        <v>41626</v>
      </c>
      <c r="AAI533" s="72"/>
      <c r="AAJ533" s="72"/>
      <c r="AAK533" s="491"/>
      <c r="AAL533" s="90"/>
      <c r="AAM533"/>
    </row>
    <row r="534" spans="1:715" s="23" customFormat="1" ht="15" customHeight="1" outlineLevel="1" thickBot="1">
      <c r="A534" s="171"/>
      <c r="B534" s="304" t="str">
        <f>AAK534</f>
        <v>* copies AndreaRW</v>
      </c>
      <c r="C534" s="376" t="s">
        <v>0</v>
      </c>
      <c r="D534" s="380"/>
      <c r="E534"/>
      <c r="F534"/>
      <c r="G534"/>
      <c r="H534"/>
      <c r="I534" s="244"/>
      <c r="J534" s="194"/>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s="52"/>
      <c r="AAA534" s="192"/>
      <c r="AAD534" s="90"/>
      <c r="AAE534" s="519">
        <f t="shared" si="423"/>
        <v>1</v>
      </c>
      <c r="AAF534" s="90"/>
      <c r="AAG534" s="71"/>
      <c r="AAH534" s="71"/>
      <c r="AAI534" s="72"/>
      <c r="AAJ534" s="72"/>
      <c r="AAK534" s="254" t="str">
        <f>"* copies "&amp;S.Staff.Lead</f>
        <v>* copies AndreaRW</v>
      </c>
      <c r="AAL534" s="90"/>
    </row>
    <row r="535" spans="1:715" s="23" customFormat="1" ht="15" customHeight="1" outlineLevel="1" thickBot="1">
      <c r="A535" s="171"/>
      <c r="B535" s="304" t="s">
        <v>291</v>
      </c>
      <c r="C535" s="607" t="s">
        <v>53</v>
      </c>
      <c r="D535" s="380"/>
      <c r="E535"/>
      <c r="F535"/>
      <c r="G535"/>
      <c r="H535"/>
      <c r="I535" s="244"/>
      <c r="J535" s="194"/>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s="52"/>
      <c r="AAA535" s="192"/>
      <c r="AAD535" s="90"/>
      <c r="AAE535" s="519">
        <f t="shared" si="423"/>
        <v>1</v>
      </c>
      <c r="AAF535" s="90"/>
      <c r="AAG535" s="71"/>
      <c r="AAH535" s="71"/>
      <c r="AAI535" s="72"/>
      <c r="AAJ535" s="72"/>
      <c r="AAK535" s="491"/>
      <c r="AAL535" s="90"/>
    </row>
    <row r="536" spans="1:715" s="23" customFormat="1" ht="15" customHeight="1" outlineLevel="1">
      <c r="A536" s="171"/>
      <c r="B536" s="304" t="s">
        <v>292</v>
      </c>
      <c r="C536" s="346"/>
      <c r="D536" s="380"/>
      <c r="E536" s="350"/>
      <c r="F536" s="350"/>
      <c r="G536" s="346"/>
      <c r="H536" s="346"/>
      <c r="I536" s="244"/>
      <c r="J536" s="194"/>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s="52"/>
      <c r="AAA536" s="192"/>
      <c r="AAD536" s="90"/>
      <c r="AAE536" s="519">
        <f t="shared" si="423"/>
        <v>1</v>
      </c>
      <c r="AAF536" s="190" t="s">
        <v>52</v>
      </c>
      <c r="AAG536" s="71"/>
      <c r="AAH536" s="71"/>
      <c r="AAI536" s="72"/>
      <c r="AAJ536" s="72"/>
      <c r="AAK536" s="491"/>
      <c r="AAL536" s="90"/>
    </row>
    <row r="537" spans="1:715" ht="15" customHeight="1" outlineLevel="1">
      <c r="A537" s="171"/>
      <c r="B537" s="289" t="s">
        <v>286</v>
      </c>
      <c r="C537" s="346"/>
      <c r="D537" s="399"/>
      <c r="E537" s="350"/>
      <c r="F537" s="350"/>
      <c r="G537" s="346"/>
      <c r="H537" s="346"/>
      <c r="I537" s="244"/>
      <c r="J537" s="194"/>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AAA537" s="192"/>
      <c r="AAD537" s="90"/>
      <c r="AAE537" s="519">
        <f t="shared" si="423"/>
        <v>1</v>
      </c>
      <c r="AAF537" s="190" t="s">
        <v>52</v>
      </c>
      <c r="AAG537" s="71"/>
      <c r="AAH537" s="71"/>
      <c r="AAI537" s="72"/>
      <c r="AAJ537" s="72"/>
      <c r="AAK537" s="491"/>
      <c r="AAL537" s="90"/>
      <c r="AAM537"/>
    </row>
    <row r="538" spans="1:715" s="23" customFormat="1" ht="15" customHeight="1" outlineLevel="1">
      <c r="A538" s="171"/>
      <c r="B538" s="398" t="str">
        <f>AAK538</f>
        <v>AndreaRW:</v>
      </c>
      <c r="C538" s="346"/>
      <c r="D538" s="357"/>
      <c r="E538" s="350"/>
      <c r="F538" s="350"/>
      <c r="G538" s="346"/>
      <c r="H538" s="346"/>
      <c r="I538" s="244"/>
      <c r="J538" s="194"/>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s="52"/>
      <c r="AAA538" s="192"/>
      <c r="AAD538" s="90"/>
      <c r="AAE538" s="519">
        <f>IF(AND(S.Notice.Involved="Y",S.Notice.AD.Involved="Y"),1,0)</f>
        <v>1</v>
      </c>
      <c r="AAF538" s="190" t="s">
        <v>52</v>
      </c>
      <c r="AAG538" s="71"/>
      <c r="AAH538" s="71"/>
      <c r="AAI538" s="72"/>
      <c r="AAJ538" s="72"/>
      <c r="AAK538" s="80" t="str">
        <f>S.Staff.Lead&amp;":"</f>
        <v>AndreaRW:</v>
      </c>
      <c r="AAL538" s="90"/>
    </row>
    <row r="539" spans="1:715" s="23" customFormat="1" ht="15" customHeight="1" outlineLevel="1">
      <c r="A539" s="171"/>
      <c r="B539" s="396" t="s">
        <v>287</v>
      </c>
      <c r="C539" s="376" t="s">
        <v>0</v>
      </c>
      <c r="D539" s="380"/>
      <c r="E539" s="397">
        <f t="shared" ref="E539" si="440">NETWORKDAYS(G539,H539,S.DDL_DEQClosed)</f>
        <v>1</v>
      </c>
      <c r="F539" s="457">
        <f ca="1">IF(YEAR(H539)&gt;2000,NETWORKDAYS(TODAY(),H539,S.DDL_DEQClosed),0)</f>
        <v>4</v>
      </c>
      <c r="G539" s="400">
        <f t="shared" ref="G539:G540" si="441">AAG539</f>
        <v>41621</v>
      </c>
      <c r="H539" s="343">
        <f t="shared" ref="H539" si="442">AAH539</f>
        <v>41621</v>
      </c>
      <c r="I539" s="244"/>
      <c r="J539" s="194"/>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s="52"/>
      <c r="AAA539" s="192"/>
      <c r="AAD539" s="90"/>
      <c r="AAE539" s="519">
        <f>IF(AND(S.Notice.AD.Involved="Y",S.Notice.Involved="Y"),1,0)</f>
        <v>1</v>
      </c>
      <c r="AAF539" s="90"/>
      <c r="AAG539" s="73">
        <f>IF(AAE539=0,,IF(S.Notice.AD.Involved="N",,S.Notice.SubmitToSOS))</f>
        <v>41621</v>
      </c>
      <c r="AAH539" s="73">
        <f t="shared" ref="AAH539:AAH541" si="443">IF(AAE539=0,,G539)</f>
        <v>41621</v>
      </c>
      <c r="AAI539" s="72"/>
      <c r="AAJ539" s="72"/>
      <c r="AAK539" s="71" t="s">
        <v>0</v>
      </c>
      <c r="AAL539" s="90"/>
    </row>
    <row r="540" spans="1:715" s="23" customFormat="1" ht="15" customHeight="1" outlineLevel="1">
      <c r="A540" s="171"/>
      <c r="B540" s="396" t="s">
        <v>362</v>
      </c>
      <c r="C540" s="376" t="s">
        <v>0</v>
      </c>
      <c r="D540" s="380"/>
      <c r="E540" s="397">
        <f t="shared" ref="E540" si="444">NETWORKDAYS(G540,H540,S.DDL_DEQClosed)</f>
        <v>1</v>
      </c>
      <c r="F540" s="457">
        <f ca="1">IF(YEAR(H540)&gt;2000,NETWORKDAYS(TODAY(),H540,S.DDL_DEQClosed),0)</f>
        <v>4</v>
      </c>
      <c r="G540" s="400">
        <f t="shared" si="441"/>
        <v>41621</v>
      </c>
      <c r="H540" s="343">
        <f t="shared" ref="H540" si="445">AAH540</f>
        <v>41621</v>
      </c>
      <c r="I540" s="244"/>
      <c r="J540" s="194"/>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s="52"/>
      <c r="AAA540" s="192"/>
      <c r="AAD540" s="90"/>
      <c r="AAE540" s="519">
        <f>IF(AND(S.Notice.AD.Involved="Y",S.Notice.Involved="Y"),1,0)</f>
        <v>1</v>
      </c>
      <c r="AAF540" s="90"/>
      <c r="AAG540" s="73">
        <f>IF(AAE540=0,,IF(S.Notice.AD.Involved="N",,S.Notice.SubmitToSOS))</f>
        <v>41621</v>
      </c>
      <c r="AAH540" s="73">
        <f t="shared" si="443"/>
        <v>41621</v>
      </c>
      <c r="AAI540" s="72"/>
      <c r="AAJ540" s="72"/>
      <c r="AAK540" s="56"/>
      <c r="AAL540" s="90"/>
    </row>
    <row r="541" spans="1:715" s="23" customFormat="1" ht="15" customHeight="1" outlineLevel="1">
      <c r="A541" s="171"/>
      <c r="B541" s="396" t="s">
        <v>416</v>
      </c>
      <c r="C541" s="376" t="s">
        <v>0</v>
      </c>
      <c r="D541" s="380"/>
      <c r="E541" s="397">
        <f t="shared" ref="E541" si="446">NETWORKDAYS(G541,H541,S.DDL_DEQClosed)</f>
        <v>1</v>
      </c>
      <c r="F541" s="457">
        <f ca="1">IF(YEAR(H541)&gt;2000,NETWORKDAYS(TODAY(),H541,S.DDL_DEQClosed),0)</f>
        <v>4</v>
      </c>
      <c r="G541" s="400">
        <f t="shared" ref="G541" si="447">AAG541</f>
        <v>41621</v>
      </c>
      <c r="H541" s="343">
        <f t="shared" ref="H541" si="448">AAH541</f>
        <v>41621</v>
      </c>
      <c r="I541" s="244"/>
      <c r="J541" s="194"/>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s="52"/>
      <c r="AAA541" s="192"/>
      <c r="AAD541" s="90"/>
      <c r="AAE541" s="519">
        <f>IF(AND(S.Notice.AD.Involved="Y",S.Notice.Involved="Y"),1,0)</f>
        <v>1</v>
      </c>
      <c r="AAF541" s="90"/>
      <c r="AAG541" s="73">
        <f>IF(AAE541=0,,IF(S.Notice.AD.Involved="N",,S.Notice.SubmitToSOS))</f>
        <v>41621</v>
      </c>
      <c r="AAH541" s="73">
        <f t="shared" si="443"/>
        <v>41621</v>
      </c>
      <c r="AAI541" s="72"/>
      <c r="AAJ541" s="72"/>
      <c r="AAK541" s="56"/>
      <c r="AAL541" s="90"/>
    </row>
    <row r="542" spans="1:715" ht="15" customHeight="1" outlineLevel="1">
      <c r="A542" s="171"/>
      <c r="B542" s="483" t="s">
        <v>389</v>
      </c>
      <c r="C542" s="346"/>
      <c r="D542" s="357"/>
      <c r="E542" s="350"/>
      <c r="F542" s="350"/>
      <c r="G542" s="346"/>
      <c r="H542" s="346"/>
      <c r="I542" s="244"/>
      <c r="J542" s="194"/>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AAA542" s="192"/>
      <c r="AAD542" s="90"/>
      <c r="AAE542" s="519">
        <f>IF(AND(S.Notice.AD.Involved="Y",S.Notice.Involved="Y"),1,0)</f>
        <v>1</v>
      </c>
      <c r="AAF542" s="190" t="s">
        <v>52</v>
      </c>
      <c r="AAG542" s="71"/>
      <c r="AAH542" s="71"/>
      <c r="AAI542" s="72"/>
      <c r="AAJ542" s="72"/>
      <c r="AAK542" s="56"/>
      <c r="AAL542" s="90"/>
      <c r="AAM542"/>
    </row>
    <row r="543" spans="1:715" s="23" customFormat="1" ht="15" customHeight="1" outlineLevel="1">
      <c r="A543" s="171"/>
      <c r="B543" s="389" t="str">
        <f>AAK543</f>
        <v>AndreaDRC &amp; Michele maintain Rukemaking Activities Web page</v>
      </c>
      <c r="C543" s="376" t="s">
        <v>0</v>
      </c>
      <c r="D543" s="380"/>
      <c r="E543" s="397">
        <f t="shared" ref="E543:E544" si="449">NETWORKDAYS(G543,H543,S.DDL_DEQClosed)</f>
        <v>26</v>
      </c>
      <c r="F543" s="457">
        <f ca="1">IF(YEAR(H543)&gt;2000,NETWORKDAYS(TODAY(),H543,S.DDL_DEQClosed),0)</f>
        <v>32</v>
      </c>
      <c r="G543" s="424">
        <f t="shared" ref="G543" si="450">AAG543</f>
        <v>41626</v>
      </c>
      <c r="H543" s="351">
        <f t="shared" ref="H543" si="451">AAH543</f>
        <v>41666</v>
      </c>
      <c r="I543" s="244"/>
      <c r="J543" s="194"/>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s="52"/>
      <c r="AAA543" s="192"/>
      <c r="AAD543" s="90"/>
      <c r="AAE543" s="519">
        <f>IF(S.Notice.Involved="Y",1,0)</f>
        <v>1</v>
      </c>
      <c r="AAF543" s="90"/>
      <c r="AAG543" s="73">
        <f>IF(AAE543=0,,S.Notice.OpenComment)</f>
        <v>41626</v>
      </c>
      <c r="AAH543" s="73">
        <f>IF(AAE543=0,,S.Notice.BANNER.End)</f>
        <v>41666</v>
      </c>
      <c r="AAI543" s="72"/>
      <c r="AAJ543" s="72"/>
      <c r="AAK543" s="80" t="str">
        <f>S.Staff.DivisionRulesCoordinator&amp;" &amp; "&amp;S.Staff.WebMaster&amp;" maintain Rukemaking Activities Web page"</f>
        <v>AndreaDRC &amp; Michele maintain Rukemaking Activities Web page</v>
      </c>
      <c r="AAL543" s="90"/>
    </row>
    <row r="544" spans="1:715" s="23" customFormat="1" ht="15" customHeight="1" outlineLevel="1">
      <c r="A544" s="171"/>
      <c r="B544" s="291" t="str">
        <f>AAK544</f>
        <v>AndreaRW gathers and saves all notice emails for the Rule Record as:</v>
      </c>
      <c r="C544" s="789" t="str">
        <f>HYPERLINK("\\deqhq1\Rule_Development\Currrent Plan","i")</f>
        <v>i</v>
      </c>
      <c r="D544" s="574"/>
      <c r="E544" s="342">
        <f t="shared" si="449"/>
        <v>62</v>
      </c>
      <c r="F544" s="457">
        <f ca="1">IF(YEAR(H544)&gt;2000,NETWORKDAYS(TODAY(),H544,S.DDL_DEQClosed),0)</f>
        <v>32</v>
      </c>
      <c r="G544" s="351">
        <f>AAG544</f>
        <v>41572</v>
      </c>
      <c r="H544" s="351">
        <f>AAH544</f>
        <v>41666</v>
      </c>
      <c r="I544" s="244"/>
      <c r="J544" s="194"/>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s="52"/>
      <c r="AAA544" s="192"/>
      <c r="AAD544" s="90"/>
      <c r="AAE544" s="519">
        <f>IF(S.Notice.Involved="Y",1,0)</f>
        <v>1</v>
      </c>
      <c r="AAF544" s="90"/>
      <c r="AAG544" s="73">
        <f>IF(AAE544=0,,S.Notice.BANNER.Begin)</f>
        <v>41572</v>
      </c>
      <c r="AAH544" s="73">
        <f>IF(AAE544=0,,S.Notice.BANNER.End)</f>
        <v>41666</v>
      </c>
      <c r="AAI544" s="72"/>
      <c r="AAJ544" s="72"/>
      <c r="AAK544" s="92" t="str">
        <f>S.Staff.Lead&amp;" gathers and saves all notice emails for the Rule Record as:"</f>
        <v>AndreaRW gathers and saves all notice emails for the Rule Record as:</v>
      </c>
      <c r="AAL544" s="90"/>
    </row>
    <row r="545" spans="1:715" s="23" customFormat="1" ht="15" customHeight="1" outlineLevel="1">
      <c r="A545" s="171"/>
      <c r="B545" s="372" t="s">
        <v>171</v>
      </c>
      <c r="C545" s="362"/>
      <c r="D545" s="373"/>
      <c r="E545" s="350"/>
      <c r="F545" s="350"/>
      <c r="G545" s="346"/>
      <c r="H545" s="346"/>
      <c r="I545" s="244"/>
      <c r="J545" s="194"/>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s="52"/>
      <c r="AAA545" s="192"/>
      <c r="AAD545" s="90"/>
      <c r="AAE545" s="519">
        <f>IF(S.Notice.Involved="Y",1,0)</f>
        <v>1</v>
      </c>
      <c r="AAF545" s="190" t="s">
        <v>52</v>
      </c>
      <c r="AAG545" s="71"/>
      <c r="AAH545" s="71"/>
      <c r="AAI545" s="71"/>
      <c r="AAJ545" s="56"/>
      <c r="AAK545" s="71" t="s">
        <v>0</v>
      </c>
      <c r="AAL545" s="90"/>
    </row>
    <row r="546" spans="1:715" ht="6" customHeight="1">
      <c r="A546" s="171"/>
      <c r="B546" s="402"/>
      <c r="C546" s="404"/>
      <c r="D546" s="403"/>
      <c r="E546" s="405" t="s">
        <v>0</v>
      </c>
      <c r="F546" s="405" t="s">
        <v>0</v>
      </c>
      <c r="G546" s="406"/>
      <c r="H546" s="406"/>
      <c r="I546" s="244"/>
      <c r="J546" s="194"/>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AAA546" s="192"/>
      <c r="AAD546" s="90"/>
      <c r="AAE546" s="519" t="s">
        <v>21</v>
      </c>
      <c r="AAF546" s="190" t="s">
        <v>52</v>
      </c>
      <c r="AAG546" s="60"/>
      <c r="AAH546" s="60"/>
      <c r="AAI546" s="72"/>
      <c r="AAJ546" s="72"/>
      <c r="AAK546" s="56"/>
      <c r="AAL546" s="90"/>
      <c r="AAM546"/>
    </row>
    <row r="547" spans="1:715" s="23" customFormat="1" ht="18" customHeight="1">
      <c r="A547" s="171"/>
      <c r="B547" s="860" t="str">
        <f>AAK547</f>
        <v>Public Comment and Testimony</v>
      </c>
      <c r="C547" s="860"/>
      <c r="D547" s="860"/>
      <c r="E547" s="860"/>
      <c r="F547" s="860"/>
      <c r="G547" s="860"/>
      <c r="H547" s="860"/>
      <c r="I547" s="244"/>
      <c r="J547" s="195"/>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s="52"/>
      <c r="AAA547" s="192"/>
      <c r="AAB547"/>
      <c r="AAC547"/>
      <c r="AAD547" s="90"/>
      <c r="AAE547" s="519" t="s">
        <v>22</v>
      </c>
      <c r="AAF547" s="190" t="s">
        <v>52</v>
      </c>
      <c r="AAG547" s="90"/>
      <c r="AAH547" s="90"/>
      <c r="AAI547" s="72"/>
      <c r="AAJ547" s="81"/>
      <c r="AAK547" s="80" t="str">
        <f>IF(AND(S.Notice.Involved="Y",S.Hearing.1stInvolve="Y"),"Public Comment and Testimony","Public comment is not involved.")</f>
        <v>Public Comment and Testimony</v>
      </c>
      <c r="AAL547" s="90"/>
    </row>
    <row r="548" spans="1:715" s="23" customFormat="1" ht="14.25" customHeight="1" outlineLevel="1">
      <c r="A548" s="171"/>
      <c r="B548" s="141" t="s">
        <v>0</v>
      </c>
      <c r="C548" s="100" t="s">
        <v>0</v>
      </c>
      <c r="D548" s="237"/>
      <c r="E548" s="865" t="s">
        <v>225</v>
      </c>
      <c r="F548" s="865"/>
      <c r="G548" s="865" t="s">
        <v>12</v>
      </c>
      <c r="H548" s="865"/>
      <c r="I548" s="244"/>
      <c r="J548" s="195"/>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s="52"/>
      <c r="AAA548" s="192"/>
      <c r="AAD548" s="90"/>
      <c r="AAE548" s="519" t="s">
        <v>63</v>
      </c>
      <c r="AAF548" s="190" t="s">
        <v>52</v>
      </c>
      <c r="AAG548" s="90"/>
      <c r="AAH548" s="90"/>
      <c r="AAI548" s="72"/>
      <c r="AAJ548" s="81"/>
      <c r="AAK548" s="71"/>
      <c r="AAL548" s="90"/>
    </row>
    <row r="549" spans="1:715" s="552" customFormat="1" ht="24" customHeight="1" outlineLevel="1">
      <c r="A549" s="545"/>
      <c r="B549" s="686" t="str">
        <f>S.General.RulemakingTitle</f>
        <v>Incorporate Lane Regional Air Protection Agency Rules into State Implementation Plan</v>
      </c>
      <c r="C549" s="547" t="s">
        <v>0</v>
      </c>
      <c r="D549" s="547"/>
      <c r="E549" s="559" t="s">
        <v>228</v>
      </c>
      <c r="F549" s="560" t="s">
        <v>226</v>
      </c>
      <c r="G549" s="548" t="s">
        <v>61</v>
      </c>
      <c r="H549" s="548" t="s">
        <v>227</v>
      </c>
      <c r="I549" s="549"/>
      <c r="J549" s="550"/>
      <c r="K549" s="551"/>
      <c r="L549" s="551"/>
      <c r="M549" s="551"/>
      <c r="N549" s="551"/>
      <c r="O549" s="551"/>
      <c r="P549" s="551"/>
      <c r="Q549" s="551"/>
      <c r="R549" s="551"/>
      <c r="S549" s="551"/>
      <c r="T549" s="551"/>
      <c r="U549" s="551"/>
      <c r="V549" s="551"/>
      <c r="W549" s="551"/>
      <c r="X549" s="551"/>
      <c r="Y549" s="551"/>
      <c r="Z549" s="551"/>
      <c r="AA549" s="551"/>
      <c r="AB549" s="551"/>
      <c r="AC549" s="551"/>
      <c r="AD549" s="551"/>
      <c r="AE549" s="551"/>
      <c r="AF549" s="551"/>
      <c r="AG549" s="551"/>
      <c r="AH549" s="551"/>
      <c r="AI549" s="551"/>
      <c r="AJ549" s="551"/>
      <c r="AK549" s="551"/>
      <c r="AL549" s="551"/>
      <c r="AM549" s="551"/>
      <c r="AN549" s="551"/>
      <c r="AO549" s="551"/>
      <c r="AP549" s="551"/>
      <c r="AQ549" s="551"/>
      <c r="AR549" s="551"/>
      <c r="AS549" s="551"/>
      <c r="AT549" s="551"/>
      <c r="AU549" s="551"/>
      <c r="AV549" s="551"/>
      <c r="AW549" s="551"/>
      <c r="AX549" s="551"/>
      <c r="AY549" s="551"/>
      <c r="AZ549" s="551"/>
      <c r="BA549" s="551"/>
      <c r="BB549" s="551"/>
      <c r="BC549" s="551"/>
      <c r="BD549" s="551"/>
      <c r="BE549" s="551"/>
      <c r="BF549" s="551"/>
      <c r="BG549" s="551"/>
      <c r="BH549" s="551"/>
      <c r="BI549" s="551"/>
      <c r="BJ549" s="551"/>
      <c r="BK549" s="551"/>
      <c r="BL549" s="551"/>
      <c r="BM549" s="551"/>
      <c r="BN549" s="551"/>
      <c r="BO549" s="551"/>
      <c r="BP549" s="551"/>
      <c r="BQ549" s="551"/>
      <c r="BR549" s="551"/>
      <c r="BS549" s="551"/>
      <c r="BT549" s="551"/>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s="52"/>
      <c r="AAA549" s="770"/>
      <c r="AAD549" s="553"/>
      <c r="AAE549" s="554" t="s">
        <v>63</v>
      </c>
      <c r="AAF549" s="555" t="s">
        <v>52</v>
      </c>
      <c r="AAG549" s="553"/>
      <c r="AAH549" s="553"/>
      <c r="AAI549" s="556"/>
      <c r="AAJ549" s="557"/>
      <c r="AAK549" s="558"/>
      <c r="AAL549" s="553"/>
    </row>
    <row r="550" spans="1:715" ht="18" customHeight="1" outlineLevel="1">
      <c r="A550" s="171"/>
      <c r="B550" s="514" t="s">
        <v>12</v>
      </c>
      <c r="C550" s="118"/>
      <c r="D550" s="241"/>
      <c r="E550" s="140" t="s">
        <v>0</v>
      </c>
      <c r="F550" s="544">
        <f>NETWORKDAYS(S.Hearing.BANNER.Begin,S.Hearing.BANNER.End,S.DDL_DEQClosed)</f>
        <v>-29747</v>
      </c>
      <c r="G550" s="247">
        <f>AAG550</f>
        <v>41666</v>
      </c>
      <c r="H550" s="280">
        <f>AAH550</f>
        <v>0</v>
      </c>
      <c r="I550" s="244"/>
      <c r="J550" s="216"/>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AAA550" s="192" t="s">
        <v>504</v>
      </c>
      <c r="AAD550" s="90"/>
      <c r="AAE550" s="519" t="s">
        <v>63</v>
      </c>
      <c r="AAF550" s="190" t="s">
        <v>52</v>
      </c>
      <c r="AAG550" s="73">
        <f>S.Notice.CloseComment</f>
        <v>41666</v>
      </c>
      <c r="AAH550" s="73">
        <f>S.EQC.PacketEndReview</f>
        <v>0</v>
      </c>
      <c r="AAI550" s="72"/>
      <c r="AAJ550" s="72"/>
      <c r="AAK550" s="491"/>
      <c r="AAL550" s="90"/>
      <c r="AAM550"/>
    </row>
    <row r="551" spans="1:715" ht="6" customHeight="1" outlineLevel="1">
      <c r="A551" s="171"/>
      <c r="B551" s="120"/>
      <c r="C551" s="112"/>
      <c r="D551" s="230"/>
      <c r="E551" s="113"/>
      <c r="F551" s="113"/>
      <c r="G551" s="112"/>
      <c r="H551" s="112"/>
      <c r="I551" s="244"/>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AAA551" s="192"/>
      <c r="AAD551" s="90"/>
      <c r="AAE551" s="519" t="s">
        <v>17</v>
      </c>
      <c r="AAF551" s="190" t="s">
        <v>52</v>
      </c>
      <c r="AAG551" s="60"/>
      <c r="AAH551" s="60"/>
      <c r="AAI551" s="72"/>
      <c r="AAJ551" s="72"/>
      <c r="AAK551" s="56"/>
      <c r="AAL551" s="90"/>
      <c r="AAM551"/>
    </row>
    <row r="552" spans="1:715" s="23" customFormat="1" ht="12.75" customHeight="1" outlineLevel="1" thickBot="1">
      <c r="A552" s="171"/>
      <c r="B552" s="798" t="s">
        <v>506</v>
      </c>
      <c r="C552" s="797" t="str">
        <f>HYPERLINK("","i")</f>
        <v>i</v>
      </c>
      <c r="D552" s="231"/>
      <c r="E552" s="97"/>
      <c r="F552" s="97"/>
      <c r="G552" s="96"/>
      <c r="H552" s="96"/>
      <c r="I552" s="244"/>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ZZ552" s="52"/>
      <c r="AAA552" s="192"/>
      <c r="AAD552" s="90"/>
      <c r="AAE552" s="520" t="s">
        <v>21</v>
      </c>
      <c r="AAF552" s="190" t="s">
        <v>52</v>
      </c>
      <c r="AAG552" s="60"/>
      <c r="AAH552" s="60"/>
      <c r="AAI552" s="82"/>
      <c r="AAJ552" s="82"/>
      <c r="AAK552" s="40"/>
      <c r="AAL552" s="90"/>
    </row>
    <row r="553" spans="1:715" ht="15" customHeight="1" outlineLevel="1" thickBot="1">
      <c r="A553" s="171"/>
      <c r="B553" s="407" t="str">
        <f>AAK553</f>
        <v>SavvySupport reserves venues and equipment, gathers supplies</v>
      </c>
      <c r="C553" s="606" t="s">
        <v>53</v>
      </c>
      <c r="D553" s="511"/>
      <c r="E553" s="397">
        <f>NETWORKDAYS(G553,H553,S.DDL_DEQClosed)</f>
        <v>-4</v>
      </c>
      <c r="F553" s="457">
        <f ca="1">IF(YEAR(H553)&gt;2000,NETWORKDAYS(TODAY(),H553,S.DDL_DEQClosed),0)</f>
        <v>29</v>
      </c>
      <c r="G553" s="408">
        <f>AAG553</f>
        <v>41666</v>
      </c>
      <c r="H553" s="408">
        <f>AAH553</f>
        <v>41661</v>
      </c>
      <c r="I553" s="244"/>
      <c r="J553" s="222"/>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AAA553" s="192"/>
      <c r="AAD553" s="90"/>
      <c r="AAE553" s="519">
        <f>IF(AND(S.Notice.Involved="Y",S.Hearing.1stInvolve="Y"),1,0)</f>
        <v>1</v>
      </c>
      <c r="AAF553" s="191"/>
      <c r="AAG553" s="73">
        <f>S.Hearing.BANNER.Begin</f>
        <v>41666</v>
      </c>
      <c r="AAH553" s="73">
        <f>S.Hearing.1stDate</f>
        <v>41661</v>
      </c>
      <c r="AAI553" s="72"/>
      <c r="AAJ553" s="72"/>
      <c r="AAK553" s="80" t="str">
        <f>S.Staff.Support&amp;" reserves venues and equipment, gathers supplies"</f>
        <v>SavvySupport reserves venues and equipment, gathers supplies</v>
      </c>
      <c r="AAL553" s="90"/>
      <c r="AAM553"/>
    </row>
    <row r="554" spans="1:715" s="23" customFormat="1" ht="15" customHeight="1" outlineLevel="2">
      <c r="A554" s="171"/>
      <c r="B554" s="803" t="str">
        <f>AAK554</f>
        <v>Team does not plan to hold information meeting</v>
      </c>
      <c r="C554" s="409"/>
      <c r="D554" s="410"/>
      <c r="E554" s="350"/>
      <c r="F554" s="350"/>
      <c r="G554" s="409"/>
      <c r="H554" s="409"/>
      <c r="I554" s="244"/>
      <c r="J554" s="194"/>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s="52"/>
      <c r="AAA554" s="192"/>
      <c r="AAD554" s="90"/>
      <c r="AAE554" s="519">
        <f>IF(AND(S.Notice.Involved="Y",S.Hearing.1stInvolve="Y",S.Notice.InformationMeeting="Y"),1,0)</f>
        <v>0</v>
      </c>
      <c r="AAF554" s="190" t="s">
        <v>52</v>
      </c>
      <c r="AAG554" s="71"/>
      <c r="AAH554" s="71"/>
      <c r="AAI554" s="72"/>
      <c r="AAJ554" s="72"/>
      <c r="AAK554" s="80" t="str">
        <f>IF(S.Notice.InformationMeeting="Y","START INFORMATION MEETING OPTION","Team does not plan to hold information meeting")</f>
        <v>Team does not plan to hold information meeting</v>
      </c>
      <c r="AAL554" s="90"/>
    </row>
    <row r="555" spans="1:715" s="23" customFormat="1" ht="15" customHeight="1" outlineLevel="2">
      <c r="A555" s="171"/>
      <c r="B555" s="662" t="str">
        <f>AAK555</f>
        <v>AndreaRW:</v>
      </c>
      <c r="C555" s="346"/>
      <c r="D555" s="357"/>
      <c r="E555" s="350"/>
      <c r="F555" s="350"/>
      <c r="G555" s="346"/>
      <c r="H555" s="346"/>
      <c r="I555" s="244"/>
      <c r="J555" s="194"/>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s="52"/>
      <c r="AAA555" s="192"/>
      <c r="AAD555" s="90"/>
      <c r="AAE555" s="519">
        <f>IF(AND(S.Notice.Involved="Y",S.Notice.AD.Involved="Y"),1,0)</f>
        <v>1</v>
      </c>
      <c r="AAF555" s="190" t="s">
        <v>52</v>
      </c>
      <c r="AAG555" s="71"/>
      <c r="AAH555" s="71"/>
      <c r="AAI555" s="72"/>
      <c r="AAJ555" s="72"/>
      <c r="AAK555" s="80" t="str">
        <f>S.Staff.Lead&amp;":"</f>
        <v>AndreaRW:</v>
      </c>
      <c r="AAL555" s="90"/>
    </row>
    <row r="556" spans="1:715" s="23" customFormat="1" ht="15" customHeight="1" outlineLevel="2" thickBot="1">
      <c r="A556" s="171"/>
      <c r="B556" s="662" t="s">
        <v>340</v>
      </c>
      <c r="C556" s="376" t="s">
        <v>0</v>
      </c>
      <c r="D556" s="380"/>
      <c r="E556" s="342">
        <f>NETWORKDAYS(G556,H556,S.DDL_DEQClosed)</f>
        <v>0</v>
      </c>
      <c r="F556" s="457">
        <f t="shared" ref="F556:F565" ca="1" si="452">IF(YEAR(H556)&gt;2000,NETWORKDAYS(TODAY(),H556,S.DDL_DEQClosed),0)</f>
        <v>0</v>
      </c>
      <c r="G556" s="408">
        <f t="shared" ref="G556:G561" si="453">AAG556</f>
        <v>0</v>
      </c>
      <c r="H556" s="408">
        <f t="shared" ref="H556:H561" si="454">AAH556</f>
        <v>0</v>
      </c>
      <c r="I556" s="244"/>
      <c r="J556" s="194"/>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s="52"/>
      <c r="AAA556" s="192" t="s">
        <v>0</v>
      </c>
      <c r="AAD556" s="90"/>
      <c r="AAE556" s="519">
        <f>IF(AND(S.Notice.Involved="Y",S.Hearing.1stInvolve="Y",S.Notice.InformationMeeting="Y"),1,0)</f>
        <v>0</v>
      </c>
      <c r="AAF556" s="90"/>
      <c r="AAG556" s="73">
        <f>IF(AAE556=0,,S.Hearing.BANNER.Begin)</f>
        <v>0</v>
      </c>
      <c r="AAH556" s="73">
        <f>G556</f>
        <v>0</v>
      </c>
      <c r="AAI556" s="72"/>
      <c r="AAJ556" s="72"/>
      <c r="AAK556" s="558"/>
      <c r="AAL556" s="90"/>
    </row>
    <row r="557" spans="1:715" s="23" customFormat="1" ht="15" customHeight="1" outlineLevel="2" thickBot="1">
      <c r="A557" s="171"/>
      <c r="B557" s="662" t="s">
        <v>434</v>
      </c>
      <c r="C557" s="606" t="s">
        <v>53</v>
      </c>
      <c r="D557" s="511"/>
      <c r="E557" s="342">
        <f>NETWORKDAYS(G557,H557,S.DDL_DEQClosed)</f>
        <v>0</v>
      </c>
      <c r="F557" s="457">
        <f t="shared" ca="1" si="452"/>
        <v>0</v>
      </c>
      <c r="G557" s="408">
        <f t="shared" si="453"/>
        <v>0</v>
      </c>
      <c r="H557" s="408">
        <f t="shared" si="454"/>
        <v>0</v>
      </c>
      <c r="I557" s="244"/>
      <c r="J557" s="194"/>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s="52"/>
      <c r="AAA557" s="192" t="s">
        <v>0</v>
      </c>
      <c r="AAD557" s="90"/>
      <c r="AAE557" s="519">
        <f t="shared" ref="AAE557:AAE565" si="455">IF(AND(S.Notice.Involved="Y",S.Hearing.1stInvolve="Y",S.Notice.InformationMeeting="Y",S.Planning.MessageMap="Y"),1,0)</f>
        <v>0</v>
      </c>
      <c r="AAF557" s="90"/>
      <c r="AAG557" s="73">
        <f>IF(AAE557=0,,S.Hearing.BANNER.Begin)</f>
        <v>0</v>
      </c>
      <c r="AAH557" s="73">
        <f t="shared" ref="AAH557:AAH560" si="456">G557</f>
        <v>0</v>
      </c>
      <c r="AAI557" s="72"/>
      <c r="AAJ557" s="72"/>
      <c r="AAK557" s="558"/>
      <c r="AAL557" s="90"/>
    </row>
    <row r="558" spans="1:715" s="695" customFormat="1" ht="15" customHeight="1" outlineLevel="2">
      <c r="A558" s="689"/>
      <c r="B558" s="662" t="s">
        <v>341</v>
      </c>
      <c r="C558" s="690" t="s">
        <v>0</v>
      </c>
      <c r="D558" s="691"/>
      <c r="E558" s="735">
        <f>NETWORKDAYS(G558,H558,S.DDL_DEQClosed)</f>
        <v>0</v>
      </c>
      <c r="F558" s="736">
        <f t="shared" ca="1" si="452"/>
        <v>0</v>
      </c>
      <c r="G558" s="737">
        <f t="shared" si="453"/>
        <v>0</v>
      </c>
      <c r="H558" s="737">
        <f t="shared" si="454"/>
        <v>0</v>
      </c>
      <c r="I558" s="692"/>
      <c r="J558" s="693"/>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694"/>
      <c r="AT558" s="694"/>
      <c r="AU558" s="694"/>
      <c r="AV558" s="694"/>
      <c r="AW558" s="694"/>
      <c r="AX558" s="694"/>
      <c r="AY558" s="694"/>
      <c r="AZ558" s="694"/>
      <c r="BA558" s="694"/>
      <c r="BB558" s="694"/>
      <c r="BC558" s="694"/>
      <c r="BD558" s="694"/>
      <c r="BE558" s="694"/>
      <c r="BF558" s="694"/>
      <c r="BG558" s="694"/>
      <c r="BH558" s="694"/>
      <c r="BI558" s="694"/>
      <c r="BJ558" s="694"/>
      <c r="BK558" s="694"/>
      <c r="BL558" s="694"/>
      <c r="BM558" s="694"/>
      <c r="BN558" s="694"/>
      <c r="BO558" s="694"/>
      <c r="BP558" s="694"/>
      <c r="BQ558" s="694"/>
      <c r="BR558" s="694"/>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s="52"/>
      <c r="AAA558" s="773"/>
      <c r="AAD558" s="696"/>
      <c r="AAE558" s="519">
        <f t="shared" si="455"/>
        <v>0</v>
      </c>
      <c r="AAF558" s="696"/>
      <c r="AAG558" s="697">
        <f>IF(AAE558=0,,S.Hearing.BANNER.Begin)</f>
        <v>0</v>
      </c>
      <c r="AAH558" s="697">
        <f t="shared" si="456"/>
        <v>0</v>
      </c>
      <c r="AAI558" s="698"/>
      <c r="AAJ558" s="698"/>
      <c r="AAK558" s="558"/>
      <c r="AAL558" s="696"/>
    </row>
    <row r="559" spans="1:715" s="23" customFormat="1" ht="15" customHeight="1" outlineLevel="2">
      <c r="A559" s="171"/>
      <c r="B559" s="662" t="s">
        <v>342</v>
      </c>
      <c r="C559" s="376" t="s">
        <v>0</v>
      </c>
      <c r="D559" s="380"/>
      <c r="E559" s="342">
        <f>NETWORKDAYS(G559,H559,S.DDL_DEQClosed)</f>
        <v>0</v>
      </c>
      <c r="F559" s="457">
        <f t="shared" ca="1" si="452"/>
        <v>0</v>
      </c>
      <c r="G559" s="408">
        <f t="shared" si="453"/>
        <v>0</v>
      </c>
      <c r="H559" s="408">
        <f t="shared" si="454"/>
        <v>0</v>
      </c>
      <c r="I559" s="244"/>
      <c r="J559" s="194"/>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s="52"/>
      <c r="AAA559" s="192"/>
      <c r="AAD559" s="90"/>
      <c r="AAE559" s="519">
        <f t="shared" si="455"/>
        <v>0</v>
      </c>
      <c r="AAF559" s="90"/>
      <c r="AAG559" s="73">
        <f>IF(AAE559=0,,S.Hearing.BANNER.Begin)</f>
        <v>0</v>
      </c>
      <c r="AAH559" s="73">
        <f t="shared" si="456"/>
        <v>0</v>
      </c>
      <c r="AAI559" s="72"/>
      <c r="AAJ559" s="72"/>
      <c r="AAK559" s="558"/>
      <c r="AAL559" s="90"/>
    </row>
    <row r="560" spans="1:715" ht="15" customHeight="1" outlineLevel="2">
      <c r="A560" s="171"/>
      <c r="B560" s="662" t="s">
        <v>343</v>
      </c>
      <c r="C560" s="360" t="s">
        <v>0</v>
      </c>
      <c r="D560" s="380"/>
      <c r="E560" s="342">
        <f t="shared" ref="E560:E565" si="457">NETWORKDAYS(G560,H560,S.DDL_DEQClosed)</f>
        <v>0</v>
      </c>
      <c r="F560" s="457">
        <f t="shared" ca="1" si="452"/>
        <v>0</v>
      </c>
      <c r="G560" s="408">
        <f t="shared" si="453"/>
        <v>0</v>
      </c>
      <c r="H560" s="408">
        <f t="shared" si="454"/>
        <v>0</v>
      </c>
      <c r="I560" s="244"/>
      <c r="J560" s="193"/>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AAA560" s="192"/>
      <c r="AAD560" s="90"/>
      <c r="AAE560" s="519">
        <f t="shared" si="455"/>
        <v>0</v>
      </c>
      <c r="AAF560" s="90"/>
      <c r="AAG560" s="73">
        <f>IF(AAE560=0,,S.Hearing.BANNER.Begin)</f>
        <v>0</v>
      </c>
      <c r="AAH560" s="73">
        <f t="shared" si="456"/>
        <v>0</v>
      </c>
      <c r="AAI560" s="72"/>
      <c r="AAJ560" s="72"/>
      <c r="AAK560" s="558"/>
      <c r="AAL560" s="90"/>
      <c r="AAM560"/>
    </row>
    <row r="561" spans="1:715" s="23" customFormat="1" ht="15" customHeight="1" outlineLevel="2">
      <c r="A561" s="171"/>
      <c r="B561" s="662" t="str">
        <f>AAK561</f>
        <v>* initiates MargaretMGR's review/approval, addresses suggestions</v>
      </c>
      <c r="C561" s="376" t="s">
        <v>0</v>
      </c>
      <c r="D561" s="380"/>
      <c r="E561" s="342">
        <f>NETWORKDAYS(G561,H561,S.DDL_DEQClosed)</f>
        <v>0</v>
      </c>
      <c r="F561" s="457">
        <f t="shared" ca="1" si="452"/>
        <v>0</v>
      </c>
      <c r="G561" s="408">
        <f t="shared" si="453"/>
        <v>0</v>
      </c>
      <c r="H561" s="408">
        <f t="shared" si="454"/>
        <v>0</v>
      </c>
      <c r="I561" s="244"/>
      <c r="J561" s="194"/>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s="52"/>
      <c r="AAA561" s="192"/>
      <c r="AAD561" s="90"/>
      <c r="AAE561" s="519">
        <f t="shared" si="455"/>
        <v>0</v>
      </c>
      <c r="AAF561" s="90"/>
      <c r="AAG561" s="73">
        <f>IF(AAE561=0,,MAX(AAH556:AAH560))</f>
        <v>0</v>
      </c>
      <c r="AAH561" s="73">
        <f>AAG561</f>
        <v>0</v>
      </c>
      <c r="AAI561" s="285" t="s">
        <v>0</v>
      </c>
      <c r="AAJ561" s="72"/>
      <c r="AAK561" s="254" t="str">
        <f>"* initiates "&amp;S.Staff.Mgr&amp;"'s review/approval, addresses suggestions"</f>
        <v>* initiates MargaretMGR's review/approval, addresses suggestions</v>
      </c>
      <c r="AAL561" s="90"/>
    </row>
    <row r="562" spans="1:715" ht="15" customHeight="1" outlineLevel="2" thickBot="1">
      <c r="A562" s="171"/>
      <c r="B562" s="804" t="str">
        <f t="shared" ref="B562:B565" si="458">AAK562</f>
        <v>1st loop MargaretMGR reviews/approves optional info meeting materials</v>
      </c>
      <c r="C562"/>
      <c r="D562" s="380"/>
      <c r="E562" s="342">
        <f t="shared" si="457"/>
        <v>0</v>
      </c>
      <c r="F562" s="457">
        <f t="shared" ca="1" si="452"/>
        <v>0</v>
      </c>
      <c r="G562" s="408">
        <f t="shared" ref="G562:H565" si="459">AAG562</f>
        <v>0</v>
      </c>
      <c r="H562" s="408">
        <f t="shared" si="459"/>
        <v>0</v>
      </c>
      <c r="I562" s="244"/>
      <c r="J562" s="194"/>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AAA562" s="192"/>
      <c r="AAD562" s="90"/>
      <c r="AAE562" s="519">
        <f t="shared" si="455"/>
        <v>0</v>
      </c>
      <c r="AAF562" s="90"/>
      <c r="AAG562" s="73">
        <f>H561</f>
        <v>0</v>
      </c>
      <c r="AAH562" s="73">
        <f t="shared" ref="AAH562:AAH565" si="460">AAG562</f>
        <v>0</v>
      </c>
      <c r="AAI562" s="72" t="s">
        <v>0</v>
      </c>
      <c r="AAJ562" s="72"/>
      <c r="AAK562" s="254" t="str">
        <f>"1st loop "&amp;S.Staff.Mgr&amp;" reviews/approves optional info meeting materials"</f>
        <v>1st loop MargaretMGR reviews/approves optional info meeting materials</v>
      </c>
      <c r="AAL562" s="90"/>
      <c r="AAM562"/>
    </row>
    <row r="563" spans="1:715" ht="15" customHeight="1" outlineLevel="2" thickBot="1">
      <c r="A563" s="171"/>
      <c r="B563" s="805" t="str">
        <f t="shared" si="458"/>
        <v>2nd loop MargaretMGR reviews/approves optional info meeting materials</v>
      </c>
      <c r="C563" s="611" t="s">
        <v>303</v>
      </c>
      <c r="D563" s="380"/>
      <c r="E563" s="342">
        <f t="shared" si="457"/>
        <v>0</v>
      </c>
      <c r="F563" s="457">
        <f t="shared" ca="1" si="452"/>
        <v>0</v>
      </c>
      <c r="G563" s="408">
        <f t="shared" si="459"/>
        <v>0</v>
      </c>
      <c r="H563" s="408">
        <f t="shared" si="459"/>
        <v>0</v>
      </c>
      <c r="I563" s="244"/>
      <c r="J563" s="194"/>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AAA563" s="192"/>
      <c r="AAD563" s="90"/>
      <c r="AAE563" s="519">
        <f t="shared" si="455"/>
        <v>0</v>
      </c>
      <c r="AAF563" s="90"/>
      <c r="AAG563" s="73">
        <f>IF(AAE563=0,,MAX(AAH556:AAH560))</f>
        <v>0</v>
      </c>
      <c r="AAH563" s="73">
        <f t="shared" si="460"/>
        <v>0</v>
      </c>
      <c r="AAI563" s="72" t="s">
        <v>0</v>
      </c>
      <c r="AAJ563" s="72"/>
      <c r="AAK563" s="254" t="str">
        <f>"2nd loop "&amp;S.Staff.Mgr&amp;" reviews/approves optional info meeting materials"</f>
        <v>2nd loop MargaretMGR reviews/approves optional info meeting materials</v>
      </c>
      <c r="AAL563" s="90"/>
      <c r="AAM563"/>
    </row>
    <row r="564" spans="1:715" ht="15" customHeight="1" outlineLevel="2" thickBot="1">
      <c r="A564" s="171"/>
      <c r="B564" s="806" t="str">
        <f t="shared" si="458"/>
        <v>3rd loop MargaretMGR reviews/approves optional info meeting materials</v>
      </c>
      <c r="C564" s="611" t="s">
        <v>303</v>
      </c>
      <c r="D564" s="380"/>
      <c r="E564" s="342">
        <f t="shared" si="457"/>
        <v>0</v>
      </c>
      <c r="F564" s="457">
        <f t="shared" ca="1" si="452"/>
        <v>0</v>
      </c>
      <c r="G564" s="408">
        <f t="shared" si="459"/>
        <v>0</v>
      </c>
      <c r="H564" s="408">
        <f t="shared" si="459"/>
        <v>0</v>
      </c>
      <c r="I564" s="244"/>
      <c r="J564" s="194"/>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AAA564" s="192"/>
      <c r="AAD564" s="90"/>
      <c r="AAE564" s="519">
        <f t="shared" si="455"/>
        <v>0</v>
      </c>
      <c r="AAF564" s="90"/>
      <c r="AAG564" s="73">
        <f>IF(AAE564=0,,MAX(AAH556:AAH560))</f>
        <v>0</v>
      </c>
      <c r="AAH564" s="73">
        <f t="shared" si="460"/>
        <v>0</v>
      </c>
      <c r="AAI564" s="72"/>
      <c r="AAJ564" s="72"/>
      <c r="AAK564" s="254" t="str">
        <f>"3rd loop "&amp;S.Staff.Mgr&amp;" reviews/approves optional info meeting materials"</f>
        <v>3rd loop MargaretMGR reviews/approves optional info meeting materials</v>
      </c>
      <c r="AAL564" s="90"/>
      <c r="AAM564"/>
    </row>
    <row r="565" spans="1:715" ht="15" customHeight="1" outlineLevel="2" thickBot="1">
      <c r="A565" s="171"/>
      <c r="B565" s="807" t="str">
        <f t="shared" si="458"/>
        <v>4th loop MargaretMGR reviews/approves optional info meeting materials</v>
      </c>
      <c r="C565" s="611" t="s">
        <v>303</v>
      </c>
      <c r="D565" s="380"/>
      <c r="E565" s="342">
        <f t="shared" si="457"/>
        <v>0</v>
      </c>
      <c r="F565" s="457">
        <f t="shared" ca="1" si="452"/>
        <v>0</v>
      </c>
      <c r="G565" s="408">
        <f t="shared" si="459"/>
        <v>0</v>
      </c>
      <c r="H565" s="408">
        <f t="shared" si="459"/>
        <v>0</v>
      </c>
      <c r="I565" s="244"/>
      <c r="J565" s="194"/>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AAA565" s="192"/>
      <c r="AAD565" s="90"/>
      <c r="AAE565" s="519">
        <f t="shared" si="455"/>
        <v>0</v>
      </c>
      <c r="AAF565" s="90"/>
      <c r="AAG565" s="73">
        <f>IF(AAE565=0,,MAX(AAH556:AAH560))</f>
        <v>0</v>
      </c>
      <c r="AAH565" s="73">
        <f t="shared" si="460"/>
        <v>0</v>
      </c>
      <c r="AAI565" s="72"/>
      <c r="AAJ565" s="72"/>
      <c r="AAK565" s="254" t="str">
        <f>"4th loop "&amp;S.Staff.Mgr&amp;" reviews/approves optional info meeting materials"</f>
        <v>4th loop MargaretMGR reviews/approves optional info meeting materials</v>
      </c>
      <c r="AAL565" s="90"/>
      <c r="AAM565"/>
    </row>
    <row r="566" spans="1:715" s="23" customFormat="1" ht="15" customHeight="1" outlineLevel="1">
      <c r="A566" s="171"/>
      <c r="B566" s="398" t="str">
        <f>AAK566</f>
        <v>CarrieAnn:</v>
      </c>
      <c r="C566" s="346"/>
      <c r="D566" s="357"/>
      <c r="E566" s="350"/>
      <c r="F566" s="350"/>
      <c r="G566" s="346"/>
      <c r="H566" s="346"/>
      <c r="I566" s="244"/>
      <c r="J566" s="194"/>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s="52"/>
      <c r="AAA566" s="192"/>
      <c r="AAD566" s="90"/>
      <c r="AAE566" s="519">
        <f>IF(S.Hearing.1stInvolve="Y",1,0)</f>
        <v>1</v>
      </c>
      <c r="AAF566" s="190" t="s">
        <v>52</v>
      </c>
      <c r="AAG566" s="71"/>
      <c r="AAH566" s="71"/>
      <c r="AAI566" s="72"/>
      <c r="AAJ566" s="72"/>
      <c r="AAK566" s="80" t="str">
        <f>S.Staff.HearingsOfficer&amp;":"</f>
        <v>CarrieAnn:</v>
      </c>
      <c r="AAL566" s="90"/>
    </row>
    <row r="567" spans="1:715" s="23" customFormat="1" ht="15" customHeight="1" outlineLevel="1" collapsed="1" thickBot="1">
      <c r="A567" s="171"/>
      <c r="B567" s="626" t="s">
        <v>279</v>
      </c>
      <c r="C567" s="376" t="s">
        <v>0</v>
      </c>
      <c r="D567" s="380"/>
      <c r="E567" s="397">
        <f t="shared" ref="E567" si="461">NETWORKDAYS(G567,H567,S.DDL_DEQClosed)</f>
        <v>24</v>
      </c>
      <c r="F567" s="457">
        <f t="shared" ref="F567:F584" ca="1" si="462">IF(YEAR(H567)&gt;2000,NETWORKDAYS(TODAY(),H567,S.DDL_DEQClosed),0)</f>
        <v>40</v>
      </c>
      <c r="G567" s="408">
        <f>AAG567</f>
        <v>41642</v>
      </c>
      <c r="H567" s="408">
        <f t="shared" ref="H567" si="463">AAH567</f>
        <v>41676</v>
      </c>
      <c r="I567" s="244"/>
      <c r="J567" s="194"/>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s="52"/>
      <c r="AAA567" s="192" t="s">
        <v>504</v>
      </c>
      <c r="AAD567" s="90"/>
      <c r="AAE567" s="519">
        <f>IF(S.Notice.Involved="Y",1,0)</f>
        <v>1</v>
      </c>
      <c r="AAF567" s="90"/>
      <c r="AAG567" s="73">
        <f>IF(AAE567=0,,WORKDAY(S.Notice.InOregonBulletin+1,1,S.DDL_DEQClosed))</f>
        <v>41642</v>
      </c>
      <c r="AAH567" s="73">
        <f>S.EQC.SubmitStaffRpt</f>
        <v>41676</v>
      </c>
      <c r="AAI567" s="72"/>
      <c r="AAJ567" s="74"/>
      <c r="AAK567" s="75"/>
      <c r="AAL567" s="90"/>
    </row>
    <row r="568" spans="1:715" s="23" customFormat="1" ht="15" customHeight="1" outlineLevel="1" thickBot="1">
      <c r="A568" s="171"/>
      <c r="B568" s="626" t="s">
        <v>302</v>
      </c>
      <c r="C568" s="606" t="s">
        <v>53</v>
      </c>
      <c r="D568" s="380"/>
      <c r="E568" s="397">
        <f t="shared" ref="E568" si="464">NETWORKDAYS(G568,H568,S.DDL_DEQClosed)</f>
        <v>24</v>
      </c>
      <c r="F568" s="457">
        <f t="shared" ca="1" si="462"/>
        <v>40</v>
      </c>
      <c r="G568" s="408">
        <f>AAG568</f>
        <v>41642</v>
      </c>
      <c r="H568" s="408">
        <f t="shared" ref="H568" si="465">AAH568</f>
        <v>41676</v>
      </c>
      <c r="I568" s="244"/>
      <c r="J568" s="194"/>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s="52"/>
      <c r="AAA568" s="192" t="s">
        <v>504</v>
      </c>
      <c r="AAD568" s="90"/>
      <c r="AAE568" s="519">
        <f>IF(S.Notice.Involved="Y",1,0)</f>
        <v>1</v>
      </c>
      <c r="AAF568" s="90"/>
      <c r="AAG568" s="73">
        <f>IF(AAE568=0,,WORKDAY(S.Notice.InOregonBulletin+1,1,S.DDL_DEQClosed))</f>
        <v>41642</v>
      </c>
      <c r="AAH568" s="73">
        <f>S.EQC.SubmitStaffRpt</f>
        <v>41676</v>
      </c>
      <c r="AAI568" s="72"/>
      <c r="AAJ568" s="74"/>
      <c r="AAK568" s="75"/>
      <c r="AAL568" s="90"/>
    </row>
    <row r="569" spans="1:715" s="23" customFormat="1" ht="15" customHeight="1" outlineLevel="1">
      <c r="A569" s="171"/>
      <c r="B569" s="626" t="str">
        <f>AAK569</f>
        <v>* holds the following hearings with assigned team:</v>
      </c>
      <c r="C569" s="376" t="s">
        <v>0</v>
      </c>
      <c r="D569"/>
      <c r="E569"/>
      <c r="F569"/>
      <c r="G569"/>
      <c r="H569"/>
      <c r="I569" s="244"/>
      <c r="J569" s="194"/>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s="52"/>
      <c r="AAA569" s="192"/>
      <c r="AAD569" s="90"/>
      <c r="AAE569" s="519">
        <f>IF(S.Notice.Involved="Y",1,0)</f>
        <v>1</v>
      </c>
      <c r="AAF569" s="90"/>
      <c r="AAG569" s="72"/>
      <c r="AAH569" s="72"/>
      <c r="AAI569" s="72"/>
      <c r="AAJ569" s="74"/>
      <c r="AAK569" s="86" t="str">
        <f>IF(S.Hearing.1stInvolve="Y","* holds the following hearings with assigned team:","No hearings planned (change under Oveview of Key Dates")</f>
        <v>* holds the following hearings with assigned team:</v>
      </c>
      <c r="AAL569" s="90"/>
    </row>
    <row r="570" spans="1:715" ht="15" customHeight="1" outlineLevel="1">
      <c r="A570" s="171"/>
      <c r="B570" s="370" t="str">
        <f>AAK570</f>
        <v>1. LRAPA hearing</v>
      </c>
      <c r="C570" s="376" t="s">
        <v>0</v>
      </c>
      <c r="D570"/>
      <c r="E570"/>
      <c r="F570" s="457">
        <f t="shared" ca="1" si="462"/>
        <v>29</v>
      </c>
      <c r="G570"/>
      <c r="H570" s="424">
        <f>AAH570</f>
        <v>41661</v>
      </c>
      <c r="I570" s="244"/>
      <c r="J570" s="194"/>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AAA570" s="192"/>
      <c r="AAD570" s="90"/>
      <c r="AAE570" s="519">
        <f>IF(AND(S.Notice.Involved="Y",S.Hearing.1stInvolve="Y",S.Hearing.2ndInvolve),1,0)</f>
        <v>1</v>
      </c>
      <c r="AAF570" s="90"/>
      <c r="AAG570" s="72"/>
      <c r="AAH570" s="73">
        <f>S.Hearing.1stDate</f>
        <v>41661</v>
      </c>
      <c r="AAI570" s="72"/>
      <c r="AAJ570" s="72"/>
      <c r="AAK570" s="80" t="str">
        <f>"1. "&amp;S.Hearing.1stCity&amp;" hearing"</f>
        <v>1. LRAPA hearing</v>
      </c>
      <c r="AAL570" s="90"/>
      <c r="AAM570"/>
    </row>
    <row r="571" spans="1:715" s="23" customFormat="1" ht="15.75" customHeight="1" outlineLevel="1">
      <c r="A571" s="171"/>
      <c r="B571" s="719" t="s">
        <v>396</v>
      </c>
      <c r="C571" s="362"/>
      <c r="D571" s="373"/>
      <c r="E571" s="350"/>
      <c r="F571" s="350"/>
      <c r="G571"/>
      <c r="H571" s="346"/>
      <c r="I571" s="244"/>
      <c r="J571" s="194"/>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s="52"/>
      <c r="AAA571" s="192"/>
      <c r="AAD571" s="90"/>
      <c r="AAE571" s="519">
        <f>IF(AND(S.Notice.Involved="Y",S.Hearing.1stInvolve="Y",S.Hearing.2ndInvolve),1,0)</f>
        <v>1</v>
      </c>
      <c r="AAF571" s="190" t="s">
        <v>52</v>
      </c>
      <c r="AAG571" s="72"/>
      <c r="AAH571" s="71"/>
      <c r="AAI571" s="71"/>
      <c r="AAJ571" s="56"/>
      <c r="AAK571" s="71" t="s">
        <v>0</v>
      </c>
      <c r="AAL571" s="90"/>
    </row>
    <row r="572" spans="1:715" ht="15" customHeight="1" outlineLevel="2">
      <c r="A572" s="171"/>
      <c r="B572" s="370" t="str">
        <f t="shared" ref="B572:B584" si="466">AAK572</f>
        <v>2. Enter city name hearing</v>
      </c>
      <c r="C572" s="376" t="s">
        <v>0</v>
      </c>
      <c r="D572"/>
      <c r="E572"/>
      <c r="F572" s="457">
        <f t="shared" ca="1" si="462"/>
        <v>0</v>
      </c>
      <c r="G572"/>
      <c r="H572" s="424">
        <f t="shared" ref="H572:H584" si="467">AAH572</f>
        <v>0</v>
      </c>
      <c r="I572" s="244"/>
      <c r="J572" s="194"/>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AAA572" s="192"/>
      <c r="AAD572" s="90"/>
      <c r="AAE572" s="519">
        <f>IF(AND(S.Notice.Involved="Y",S.Hearing.1stInvolve="Y",S.Hearing.2ndInvolve="Y"),1,0)</f>
        <v>0</v>
      </c>
      <c r="AAF572" s="90"/>
      <c r="AAG572" s="72"/>
      <c r="AAH572" s="73">
        <f>IF(S.Hearing.2ndInvolve="N",,S.Hearing.2ndDate)</f>
        <v>0</v>
      </c>
      <c r="AAI572" s="72"/>
      <c r="AAJ572" s="72"/>
      <c r="AAK572" s="80" t="str">
        <f>"2. "&amp;S.Hearing.2ndCity&amp;" hearing"</f>
        <v>2. Enter city name hearing</v>
      </c>
      <c r="AAL572" s="90"/>
      <c r="AAM572"/>
    </row>
    <row r="573" spans="1:715" s="23" customFormat="1" ht="15.75" customHeight="1" outlineLevel="2">
      <c r="A573" s="171"/>
      <c r="B573" s="719" t="s">
        <v>397</v>
      </c>
      <c r="C573" s="362"/>
      <c r="D573"/>
      <c r="E573"/>
      <c r="F573" s="350"/>
      <c r="G573"/>
      <c r="H573" s="346"/>
      <c r="I573" s="244"/>
      <c r="J573" s="194"/>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s="52"/>
      <c r="AAA573" s="192"/>
      <c r="AAD573" s="90"/>
      <c r="AAE573" s="519">
        <f>IF(AND(S.Notice.Involved="Y",S.Hearing.1stInvolve="Y",S.Hearing.2ndInvolve="Y"),1,0)</f>
        <v>0</v>
      </c>
      <c r="AAF573" s="190" t="s">
        <v>52</v>
      </c>
      <c r="AAG573" s="72"/>
      <c r="AAH573" s="71"/>
      <c r="AAI573" s="71"/>
      <c r="AAJ573" s="56"/>
      <c r="AAK573" s="71" t="s">
        <v>0</v>
      </c>
      <c r="AAL573" s="90"/>
    </row>
    <row r="574" spans="1:715" ht="15" customHeight="1" outlineLevel="2">
      <c r="A574" s="171"/>
      <c r="B574" s="370" t="str">
        <f t="shared" si="466"/>
        <v>3. Enter city name hearing</v>
      </c>
      <c r="C574" s="376" t="s">
        <v>0</v>
      </c>
      <c r="D574"/>
      <c r="E574"/>
      <c r="F574" s="457">
        <f t="shared" ca="1" si="462"/>
        <v>0</v>
      </c>
      <c r="G574"/>
      <c r="H574" s="424">
        <f t="shared" si="467"/>
        <v>0</v>
      </c>
      <c r="I574" s="244"/>
      <c r="J574" s="194"/>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AAA574" s="192"/>
      <c r="AAD574" s="90"/>
      <c r="AAE574" s="519">
        <f>IF(AND(S.Notice.Involved="Y",S.Hearing.1stInvolve="Y",S.Hearing.3rdInvolve="Y"),1,0)</f>
        <v>0</v>
      </c>
      <c r="AAF574" s="90"/>
      <c r="AAG574" s="72"/>
      <c r="AAH574" s="73">
        <f>IF(S.Hearing.2ndInvolve="N",,S.Hearing.3rdDate)</f>
        <v>0</v>
      </c>
      <c r="AAI574" s="72"/>
      <c r="AAJ574" s="72"/>
      <c r="AAK574" s="80" t="str">
        <f>"3. "&amp; S.Hearing.3rdCity&amp;" hearing"</f>
        <v>3. Enter city name hearing</v>
      </c>
      <c r="AAL574" s="90"/>
      <c r="AAM574"/>
    </row>
    <row r="575" spans="1:715" s="23" customFormat="1" ht="15.75" customHeight="1" outlineLevel="2">
      <c r="A575" s="171"/>
      <c r="B575" s="719" t="s">
        <v>398</v>
      </c>
      <c r="C575" s="362"/>
      <c r="D575"/>
      <c r="E575"/>
      <c r="F575" s="350"/>
      <c r="G575"/>
      <c r="H575" s="346"/>
      <c r="I575" s="244"/>
      <c r="J575" s="194"/>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s="52"/>
      <c r="AAA575" s="192"/>
      <c r="AAD575" s="90"/>
      <c r="AAE575" s="519">
        <f>IF(AND(S.Notice.Involved="Y",S.Hearing.1stInvolve="Y",S.Hearing.3rdInvolve="Y"),1,0)</f>
        <v>0</v>
      </c>
      <c r="AAF575" s="190" t="s">
        <v>52</v>
      </c>
      <c r="AAG575" s="72"/>
      <c r="AAH575" s="71"/>
      <c r="AAI575" s="71"/>
      <c r="AAJ575" s="56"/>
      <c r="AAK575" s="71" t="s">
        <v>0</v>
      </c>
      <c r="AAL575" s="90"/>
    </row>
    <row r="576" spans="1:715" ht="15" customHeight="1" outlineLevel="2">
      <c r="A576" s="171"/>
      <c r="B576" s="370" t="str">
        <f t="shared" si="466"/>
        <v>4. Enter city name hearing</v>
      </c>
      <c r="C576" s="376" t="s">
        <v>0</v>
      </c>
      <c r="D576"/>
      <c r="E576"/>
      <c r="F576" s="457">
        <f t="shared" ca="1" si="462"/>
        <v>0</v>
      </c>
      <c r="G576"/>
      <c r="H576" s="424">
        <f t="shared" si="467"/>
        <v>0</v>
      </c>
      <c r="I576" s="244"/>
      <c r="J576" s="194"/>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AAA576" s="192"/>
      <c r="AAD576" s="90"/>
      <c r="AAE576" s="519">
        <f>IF(AND(S.Notice.Involved="Y",S.Hearing.1stInvolve="Y",S.Hearing.4thInvolve="Y"),1,0)</f>
        <v>0</v>
      </c>
      <c r="AAF576" s="90"/>
      <c r="AAG576" s="72"/>
      <c r="AAH576" s="73">
        <f>IF(S.Hearing.2ndInvolve="N",,S.Hearing.4thDate)</f>
        <v>0</v>
      </c>
      <c r="AAI576" s="72"/>
      <c r="AAJ576" s="72"/>
      <c r="AAK576" s="80" t="str">
        <f>"4. "&amp;S.Hearing.4thCity&amp;" hearing"</f>
        <v>4. Enter city name hearing</v>
      </c>
      <c r="AAL576" s="90"/>
      <c r="AAM576"/>
    </row>
    <row r="577" spans="1:715" s="23" customFormat="1" ht="15.75" customHeight="1" outlineLevel="2">
      <c r="A577" s="171"/>
      <c r="B577" s="719" t="s">
        <v>399</v>
      </c>
      <c r="C577" s="362"/>
      <c r="D577"/>
      <c r="E577"/>
      <c r="F577" s="350"/>
      <c r="G577"/>
      <c r="H577" s="346"/>
      <c r="I577" s="244"/>
      <c r="J577" s="194"/>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s="52"/>
      <c r="AAA577" s="192"/>
      <c r="AAD577" s="90"/>
      <c r="AAE577" s="519">
        <f>IF(AND(S.Notice.Involved="Y",S.Hearing.1stInvolve="Y",S.Hearing.4thInvolve="Y"),1,0)</f>
        <v>0</v>
      </c>
      <c r="AAF577" s="190" t="s">
        <v>52</v>
      </c>
      <c r="AAG577" s="72"/>
      <c r="AAH577" s="71"/>
      <c r="AAI577" s="71"/>
      <c r="AAJ577" s="56"/>
      <c r="AAK577" s="71" t="s">
        <v>0</v>
      </c>
      <c r="AAL577" s="90"/>
    </row>
    <row r="578" spans="1:715" ht="15" customHeight="1" outlineLevel="2">
      <c r="A578" s="171"/>
      <c r="B578" s="370" t="str">
        <f t="shared" si="466"/>
        <v>5. Enter city name hearing</v>
      </c>
      <c r="C578" s="376" t="s">
        <v>0</v>
      </c>
      <c r="D578"/>
      <c r="E578"/>
      <c r="F578" s="457">
        <f t="shared" ca="1" si="462"/>
        <v>0</v>
      </c>
      <c r="G578"/>
      <c r="H578" s="424">
        <f t="shared" si="467"/>
        <v>0</v>
      </c>
      <c r="I578" s="244"/>
      <c r="J578" s="194"/>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AAA578" s="192"/>
      <c r="AAD578" s="90"/>
      <c r="AAE578" s="519">
        <f>IF(AND(S.Notice.Involved="Y",S.Hearing.1stInvolve="Y",S.Hearing.5thInvolve="Y"),1,0)</f>
        <v>0</v>
      </c>
      <c r="AAF578" s="90"/>
      <c r="AAG578" s="72"/>
      <c r="AAH578" s="73">
        <f>IF(S.Hearing.2ndInvolve="N",,S.Hearing.5thDate)</f>
        <v>0</v>
      </c>
      <c r="AAI578" s="72"/>
      <c r="AAJ578" s="72"/>
      <c r="AAK578" s="80" t="str">
        <f>"5. "&amp;S.Hearing.5thCity&amp;" hearing"</f>
        <v>5. Enter city name hearing</v>
      </c>
      <c r="AAL578" s="90"/>
      <c r="AAM578"/>
    </row>
    <row r="579" spans="1:715" s="23" customFormat="1" ht="15.75" customHeight="1" outlineLevel="2">
      <c r="A579" s="171"/>
      <c r="B579" s="719" t="s">
        <v>400</v>
      </c>
      <c r="C579" s="362"/>
      <c r="D579"/>
      <c r="E579"/>
      <c r="F579" s="350"/>
      <c r="G579"/>
      <c r="H579" s="346"/>
      <c r="I579" s="244"/>
      <c r="J579" s="194"/>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s="52"/>
      <c r="AAA579" s="192"/>
      <c r="AAD579" s="90"/>
      <c r="AAE579" s="519">
        <f>IF(AND(S.Notice.Involved="Y",S.Hearing.1stInvolve="Y",S.Hearing.5thInvolve="Y"),1,0)</f>
        <v>0</v>
      </c>
      <c r="AAF579" s="190" t="s">
        <v>52</v>
      </c>
      <c r="AAG579" s="72"/>
      <c r="AAH579" s="71"/>
      <c r="AAI579" s="71"/>
      <c r="AAJ579" s="56"/>
      <c r="AAK579" s="71" t="s">
        <v>0</v>
      </c>
      <c r="AAL579" s="90"/>
    </row>
    <row r="580" spans="1:715" ht="15" customHeight="1" outlineLevel="2">
      <c r="A580" s="171"/>
      <c r="B580" s="370" t="str">
        <f t="shared" si="466"/>
        <v>6. Enter city name hearing</v>
      </c>
      <c r="C580" s="376" t="s">
        <v>0</v>
      </c>
      <c r="D580"/>
      <c r="E580"/>
      <c r="F580" s="457">
        <f t="shared" ca="1" si="462"/>
        <v>0</v>
      </c>
      <c r="G580"/>
      <c r="H580" s="424">
        <f t="shared" si="467"/>
        <v>0</v>
      </c>
      <c r="I580" s="244"/>
      <c r="J580" s="194"/>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AAA580" s="192"/>
      <c r="AAD580" s="90"/>
      <c r="AAE580" s="519">
        <f>IF(AND(S.Notice.Involved="Y",S.Hearing.1stInvolve="Y",S.Hearing.6thInvolve="Y"),1,0)</f>
        <v>0</v>
      </c>
      <c r="AAF580" s="90"/>
      <c r="AAG580" s="72"/>
      <c r="AAH580" s="73">
        <f>IF(S.Hearing.2ndInvolve="N",,S.Hearing.6thDate)</f>
        <v>0</v>
      </c>
      <c r="AAI580" s="72"/>
      <c r="AAJ580" s="72"/>
      <c r="AAK580" s="80" t="str">
        <f>"6. "&amp;S.Hearing.6thCity&amp;" hearing"</f>
        <v>6. Enter city name hearing</v>
      </c>
      <c r="AAL580" s="90"/>
      <c r="AAM580"/>
    </row>
    <row r="581" spans="1:715" s="23" customFormat="1" ht="15.75" customHeight="1" outlineLevel="2">
      <c r="A581" s="171"/>
      <c r="B581" s="719" t="s">
        <v>401</v>
      </c>
      <c r="C581" s="362"/>
      <c r="D581"/>
      <c r="E581"/>
      <c r="F581" s="350"/>
      <c r="G581"/>
      <c r="H581" s="346"/>
      <c r="I581" s="244"/>
      <c r="J581" s="194"/>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s="52"/>
      <c r="AAA581" s="192"/>
      <c r="AAD581" s="90"/>
      <c r="AAE581" s="519">
        <f>IF(AND(S.Notice.Involved="Y",S.Hearing.1stInvolve="Y",S.Hearing.6thInvolve="Y"),1,0)</f>
        <v>0</v>
      </c>
      <c r="AAF581" s="190" t="s">
        <v>52</v>
      </c>
      <c r="AAG581" s="72"/>
      <c r="AAH581" s="71"/>
      <c r="AAI581" s="71"/>
      <c r="AAJ581" s="56"/>
      <c r="AAK581" s="71" t="s">
        <v>0</v>
      </c>
      <c r="AAL581" s="90"/>
    </row>
    <row r="582" spans="1:715" ht="15" customHeight="1" outlineLevel="2">
      <c r="A582" s="171"/>
      <c r="B582" s="370" t="str">
        <f t="shared" si="466"/>
        <v>7. Enter city name hearing</v>
      </c>
      <c r="C582" s="376" t="s">
        <v>0</v>
      </c>
      <c r="D582"/>
      <c r="E582"/>
      <c r="F582" s="457">
        <f t="shared" ca="1" si="462"/>
        <v>0</v>
      </c>
      <c r="G582"/>
      <c r="H582" s="424">
        <f t="shared" si="467"/>
        <v>0</v>
      </c>
      <c r="I582" s="244"/>
      <c r="J582" s="194"/>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AAA582" s="192"/>
      <c r="AAD582" s="90"/>
      <c r="AAE582" s="519">
        <f>IF(AND(S.Notice.Involved="Y",S.Hearing.1stInvolve="Y",S.Hearing.7thInvolve="Y"),1,0)</f>
        <v>0</v>
      </c>
      <c r="AAF582" s="90"/>
      <c r="AAG582" s="72"/>
      <c r="AAH582" s="73">
        <f>IF(S.Hearing.2ndInvolve="N",,S.Hearing.7thDate)</f>
        <v>0</v>
      </c>
      <c r="AAI582" s="72"/>
      <c r="AAJ582" s="72"/>
      <c r="AAK582" s="80" t="str">
        <f>"7. "&amp;S.Hearing.7thCity&amp;" hearing"</f>
        <v>7. Enter city name hearing</v>
      </c>
      <c r="AAL582" s="90"/>
      <c r="AAM582"/>
    </row>
    <row r="583" spans="1:715" s="23" customFormat="1" ht="15.75" customHeight="1" outlineLevel="2">
      <c r="A583" s="171"/>
      <c r="B583" s="719" t="s">
        <v>402</v>
      </c>
      <c r="C583" s="362"/>
      <c r="D583"/>
      <c r="E583"/>
      <c r="F583" s="350"/>
      <c r="G583"/>
      <c r="H583" s="346"/>
      <c r="I583" s="244"/>
      <c r="J583" s="194"/>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s="52"/>
      <c r="AAA583" s="192"/>
      <c r="AAD583" s="90"/>
      <c r="AAE583" s="519">
        <f>IF(AND(S.Notice.Involved="Y",S.Hearing.1stInvolve="Y",S.Hearing.7thInvolve="Y"),1,0)</f>
        <v>0</v>
      </c>
      <c r="AAF583" s="190" t="s">
        <v>52</v>
      </c>
      <c r="AAG583" s="72"/>
      <c r="AAH583" s="71"/>
      <c r="AAI583" s="71"/>
      <c r="AAJ583" s="56"/>
      <c r="AAK583" s="71" t="s">
        <v>0</v>
      </c>
      <c r="AAL583" s="90"/>
    </row>
    <row r="584" spans="1:715" ht="15" customHeight="1" outlineLevel="2">
      <c r="A584" s="171"/>
      <c r="B584" s="370" t="str">
        <f t="shared" si="466"/>
        <v>8. Enter city name hearing</v>
      </c>
      <c r="C584" s="376" t="s">
        <v>0</v>
      </c>
      <c r="D584"/>
      <c r="E584"/>
      <c r="F584" s="457">
        <f t="shared" ca="1" si="462"/>
        <v>0</v>
      </c>
      <c r="G584"/>
      <c r="H584" s="424">
        <f t="shared" si="467"/>
        <v>0</v>
      </c>
      <c r="I584" s="244"/>
      <c r="J584" s="194"/>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AAA584" s="192"/>
      <c r="AAD584" s="90"/>
      <c r="AAE584" s="519">
        <f>IF(AND(S.Notice.Involved="Y",S.Hearing.1stInvolve="Y",S.Hearing.8thtInvolve="Y"),1,0)</f>
        <v>0</v>
      </c>
      <c r="AAF584" s="90"/>
      <c r="AAG584" s="72"/>
      <c r="AAH584" s="73">
        <f>IF(S.Hearing.8thtInvolve="N",,S.Notice.LastHearingDate)</f>
        <v>0</v>
      </c>
      <c r="AAI584" s="83"/>
      <c r="AAJ584" s="56"/>
      <c r="AAK584" s="80" t="str">
        <f>"8. "&amp;S.Hearing.8thCity&amp;" hearing"</f>
        <v>8. Enter city name hearing</v>
      </c>
      <c r="AAL584" s="90"/>
      <c r="AAM584"/>
    </row>
    <row r="585" spans="1:715" s="23" customFormat="1" ht="15.75" customHeight="1" outlineLevel="2">
      <c r="A585" s="171"/>
      <c r="B585" s="719" t="s">
        <v>403</v>
      </c>
      <c r="C585" s="362"/>
      <c r="D585" s="373"/>
      <c r="E585" s="350"/>
      <c r="F585" s="350"/>
      <c r="G585" s="346"/>
      <c r="H585" s="346"/>
      <c r="I585" s="244"/>
      <c r="J585" s="194"/>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s="52"/>
      <c r="AAA585" s="192"/>
      <c r="AAD585" s="90"/>
      <c r="AAE585" s="519">
        <f>IF(AND(S.Notice.Involved="Y",S.Hearing.1stInvolve="Y",S.Hearing.8thtInvolve="Y"),1,0)</f>
        <v>0</v>
      </c>
      <c r="AAF585" s="190" t="s">
        <v>52</v>
      </c>
      <c r="AAG585" s="71"/>
      <c r="AAH585" s="71"/>
      <c r="AAI585" s="71"/>
      <c r="AAJ585" s="56"/>
      <c r="AAK585" s="71" t="s">
        <v>0</v>
      </c>
      <c r="AAL585" s="90"/>
    </row>
    <row r="586" spans="1:715" s="23" customFormat="1" ht="15" customHeight="1" outlineLevel="1">
      <c r="A586" s="171"/>
      <c r="B586" s="291" t="str">
        <f>AAK586</f>
        <v>SavvySupport, for comments not received through online form:</v>
      </c>
      <c r="C586" s="386"/>
      <c r="D586" s="411"/>
      <c r="E586" s="412"/>
      <c r="F586" s="412"/>
      <c r="G586" s="386"/>
      <c r="H586" s="386"/>
      <c r="I586" s="244"/>
      <c r="J586" s="194"/>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s="52"/>
      <c r="AAA586" s="192"/>
      <c r="AAD586" s="90"/>
      <c r="AAE586" s="519">
        <f>IF(S.Notice.Involved="Y",1,0)</f>
        <v>1</v>
      </c>
      <c r="AAF586" s="190" t="s">
        <v>52</v>
      </c>
      <c r="AAG586" s="71"/>
      <c r="AAH586" s="71"/>
      <c r="AAI586" s="72"/>
      <c r="AAJ586" s="72"/>
      <c r="AAK586" s="80" t="str">
        <f>S.Staff.Support&amp;", for comments not received through online form:"</f>
        <v>SavvySupport, for comments not received through online form:</v>
      </c>
      <c r="AAL586" s="90"/>
    </row>
    <row r="587" spans="1:715" s="23" customFormat="1" ht="15" customHeight="1" outlineLevel="1">
      <c r="A587" s="171"/>
      <c r="B587" s="625" t="s">
        <v>344</v>
      </c>
      <c r="C587" s="376" t="s">
        <v>0</v>
      </c>
      <c r="D587" s="380"/>
      <c r="E587" s="342">
        <f t="shared" ref="E587" si="468">NETWORKDAYS(G587,H587,S.DDL_DEQClosed)</f>
        <v>4</v>
      </c>
      <c r="F587" s="457">
        <f ca="1">IF(YEAR(H587)&gt;2000,NETWORKDAYS(TODAY(),H587,S.DDL_DEQClosed),0)</f>
        <v>32</v>
      </c>
      <c r="G587" s="408">
        <f t="shared" ref="G587" si="469">AAG587</f>
        <v>41661</v>
      </c>
      <c r="H587" s="408">
        <f t="shared" ref="H587" si="470">AAH587</f>
        <v>41666</v>
      </c>
      <c r="I587" s="244"/>
      <c r="J587" s="194"/>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s="52"/>
      <c r="AAA587" s="192"/>
      <c r="AAD587" s="90"/>
      <c r="AAE587" s="519">
        <f>IF(AND(S.Notice.Involved="Y",S.Hearing.1stInvolve="Y"),1,0)</f>
        <v>1</v>
      </c>
      <c r="AAF587" s="90"/>
      <c r="AAG587" s="73">
        <f>IF(AAE587=0,,S.Notice.LastHearingDate)</f>
        <v>41661</v>
      </c>
      <c r="AAH587" s="73">
        <f>S.Notice.CloseComment</f>
        <v>41666</v>
      </c>
      <c r="AAI587" s="72"/>
      <c r="AAJ587" s="74"/>
      <c r="AAK587" s="185"/>
      <c r="AAL587" s="90"/>
    </row>
    <row r="588" spans="1:715" s="23" customFormat="1" ht="15" customHeight="1" outlineLevel="1">
      <c r="A588" s="171"/>
      <c r="B588" s="363" t="s">
        <v>165</v>
      </c>
      <c r="C588" s="376" t="s">
        <v>0</v>
      </c>
      <c r="D588" s="380"/>
      <c r="E588" s="342">
        <f t="shared" ref="E588" si="471">NETWORKDAYS(G588,H588,S.DDL_DEQClosed)</f>
        <v>4</v>
      </c>
      <c r="F588" s="457">
        <f ca="1">IF(YEAR(H588)&gt;2000,NETWORKDAYS(TODAY(),H588,S.DDL_DEQClosed),0)</f>
        <v>32</v>
      </c>
      <c r="G588" s="408">
        <f t="shared" ref="G588" si="472">AAG588</f>
        <v>41661</v>
      </c>
      <c r="H588" s="408">
        <f t="shared" ref="H588" si="473">AAH588</f>
        <v>41666</v>
      </c>
      <c r="I588" s="244"/>
      <c r="J588" s="194"/>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s="52"/>
      <c r="AAA588" s="192"/>
      <c r="AAD588" s="90"/>
      <c r="AAE588" s="519">
        <f>IF(AND(S.Notice.Involved="Y",S.Hearing.1stInvolve="Y"),1,0)</f>
        <v>1</v>
      </c>
      <c r="AAF588" s="90"/>
      <c r="AAG588" s="73">
        <f>IF(AAE588=0,,S.Notice.LastHearingDate)</f>
        <v>41661</v>
      </c>
      <c r="AAH588" s="73">
        <f>S.Notice.CloseComment</f>
        <v>41666</v>
      </c>
      <c r="AAI588" s="72"/>
      <c r="AAJ588" s="74"/>
      <c r="AAK588" s="185"/>
      <c r="AAL588" s="90"/>
    </row>
    <row r="589" spans="1:715" ht="15" customHeight="1" outlineLevel="1">
      <c r="A589" s="171"/>
      <c r="B589" s="626" t="s">
        <v>345</v>
      </c>
      <c r="C589" s="376" t="s">
        <v>0</v>
      </c>
      <c r="D589" s="380"/>
      <c r="E589" s="397">
        <f>NETWORKDAYS(G589,H589,S.DDL_DEQClosed)</f>
        <v>24</v>
      </c>
      <c r="F589" s="457">
        <f ca="1">IF(YEAR(H589)&gt;2000,NETWORKDAYS(TODAY(),H589,S.DDL_DEQClosed),0)</f>
        <v>40</v>
      </c>
      <c r="G589" s="408">
        <f>AAG589</f>
        <v>41642</v>
      </c>
      <c r="H589" s="408">
        <f t="shared" ref="H589" si="474">AAH589</f>
        <v>41676</v>
      </c>
      <c r="I589" s="244"/>
      <c r="J589" s="194"/>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AAA589" s="192"/>
      <c r="AAD589" s="90"/>
      <c r="AAE589" s="519">
        <f>IF(S.Notice.Involved="Y",1,0)</f>
        <v>1</v>
      </c>
      <c r="AAF589" s="90"/>
      <c r="AAG589" s="73">
        <f>IF(AAE589=0,,WORKDAY(S.Notice.InOregonBulletin+1,1,S.DDL_DEQClosed))</f>
        <v>41642</v>
      </c>
      <c r="AAH589" s="73">
        <f>S.EQC.SubmitStaffRpt</f>
        <v>41676</v>
      </c>
      <c r="AAI589" s="72"/>
      <c r="AAJ589" s="74"/>
      <c r="AAK589" s="185"/>
      <c r="AAL589" s="90"/>
      <c r="AAM589"/>
    </row>
    <row r="590" spans="1:715" ht="18" customHeight="1" outlineLevel="1">
      <c r="A590" s="171"/>
      <c r="B590" s="898" t="s">
        <v>23</v>
      </c>
      <c r="C590" s="898"/>
      <c r="D590" s="898"/>
      <c r="E590" s="898"/>
      <c r="F590" s="898"/>
      <c r="G590" s="899"/>
      <c r="H590" s="573">
        <f>AAH590</f>
        <v>41666</v>
      </c>
      <c r="I590" s="244"/>
      <c r="J590" s="194"/>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AAA590" s="192"/>
      <c r="AAD590" s="90"/>
      <c r="AAE590" s="519">
        <f t="shared" ref="AAE590:AAE611" si="475">IF(S.Notice.Involved="Y",1,0)</f>
        <v>1</v>
      </c>
      <c r="AAF590" s="90"/>
      <c r="AAG590" s="73">
        <f>IF(AAE590=0,,S.Notice.CloseComment)</f>
        <v>41666</v>
      </c>
      <c r="AAH590" s="73">
        <f>S.Notice.CloseComment</f>
        <v>41666</v>
      </c>
      <c r="AAI590" s="72"/>
      <c r="AAJ590" s="74"/>
      <c r="AAK590" s="56"/>
      <c r="AAL590" s="90"/>
      <c r="AAM590"/>
    </row>
    <row r="591" spans="1:715" s="23" customFormat="1" ht="15" customHeight="1" outlineLevel="1">
      <c r="A591" s="171"/>
      <c r="B591" s="398" t="str">
        <f>AAK591</f>
        <v>AndreaRW:</v>
      </c>
      <c r="C591" s="346"/>
      <c r="D591" s="357"/>
      <c r="E591" s="350"/>
      <c r="F591" s="350"/>
      <c r="G591" s="346"/>
      <c r="H591" s="346"/>
      <c r="I591" s="244"/>
      <c r="J591" s="194"/>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s="52"/>
      <c r="AAA591" s="192"/>
      <c r="AAD591" s="90"/>
      <c r="AAE591" s="519">
        <f>IF(S.Notice.Involved="Y",1,0)</f>
        <v>1</v>
      </c>
      <c r="AAF591" s="190" t="s">
        <v>52</v>
      </c>
      <c r="AAG591" s="71"/>
      <c r="AAH591" s="71"/>
      <c r="AAI591" s="72"/>
      <c r="AAJ591" s="72"/>
      <c r="AAK591" s="80" t="str">
        <f>S.Staff.Lead&amp;":"</f>
        <v>AndreaRW:</v>
      </c>
      <c r="AAL591" s="90"/>
    </row>
    <row r="592" spans="1:715" ht="15" customHeight="1" outlineLevel="1">
      <c r="A592" s="171"/>
      <c r="B592" s="363" t="s">
        <v>234</v>
      </c>
      <c r="C592" s="376" t="s">
        <v>0</v>
      </c>
      <c r="D592" s="380"/>
      <c r="E592" s="342">
        <f>NETWORKDAYS(G592,H592,S.DDL_DEQClosed)</f>
        <v>4</v>
      </c>
      <c r="F592" s="457">
        <f ca="1">IF(YEAR(H592)&gt;2000,NETWORKDAYS(TODAY(),H592,S.DDL_DEQClosed),0)</f>
        <v>32</v>
      </c>
      <c r="G592" s="408">
        <f>AAG592</f>
        <v>41661</v>
      </c>
      <c r="H592" s="408">
        <f>AAH592</f>
        <v>41666</v>
      </c>
      <c r="I592" s="244"/>
      <c r="J592" s="194"/>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AAA592" s="192"/>
      <c r="AAD592" s="90"/>
      <c r="AAE592" s="519">
        <f>IF(AND(S.Notice.Involved="Y",S.Hearing.1stInvolve="Y"),1,0)</f>
        <v>1</v>
      </c>
      <c r="AAF592" s="90"/>
      <c r="AAG592" s="73">
        <f>IF(AAE592=0,,S.Notice.LastHearingDate)</f>
        <v>41661</v>
      </c>
      <c r="AAH592" s="73">
        <f>S.Notice.CloseComment</f>
        <v>41666</v>
      </c>
      <c r="AAI592" s="72"/>
      <c r="AAJ592" s="74"/>
      <c r="AAK592" s="56"/>
      <c r="AAL592" s="90"/>
      <c r="AAM592"/>
    </row>
    <row r="593" spans="1:715" s="23" customFormat="1" ht="15" customHeight="1" outlineLevel="1">
      <c r="A593" s="171"/>
      <c r="B593" s="363" t="s">
        <v>235</v>
      </c>
      <c r="C593" s="386"/>
      <c r="D593" s="411"/>
      <c r="E593" s="412"/>
      <c r="F593" s="412"/>
      <c r="G593" s="386"/>
      <c r="H593" s="386"/>
      <c r="I593" s="244"/>
      <c r="J593" s="194"/>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s="52"/>
      <c r="AAA593" s="192"/>
      <c r="AAD593" s="90"/>
      <c r="AAE593" s="519">
        <f>IF(S.Notice.Involved="Y",1,0)</f>
        <v>1</v>
      </c>
      <c r="AAF593" s="190" t="s">
        <v>52</v>
      </c>
      <c r="AAG593" s="71"/>
      <c r="AAH593" s="71"/>
      <c r="AAI593" s="72"/>
      <c r="AAJ593" s="72"/>
      <c r="AAK593" s="56"/>
      <c r="AAL593" s="90"/>
    </row>
    <row r="594" spans="1:715" s="23" customFormat="1" ht="15" customHeight="1" outlineLevel="1">
      <c r="A594" s="171"/>
      <c r="B594" s="627" t="s">
        <v>231</v>
      </c>
      <c r="C594" s="376" t="s">
        <v>0</v>
      </c>
      <c r="D594" s="380"/>
      <c r="E594" s="342">
        <f t="shared" ref="E594" si="476">NETWORKDAYS(G594,H594,S.DDL_DEQClosed)</f>
        <v>1</v>
      </c>
      <c r="F594" s="457">
        <f t="shared" ref="F594:F608" ca="1" si="477">IF(YEAR(H594)&gt;2000,NETWORKDAYS(TODAY(),H594,S.DDL_DEQClosed),0)</f>
        <v>29</v>
      </c>
      <c r="G594" s="408">
        <f>AAG594</f>
        <v>41661</v>
      </c>
      <c r="H594" s="408">
        <f t="shared" ref="H594:H596" si="478">AAH594</f>
        <v>41661</v>
      </c>
      <c r="I594" s="244"/>
      <c r="J594" s="194"/>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s="52"/>
      <c r="AAA594" s="192" t="s">
        <v>0</v>
      </c>
      <c r="AAD594" s="90"/>
      <c r="AAE594" s="519">
        <f>IF(AND(S.Notice.Involved="Y",S.Hearing.1stInvolve="Y"),1,0)</f>
        <v>1</v>
      </c>
      <c r="AAF594" s="90"/>
      <c r="AAG594" s="73">
        <f>IF(AAE594=0,,S.Hearing.1stDate)</f>
        <v>41661</v>
      </c>
      <c r="AAH594" s="73">
        <f>G594</f>
        <v>41661</v>
      </c>
      <c r="AAI594" s="72"/>
      <c r="AAJ594" s="74"/>
      <c r="AAK594" s="56"/>
      <c r="AAL594" s="90"/>
    </row>
    <row r="595" spans="1:715" s="23" customFormat="1" ht="15" customHeight="1" outlineLevel="1">
      <c r="A595" s="171"/>
      <c r="B595" s="628" t="s">
        <v>232</v>
      </c>
      <c r="C595" s="376" t="s">
        <v>0</v>
      </c>
      <c r="D595" s="380"/>
      <c r="E595" s="342">
        <f t="shared" ref="E595" si="479">NETWORKDAYS(G595,H595,S.DDL_DEQClosed)</f>
        <v>1</v>
      </c>
      <c r="F595" s="457">
        <f t="shared" ca="1" si="477"/>
        <v>29</v>
      </c>
      <c r="G595" s="408">
        <f t="shared" ref="G595:G596" si="480">AAG595</f>
        <v>41661</v>
      </c>
      <c r="H595" s="408">
        <f t="shared" si="478"/>
        <v>41661</v>
      </c>
      <c r="I595" s="244"/>
      <c r="J595" s="194"/>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s="52"/>
      <c r="AAA595" s="192"/>
      <c r="AAD595" s="90"/>
      <c r="AAE595" s="519">
        <f>IF(AND(S.Notice.Involved="Y",S.Hearing.1stInvolve="Y"),1,0)</f>
        <v>1</v>
      </c>
      <c r="AAF595" s="90"/>
      <c r="AAG595" s="73">
        <f>IF(AAE595=0,,S.Hearing.1stDate)</f>
        <v>41661</v>
      </c>
      <c r="AAH595" s="73">
        <f>G595</f>
        <v>41661</v>
      </c>
      <c r="AAI595" s="72"/>
      <c r="AAJ595" s="74"/>
      <c r="AAK595" s="56"/>
      <c r="AAL595" s="90"/>
    </row>
    <row r="596" spans="1:715" s="23" customFormat="1" ht="15" customHeight="1" outlineLevel="1">
      <c r="A596" s="171"/>
      <c r="B596" s="629" t="s">
        <v>233</v>
      </c>
      <c r="C596" s="376" t="s">
        <v>0</v>
      </c>
      <c r="D596" s="380"/>
      <c r="E596" s="397">
        <f t="shared" ref="E596" si="481">NETWORKDAYS(G596,H596,S.DDL_DEQClosed)</f>
        <v>1</v>
      </c>
      <c r="F596" s="457">
        <f t="shared" ca="1" si="477"/>
        <v>29</v>
      </c>
      <c r="G596" s="408">
        <f t="shared" si="480"/>
        <v>41661</v>
      </c>
      <c r="H596" s="408">
        <f t="shared" si="478"/>
        <v>41661</v>
      </c>
      <c r="I596" s="244"/>
      <c r="J596" s="194"/>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s="52"/>
      <c r="AAA596" s="192"/>
      <c r="AAB596"/>
      <c r="AAC596"/>
      <c r="AAD596" s="90"/>
      <c r="AAE596" s="519">
        <f>IF(S.Notice.Involved="Y",1,0)</f>
        <v>1</v>
      </c>
      <c r="AAF596" s="90"/>
      <c r="AAG596" s="73">
        <f>IF(AAE596=0,,S.Hearing.1stDate)</f>
        <v>41661</v>
      </c>
      <c r="AAH596" s="73">
        <f>G596</f>
        <v>41661</v>
      </c>
      <c r="AAI596" s="72"/>
      <c r="AAJ596" s="75"/>
      <c r="AAK596" s="56"/>
      <c r="AAL596" s="90"/>
    </row>
    <row r="597" spans="1:715" ht="15" customHeight="1" outlineLevel="1" thickBot="1">
      <c r="A597" s="171"/>
      <c r="B597" s="286" t="s">
        <v>438</v>
      </c>
      <c r="C597" s="376" t="s">
        <v>0</v>
      </c>
      <c r="D597" s="380"/>
      <c r="E597" s="397">
        <f t="shared" ref="E597" si="482">NETWORKDAYS(G597,H597,S.DDL_DEQClosed)</f>
        <v>1</v>
      </c>
      <c r="F597" s="457">
        <f t="shared" ca="1" si="477"/>
        <v>32</v>
      </c>
      <c r="G597" s="408">
        <f t="shared" ref="G597:G608" si="483">AAG597</f>
        <v>41666</v>
      </c>
      <c r="H597" s="408">
        <f t="shared" ref="H597:H608" si="484">AAH597</f>
        <v>41666</v>
      </c>
      <c r="I597" s="244"/>
      <c r="J597" s="194"/>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AAA597" s="192" t="s">
        <v>0</v>
      </c>
      <c r="AAD597" s="90"/>
      <c r="AAE597" s="519">
        <f>IF(S.Notice.Involved="Y",1,0)</f>
        <v>1</v>
      </c>
      <c r="AAF597" s="90"/>
      <c r="AAG597" s="73">
        <f>IF(AAE597=0,,S.Notice.CloseComment)</f>
        <v>41666</v>
      </c>
      <c r="AAH597" s="73">
        <f>G597</f>
        <v>41666</v>
      </c>
      <c r="AAI597" s="72"/>
      <c r="AAJ597" s="56"/>
      <c r="AAK597" s="56"/>
      <c r="AAL597" s="90"/>
      <c r="AAM597"/>
    </row>
    <row r="598" spans="1:715" s="23" customFormat="1" ht="15" customHeight="1" outlineLevel="1" thickBot="1">
      <c r="A598" s="171"/>
      <c r="B598" s="396" t="s">
        <v>439</v>
      </c>
      <c r="C598" s="513" t="s">
        <v>53</v>
      </c>
      <c r="D598" s="380"/>
      <c r="E598" s="891" t="s">
        <v>0</v>
      </c>
      <c r="F598" s="892"/>
      <c r="G598" s="893"/>
      <c r="H598" s="343">
        <f>AAH598</f>
        <v>0</v>
      </c>
      <c r="I598" s="244"/>
      <c r="J598" s="198"/>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s="52"/>
      <c r="AAA598" s="192"/>
      <c r="AAD598" s="90"/>
      <c r="AAE598" s="519">
        <f>IF(S.Notice.Involved="Y",1,0)</f>
        <v>1</v>
      </c>
      <c r="AAF598" s="90"/>
      <c r="AAG598" s="73">
        <f>H592</f>
        <v>41666</v>
      </c>
      <c r="AAH598" s="73">
        <f t="shared" ref="AAH598" si="485">G598</f>
        <v>0</v>
      </c>
      <c r="AAI598" s="72"/>
      <c r="AAJ598" s="72"/>
      <c r="AAK598" s="87"/>
      <c r="AAL598" s="90"/>
    </row>
    <row r="599" spans="1:715" s="23" customFormat="1" ht="15" customHeight="1" outlineLevel="1">
      <c r="A599" s="171" t="s">
        <v>0</v>
      </c>
      <c r="B599" s="389" t="s">
        <v>441</v>
      </c>
      <c r="C599" s="374"/>
      <c r="D599" s="380"/>
      <c r="E599" s="648">
        <f>NETWORKDAYS(G599,H599,S.DDL_DEQClosed)</f>
        <v>0</v>
      </c>
      <c r="F599" s="457">
        <f t="shared" ref="F599" ca="1" si="486">IF(YEAR(H599)&gt;2000,NETWORKDAYS(TODAY(),H599,S.DDL_DEQClosed),0)</f>
        <v>0</v>
      </c>
      <c r="G599" s="737">
        <f t="shared" ref="G599" si="487">AAG599</f>
        <v>0</v>
      </c>
      <c r="H599" s="737">
        <f t="shared" ref="H599" si="488">AAH599</f>
        <v>0</v>
      </c>
      <c r="I599" s="244"/>
      <c r="J599" s="198"/>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s="52"/>
      <c r="AAA599" s="192"/>
      <c r="AAD599" s="90"/>
      <c r="AAE599" s="519">
        <f t="shared" si="475"/>
        <v>1</v>
      </c>
      <c r="AAF599" s="190" t="s">
        <v>52</v>
      </c>
      <c r="AAG599" s="71"/>
      <c r="AAH599" s="71"/>
      <c r="AAI599" s="72"/>
      <c r="AAJ599" s="72"/>
      <c r="AAK599" s="87"/>
      <c r="AAL599" s="90"/>
    </row>
    <row r="600" spans="1:715" s="23" customFormat="1" ht="15" customHeight="1" outlineLevel="1">
      <c r="A600" s="171"/>
      <c r="B600" s="396" t="s">
        <v>442</v>
      </c>
      <c r="C600" s="376" t="s">
        <v>0</v>
      </c>
      <c r="I600" s="244"/>
      <c r="J600" s="194"/>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s="52"/>
      <c r="AAA600" s="192"/>
      <c r="AAD600" s="90"/>
      <c r="AAE600" s="519">
        <f t="shared" si="475"/>
        <v>1</v>
      </c>
      <c r="AAF600" s="190" t="s">
        <v>52</v>
      </c>
      <c r="AAG600" s="72"/>
      <c r="AAH600" s="72"/>
      <c r="AAI600" s="72"/>
      <c r="AAJ600" s="72"/>
      <c r="AAK600" s="87"/>
      <c r="AAL600" s="90"/>
    </row>
    <row r="601" spans="1:715" s="23" customFormat="1" ht="15" customHeight="1" outlineLevel="1">
      <c r="A601" s="171"/>
      <c r="B601" s="670" t="s">
        <v>440</v>
      </c>
      <c r="C601" s="376" t="s">
        <v>0</v>
      </c>
      <c r="I601" s="244"/>
      <c r="J601" s="194"/>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s="52"/>
      <c r="AAA601" s="192"/>
      <c r="AAD601" s="90"/>
      <c r="AAE601" s="519">
        <f t="shared" si="475"/>
        <v>1</v>
      </c>
      <c r="AAF601" s="190" t="s">
        <v>52</v>
      </c>
      <c r="AAG601" s="72"/>
      <c r="AAH601" s="72"/>
      <c r="AAI601" s="72"/>
      <c r="AAJ601" s="72"/>
      <c r="AAK601" s="87"/>
      <c r="AAL601" s="90"/>
    </row>
    <row r="602" spans="1:715" s="23" customFormat="1" ht="15" customHeight="1" outlineLevel="1">
      <c r="A602" s="171" t="s">
        <v>353</v>
      </c>
      <c r="B602" s="730" t="str">
        <f>AAK602</f>
        <v>* contacts AndreaRW with questions, clarificatios and suggestions</v>
      </c>
      <c r="C602" s="376" t="s">
        <v>0</v>
      </c>
      <c r="I602" s="244"/>
      <c r="J602" s="194"/>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s="52"/>
      <c r="AAA602" s="192"/>
      <c r="AAD602" s="90"/>
      <c r="AAE602" s="519">
        <f t="shared" si="475"/>
        <v>1</v>
      </c>
      <c r="AAF602" s="190" t="s">
        <v>52</v>
      </c>
      <c r="AAG602" s="72"/>
      <c r="AAH602" s="72"/>
      <c r="AAI602" s="72"/>
      <c r="AAJ602" s="72"/>
      <c r="AAK602" s="254" t="str">
        <f>"* contacts "&amp;S.Staff.Lead&amp;" with questions, clarificatios and suggestions"</f>
        <v>* contacts AndreaRW with questions, clarificatios and suggestions</v>
      </c>
      <c r="AAL602" s="90"/>
    </row>
    <row r="603" spans="1:715" s="23" customFormat="1" ht="15" customHeight="1" outlineLevel="1">
      <c r="A603" s="171"/>
      <c r="B603" s="361" t="str">
        <f>AAK603</f>
        <v>MargaretMGR:</v>
      </c>
      <c r="C603" s="362"/>
      <c r="D603" s="362"/>
      <c r="E603" s="350"/>
      <c r="F603" s="350"/>
      <c r="G603" s="346"/>
      <c r="H603" s="346"/>
      <c r="I603" s="244"/>
      <c r="J603" s="194"/>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s="52"/>
      <c r="AAA603" s="192"/>
      <c r="AAD603" s="90"/>
      <c r="AAE603" s="519">
        <f t="shared" si="475"/>
        <v>1</v>
      </c>
      <c r="AAF603" s="190" t="s">
        <v>52</v>
      </c>
      <c r="AAG603" s="71"/>
      <c r="AAH603" s="71"/>
      <c r="AAI603" s="71"/>
      <c r="AAJ603" s="56"/>
      <c r="AAK603" s="254" t="str">
        <f>S.Staff.Mgr&amp;":"</f>
        <v>MargaretMGR:</v>
      </c>
      <c r="AAL603" s="90"/>
    </row>
    <row r="604" spans="1:715" s="23" customFormat="1" ht="15" customHeight="1" outlineLevel="1">
      <c r="A604" s="171"/>
      <c r="B604" s="363" t="str">
        <f>AAK604</f>
        <v>* shares comments/responses to comments with Andy and approves</v>
      </c>
      <c r="C604" s="362"/>
      <c r="D604" s="380"/>
      <c r="E604" s="342">
        <f>NETWORKDAYS(G604,H604,S.DDL_DEQClosed)</f>
        <v>1</v>
      </c>
      <c r="F604" s="457">
        <f t="shared" ref="F604" ca="1" si="489">IF(YEAR(H604)&gt;2000,NETWORKDAYS(TODAY(),H604,S.DDL_DEQClosed),0)</f>
        <v>29</v>
      </c>
      <c r="G604" s="408">
        <f t="shared" ref="G604" si="490">AAG604</f>
        <v>41661</v>
      </c>
      <c r="H604" s="408">
        <f t="shared" ref="H604" si="491">AAH604</f>
        <v>41661</v>
      </c>
      <c r="I604" s="244"/>
      <c r="J604" s="194"/>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s="52"/>
      <c r="AAA604" s="192"/>
      <c r="AAD604" s="90"/>
      <c r="AAE604" s="519">
        <f>IF(S.Notice.Involved="Y",1,0)</f>
        <v>1</v>
      </c>
      <c r="AAF604" s="90"/>
      <c r="AAG604" s="73">
        <f>H596</f>
        <v>41661</v>
      </c>
      <c r="AAH604" s="73">
        <f t="shared" ref="AAH604" si="492">G604</f>
        <v>41661</v>
      </c>
      <c r="AAI604" s="71"/>
      <c r="AAJ604" s="56"/>
      <c r="AAK604" s="254" t="str">
        <f>"* shares comments/responses to comments with "&amp;S.Staff.DA&amp;" and approves"</f>
        <v>* shares comments/responses to comments with Andy and approves</v>
      </c>
      <c r="AAL604" s="90"/>
    </row>
    <row r="605" spans="1:715" ht="15" customHeight="1" outlineLevel="1" thickBot="1">
      <c r="A605" s="171"/>
      <c r="B605" s="734" t="s">
        <v>444</v>
      </c>
      <c r="C605"/>
      <c r="D605" s="380"/>
      <c r="E605" s="342">
        <f>NETWORKDAYS(G605,H605,S.DDL_DEQClosed)</f>
        <v>1</v>
      </c>
      <c r="F605" s="457">
        <f t="shared" ca="1" si="477"/>
        <v>32</v>
      </c>
      <c r="G605" s="408">
        <f t="shared" si="483"/>
        <v>41666</v>
      </c>
      <c r="H605" s="408">
        <f t="shared" si="484"/>
        <v>41666</v>
      </c>
      <c r="I605" s="244"/>
      <c r="J605" s="194"/>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AAA605" s="192"/>
      <c r="AAD605" s="90"/>
      <c r="AAE605" s="519">
        <f>IF(S.Notice.Involved="Y",1,0)</f>
        <v>1</v>
      </c>
      <c r="AAF605" s="90"/>
      <c r="AAG605" s="73">
        <f>H597</f>
        <v>41666</v>
      </c>
      <c r="AAH605" s="73">
        <f t="shared" ref="AAH605:AAH608" si="493">G605</f>
        <v>41666</v>
      </c>
      <c r="AAI605" s="72"/>
      <c r="AAJ605" s="56"/>
      <c r="AAK605" s="56"/>
      <c r="AAL605" s="90"/>
      <c r="AAM605"/>
    </row>
    <row r="606" spans="1:715" ht="15" customHeight="1" outlineLevel="1" thickBot="1">
      <c r="A606" s="171"/>
      <c r="B606" s="731" t="s">
        <v>445</v>
      </c>
      <c r="C606" s="611" t="s">
        <v>17</v>
      </c>
      <c r="D606" s="380"/>
      <c r="E606" s="342">
        <f>NETWORKDAYS(G606,H606,S.DDL_DEQClosed)</f>
        <v>1</v>
      </c>
      <c r="F606" s="457">
        <f t="shared" ca="1" si="477"/>
        <v>32</v>
      </c>
      <c r="G606" s="408">
        <f t="shared" si="483"/>
        <v>41666</v>
      </c>
      <c r="H606" s="408">
        <f t="shared" si="484"/>
        <v>41666</v>
      </c>
      <c r="I606" s="244"/>
      <c r="J606" s="194"/>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AAA606" s="192"/>
      <c r="AAD606" s="90"/>
      <c r="AAE606" s="519">
        <f>IF(AND(S.Comment.ApproveResponseLoop2="Y",S.Notice.Involved="Y"),1,)</f>
        <v>1</v>
      </c>
      <c r="AAF606" s="90"/>
      <c r="AAG606" s="73">
        <f>IF(S.Comment.ApproveResponseLoop2="N",,H605)</f>
        <v>41666</v>
      </c>
      <c r="AAH606" s="73">
        <f t="shared" si="493"/>
        <v>41666</v>
      </c>
      <c r="AAI606" s="72"/>
      <c r="AAJ606" s="56"/>
      <c r="AAK606" s="56"/>
      <c r="AAL606" s="90"/>
      <c r="AAM606"/>
    </row>
    <row r="607" spans="1:715" ht="15" customHeight="1" outlineLevel="1" thickBot="1">
      <c r="A607" s="171"/>
      <c r="B607" s="732" t="s">
        <v>446</v>
      </c>
      <c r="C607" s="611" t="s">
        <v>17</v>
      </c>
      <c r="D607" s="380"/>
      <c r="E607" s="342">
        <f>NETWORKDAYS(G607,H607,S.DDL_DEQClosed)</f>
        <v>1</v>
      </c>
      <c r="F607" s="457">
        <f t="shared" ca="1" si="477"/>
        <v>32</v>
      </c>
      <c r="G607" s="408">
        <f t="shared" si="483"/>
        <v>41666</v>
      </c>
      <c r="H607" s="408">
        <f t="shared" si="484"/>
        <v>41666</v>
      </c>
      <c r="I607" s="244"/>
      <c r="J607" s="194"/>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AAA607" s="192"/>
      <c r="AAD607" s="90"/>
      <c r="AAE607" s="519">
        <f>IF(AND(S.Comment.ApproveResponseLoop3="Y",S.Notice.Involved="Y"),1,)</f>
        <v>1</v>
      </c>
      <c r="AAF607" s="90"/>
      <c r="AAG607" s="73">
        <f>IF(S.Comment.ApproveResponseLoop3="N",,H606)</f>
        <v>41666</v>
      </c>
      <c r="AAH607" s="73">
        <f t="shared" si="493"/>
        <v>41666</v>
      </c>
      <c r="AAI607" s="72"/>
      <c r="AAJ607" s="56"/>
      <c r="AAK607" s="56"/>
      <c r="AAL607" s="90"/>
      <c r="AAM607"/>
    </row>
    <row r="608" spans="1:715" ht="15" customHeight="1" outlineLevel="1" thickBot="1">
      <c r="A608" s="171"/>
      <c r="B608" s="733" t="s">
        <v>447</v>
      </c>
      <c r="C608" s="611" t="s">
        <v>17</v>
      </c>
      <c r="D608" s="380"/>
      <c r="E608" s="342">
        <f>NETWORKDAYS(G608,H608,S.DDL_DEQClosed)</f>
        <v>1</v>
      </c>
      <c r="F608" s="457">
        <f t="shared" ca="1" si="477"/>
        <v>32</v>
      </c>
      <c r="G608" s="408">
        <f t="shared" si="483"/>
        <v>41666</v>
      </c>
      <c r="H608" s="408">
        <f t="shared" si="484"/>
        <v>41666</v>
      </c>
      <c r="I608" s="244"/>
      <c r="J608" s="194"/>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AAA608" s="192" t="s">
        <v>0</v>
      </c>
      <c r="AAD608" s="90"/>
      <c r="AAE608" s="519">
        <f>IF(AND(S.Comment.ApproveResponseLoop4="Y",S.Notice.Involved="Y"),1,)</f>
        <v>1</v>
      </c>
      <c r="AAF608" s="90"/>
      <c r="AAG608" s="73">
        <f>IF(S.Comment.ApproveResponseLoop4="N",,H607)</f>
        <v>41666</v>
      </c>
      <c r="AAH608" s="73">
        <f t="shared" si="493"/>
        <v>41666</v>
      </c>
      <c r="AAI608" s="72"/>
      <c r="AAJ608" s="56"/>
      <c r="AAK608" s="56"/>
      <c r="AAL608" s="90"/>
      <c r="AAM608"/>
    </row>
    <row r="609" spans="1:715" s="23" customFormat="1" ht="15" customHeight="1" outlineLevel="1">
      <c r="A609" s="171"/>
      <c r="B609" s="398" t="str">
        <f>AAK609</f>
        <v>AndreaRW:</v>
      </c>
      <c r="C609" s="346"/>
      <c r="D609" s="357"/>
      <c r="E609" s="350"/>
      <c r="F609" s="350"/>
      <c r="G609" s="346"/>
      <c r="H609" s="718"/>
      <c r="I609" s="244"/>
      <c r="J609" s="194"/>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s="52"/>
      <c r="AAA609" s="192"/>
      <c r="AAD609" s="90"/>
      <c r="AAE609" s="519">
        <f t="shared" si="475"/>
        <v>1</v>
      </c>
      <c r="AAF609" s="190" t="s">
        <v>52</v>
      </c>
      <c r="AAG609" s="71"/>
      <c r="AAH609" s="71"/>
      <c r="AAI609" s="72"/>
      <c r="AAJ609" s="72"/>
      <c r="AAK609" s="80" t="str">
        <f>S.Staff.Lead&amp;":"</f>
        <v>AndreaRW:</v>
      </c>
      <c r="AAL609" s="90"/>
    </row>
    <row r="610" spans="1:715" s="239" customFormat="1" ht="15.75" customHeight="1" outlineLevel="1">
      <c r="A610" s="576"/>
      <c r="B610" s="363" t="s">
        <v>448</v>
      </c>
      <c r="C610" s="789" t="str">
        <f>HYPERLINK("\\deqhq1\Rule_Development\Currrent Plan","i")</f>
        <v>i</v>
      </c>
      <c r="D610" s="401"/>
      <c r="E610" s="577">
        <f t="shared" ref="E610" si="494">NETWORKDAYS(G610,H610,S.DDL_DEQClosed)</f>
        <v>1</v>
      </c>
      <c r="F610" s="575">
        <f ca="1">IF(YEAR(H610)&gt;2000,NETWORKDAYS(TODAY(),H610,S.DDL_DEQClosed),0)</f>
        <v>32</v>
      </c>
      <c r="G610" s="578">
        <f>AAG610</f>
        <v>41666</v>
      </c>
      <c r="H610" s="673">
        <f>AAH610</f>
        <v>41666</v>
      </c>
      <c r="I610" s="579"/>
      <c r="J610" s="580"/>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s="52"/>
      <c r="AAA610" s="774"/>
      <c r="AAD610" s="90"/>
      <c r="AAE610" s="582">
        <f t="shared" si="475"/>
        <v>1</v>
      </c>
      <c r="AAF610" s="90"/>
      <c r="AAG610" s="73">
        <f>+IF(AAE610=0,,H590)</f>
        <v>41666</v>
      </c>
      <c r="AAH610" s="73">
        <f>G610</f>
        <v>41666</v>
      </c>
      <c r="AAI610" s="583"/>
      <c r="AAJ610" s="583"/>
      <c r="AAK610" s="71" t="s">
        <v>0</v>
      </c>
      <c r="AAL610" s="90"/>
    </row>
    <row r="611" spans="1:715" s="23" customFormat="1" ht="15.75" customHeight="1" outlineLevel="1">
      <c r="A611" s="171"/>
      <c r="B611" s="363" t="s">
        <v>363</v>
      </c>
      <c r="C611" s="362"/>
      <c r="D611" s="373"/>
      <c r="E611" s="350"/>
      <c r="F611" s="350"/>
      <c r="G611" s="346"/>
      <c r="H611" s="346"/>
      <c r="I611" s="244"/>
      <c r="J611" s="194"/>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s="52"/>
      <c r="AAA611" s="192"/>
      <c r="AAD611" s="90"/>
      <c r="AAE611" s="519">
        <f t="shared" si="475"/>
        <v>1</v>
      </c>
      <c r="AAF611" s="190" t="s">
        <v>52</v>
      </c>
      <c r="AAG611" s="71"/>
      <c r="AAH611" s="71"/>
      <c r="AAI611" s="71"/>
      <c r="AAJ611" s="56"/>
      <c r="AAK611" s="71" t="s">
        <v>0</v>
      </c>
      <c r="AAL611" s="90"/>
    </row>
    <row r="612" spans="1:715" ht="6" customHeight="1" outlineLevel="1">
      <c r="A612" s="171"/>
      <c r="B612" s="95"/>
      <c r="C612" s="96"/>
      <c r="D612" s="231"/>
      <c r="E612" s="97"/>
      <c r="F612" s="97"/>
      <c r="G612" s="96"/>
      <c r="H612" s="96"/>
      <c r="I612" s="244"/>
      <c r="J612" s="194"/>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AAA612" s="192"/>
      <c r="AAD612" s="90"/>
      <c r="AAE612" s="519" t="s">
        <v>21</v>
      </c>
      <c r="AAF612" s="190" t="s">
        <v>52</v>
      </c>
      <c r="AAG612" s="60"/>
      <c r="AAH612" s="60"/>
      <c r="AAI612" s="72"/>
      <c r="AAJ612" s="56"/>
      <c r="AAK612" s="56"/>
      <c r="AAL612" s="90"/>
      <c r="AAM612"/>
    </row>
    <row r="613" spans="1:715" s="23" customFormat="1" ht="18" customHeight="1" outlineLevel="1">
      <c r="A613" s="171"/>
      <c r="B613" s="795" t="s">
        <v>224</v>
      </c>
      <c r="C613" s="795"/>
      <c r="D613" s="795"/>
      <c r="E613" s="795"/>
      <c r="F613" s="795"/>
      <c r="G613" s="795"/>
      <c r="H613" s="795"/>
      <c r="I613" s="244"/>
      <c r="J613" s="195"/>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s="52"/>
      <c r="AAA613" s="192"/>
      <c r="AAB613"/>
      <c r="AAC613"/>
      <c r="AAD613" s="90"/>
      <c r="AAE613" s="519" t="s">
        <v>22</v>
      </c>
      <c r="AAF613" s="190" t="s">
        <v>52</v>
      </c>
      <c r="AAG613" s="90"/>
      <c r="AAH613" s="90"/>
      <c r="AAI613" s="72"/>
      <c r="AAJ613" s="81"/>
      <c r="AAK613" s="71"/>
      <c r="AAL613" s="90"/>
    </row>
    <row r="614" spans="1:715" s="23" customFormat="1" ht="14.25" customHeight="1" outlineLevel="1">
      <c r="A614" s="171"/>
      <c r="B614" s="141" t="s">
        <v>0</v>
      </c>
      <c r="C614" s="100" t="s">
        <v>0</v>
      </c>
      <c r="D614" s="237"/>
      <c r="E614" s="865" t="s">
        <v>225</v>
      </c>
      <c r="F614" s="865"/>
      <c r="G614" s="865" t="s">
        <v>12</v>
      </c>
      <c r="H614" s="865"/>
      <c r="I614" s="244"/>
      <c r="J614" s="195"/>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s="52"/>
      <c r="AAA614" s="192"/>
      <c r="AAD614" s="90"/>
      <c r="AAE614" s="519" t="s">
        <v>63</v>
      </c>
      <c r="AAF614" s="190" t="s">
        <v>52</v>
      </c>
      <c r="AAG614" s="90"/>
      <c r="AAH614" s="90"/>
      <c r="AAI614" s="72"/>
      <c r="AAJ614" s="81"/>
      <c r="AAK614" s="71"/>
      <c r="AAL614" s="90"/>
    </row>
    <row r="615" spans="1:715" s="552" customFormat="1" ht="24" customHeight="1" outlineLevel="1">
      <c r="A615" s="545"/>
      <c r="B615" s="686" t="str">
        <f>S.General.RulemakingTitle</f>
        <v>Incorporate Lane Regional Air Protection Agency Rules into State Implementation Plan</v>
      </c>
      <c r="C615" s="547" t="s">
        <v>0</v>
      </c>
      <c r="D615" s="547"/>
      <c r="E615" s="559" t="s">
        <v>228</v>
      </c>
      <c r="F615" s="560" t="s">
        <v>226</v>
      </c>
      <c r="G615" s="548" t="s">
        <v>61</v>
      </c>
      <c r="H615" s="548" t="s">
        <v>227</v>
      </c>
      <c r="I615" s="549"/>
      <c r="J615" s="550"/>
      <c r="K615" s="551"/>
      <c r="L615" s="551"/>
      <c r="M615" s="551"/>
      <c r="N615" s="551"/>
      <c r="O615" s="551"/>
      <c r="P615" s="551"/>
      <c r="Q615" s="551"/>
      <c r="R615" s="551"/>
      <c r="S615" s="551"/>
      <c r="T615" s="551"/>
      <c r="U615" s="551"/>
      <c r="V615" s="551"/>
      <c r="W615" s="551"/>
      <c r="X615" s="551"/>
      <c r="Y615" s="551"/>
      <c r="Z615" s="551"/>
      <c r="AA615" s="551"/>
      <c r="AB615" s="551"/>
      <c r="AC615" s="551"/>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s="52"/>
      <c r="AAA615" s="770"/>
      <c r="AAD615" s="553"/>
      <c r="AAE615" s="554" t="s">
        <v>63</v>
      </c>
      <c r="AAF615" s="555" t="s">
        <v>52</v>
      </c>
      <c r="AAG615" s="553"/>
      <c r="AAH615" s="553"/>
      <c r="AAI615" s="556"/>
      <c r="AAJ615" s="557"/>
      <c r="AAK615" s="558"/>
      <c r="AAL615" s="553"/>
    </row>
    <row r="616" spans="1:715" ht="18" customHeight="1" outlineLevel="1">
      <c r="A616" s="171"/>
      <c r="B616" s="127" t="s">
        <v>12</v>
      </c>
      <c r="C616" s="129"/>
      <c r="D616" s="128"/>
      <c r="E616" s="140"/>
      <c r="F616" s="162">
        <f>NETWORKDAYS(S.EQC.BANNER.Begin,S.EQC.BANNER.End,S.DDL_DEQClosed)</f>
        <v>98</v>
      </c>
      <c r="G616" s="247">
        <f>AAG616</f>
        <v>41572</v>
      </c>
      <c r="H616" s="142">
        <f>AAH616</f>
        <v>41717</v>
      </c>
      <c r="I616" s="244"/>
      <c r="J616" s="216"/>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AAA616" s="192"/>
      <c r="AAD616" s="90"/>
      <c r="AAE616" s="519" t="s">
        <v>63</v>
      </c>
      <c r="AAF616" s="190" t="s">
        <v>52</v>
      </c>
      <c r="AAG616" s="73">
        <f>IF(S.General.RuleType =1,S.Notice.SubmitToSOS,S.Overview.BANNER.Start)</f>
        <v>41572</v>
      </c>
      <c r="AAH616" s="73">
        <f>S.EQC.Meeting</f>
        <v>41717</v>
      </c>
      <c r="AAI616" s="72"/>
      <c r="AAJ616" s="56"/>
      <c r="AAK616" s="56"/>
      <c r="AAL616" s="90"/>
      <c r="AAM616"/>
    </row>
    <row r="617" spans="1:715" ht="6" customHeight="1" outlineLevel="1">
      <c r="A617" s="171"/>
      <c r="B617" s="120"/>
      <c r="C617" s="112"/>
      <c r="D617" s="230"/>
      <c r="E617" s="113"/>
      <c r="F617" s="113"/>
      <c r="G617" s="112"/>
      <c r="H617" s="112"/>
      <c r="I617" s="244"/>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AAA617" s="192"/>
      <c r="AAD617" s="90"/>
      <c r="AAE617" s="519" t="s">
        <v>17</v>
      </c>
      <c r="AAF617" s="190" t="s">
        <v>52</v>
      </c>
      <c r="AAG617" s="60"/>
      <c r="AAH617" s="60"/>
      <c r="AAI617" s="72"/>
      <c r="AAJ617" s="56"/>
      <c r="AAK617" s="56"/>
      <c r="AAL617" s="90"/>
      <c r="AAM617"/>
    </row>
    <row r="618" spans="1:715" s="23" customFormat="1" ht="12.75" customHeight="1" outlineLevel="1">
      <c r="A618" s="171"/>
      <c r="B618" s="798" t="s">
        <v>506</v>
      </c>
      <c r="C618" s="797" t="str">
        <f>HYPERLINK("","i")</f>
        <v>i</v>
      </c>
      <c r="D618" s="231"/>
      <c r="E618" s="97"/>
      <c r="F618" s="97"/>
      <c r="G618" s="96"/>
      <c r="H618" s="96"/>
      <c r="I618" s="244"/>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ZZ618" s="52"/>
      <c r="AAA618" s="192"/>
      <c r="AAD618" s="90"/>
      <c r="AAE618" s="520" t="s">
        <v>21</v>
      </c>
      <c r="AAF618" s="190" t="s">
        <v>52</v>
      </c>
      <c r="AAG618" s="60"/>
      <c r="AAH618" s="60"/>
      <c r="AAI618" s="82"/>
      <c r="AAJ618" s="82"/>
      <c r="AAK618" s="40"/>
      <c r="AAL618" s="90"/>
    </row>
    <row r="619" spans="1:715" s="23" customFormat="1" ht="15" customHeight="1" outlineLevel="2">
      <c r="A619" s="171" t="s">
        <v>0</v>
      </c>
      <c r="B619" s="389" t="str">
        <f>AAK619</f>
        <v>AndreaRW:</v>
      </c>
      <c r="C619" s="418" t="s">
        <v>0</v>
      </c>
      <c r="D619" s="417"/>
      <c r="E619" s="397">
        <f t="shared" ref="E619" si="495">NETWORKDAYS(G619,H619,S.DDL_DEQClosed)</f>
        <v>70</v>
      </c>
      <c r="F619" s="457">
        <f t="shared" ref="F619:F625" ca="1" si="496">IF(YEAR(H619)&gt;2000,NETWORKDAYS(TODAY(),H619,S.DDL_DEQClosed),0)</f>
        <v>40</v>
      </c>
      <c r="G619" s="400">
        <f t="shared" ref="G619" si="497">AAG619</f>
        <v>41572</v>
      </c>
      <c r="H619" s="400">
        <f t="shared" ref="H619" si="498">AAH619</f>
        <v>41676</v>
      </c>
      <c r="I619" s="244"/>
      <c r="J619" s="222"/>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c r="AT619" s="223"/>
      <c r="AU619" s="223"/>
      <c r="AV619" s="223"/>
      <c r="AW619" s="223"/>
      <c r="AX619" s="223"/>
      <c r="AY619" s="223"/>
      <c r="AZ619" s="223"/>
      <c r="BA619" s="223"/>
      <c r="BB619" s="223"/>
      <c r="BC619" s="223"/>
      <c r="BD619" s="223"/>
      <c r="BE619" s="223"/>
      <c r="BF619" s="223"/>
      <c r="BG619" s="223"/>
      <c r="BH619" s="223"/>
      <c r="BI619" s="223"/>
      <c r="BJ619" s="223"/>
      <c r="BK619" s="223"/>
      <c r="BL619" s="223"/>
      <c r="BM619" s="223"/>
      <c r="BN619" s="223"/>
      <c r="BO619" s="223"/>
      <c r="BP619" s="223"/>
      <c r="BQ619" s="223"/>
      <c r="BR619" s="223"/>
      <c r="BS619" s="223"/>
      <c r="BT619" s="223"/>
      <c r="BU619" s="223"/>
      <c r="BV619" s="223"/>
      <c r="BW619" s="223"/>
      <c r="BX619" s="223"/>
      <c r="BY619" s="223"/>
      <c r="BZ619" s="223"/>
      <c r="CA619" s="223"/>
      <c r="CB619" s="223"/>
      <c r="CC619" s="223"/>
      <c r="CD619" s="223"/>
      <c r="CE619" s="223"/>
      <c r="CF619" s="223"/>
      <c r="CG619" s="223"/>
      <c r="CH619" s="223"/>
      <c r="CI619" s="223"/>
      <c r="CJ619" s="223"/>
      <c r="CK619" s="223"/>
      <c r="CL619" s="223"/>
      <c r="CM619" s="223"/>
      <c r="CN619" s="223"/>
      <c r="CO619" s="223"/>
      <c r="CP619" s="223"/>
      <c r="CQ619" s="223"/>
      <c r="CR619" s="223"/>
      <c r="CS619" s="223"/>
      <c r="CT619" s="223"/>
      <c r="CU619" s="223"/>
      <c r="CV619" s="223"/>
      <c r="CW619" s="223"/>
      <c r="CX619" s="223"/>
      <c r="CY619" s="223"/>
      <c r="CZ619" s="223"/>
      <c r="DA619" s="223"/>
      <c r="DB619" s="223"/>
      <c r="DC619" s="223"/>
      <c r="DD619" s="223"/>
      <c r="DE619" s="223"/>
      <c r="DF619" s="223"/>
      <c r="DG619" s="223"/>
      <c r="DH619" s="223"/>
      <c r="DI619" s="223"/>
      <c r="DJ619" s="223"/>
      <c r="DK619" s="223"/>
      <c r="DL619" s="223"/>
      <c r="DM619" s="223"/>
      <c r="DN619" s="223"/>
      <c r="DO619" s="223"/>
      <c r="DP619" s="223"/>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s="52"/>
      <c r="AAA619" s="192"/>
      <c r="AAD619" s="90"/>
      <c r="AAE619" s="519">
        <v>1</v>
      </c>
      <c r="AAF619" s="90"/>
      <c r="AAG619" s="73">
        <f t="shared" ref="AAG619:AAG624" si="499">S.EQC.BANNER.Begin</f>
        <v>41572</v>
      </c>
      <c r="AAH619" s="73">
        <f t="shared" ref="AAH619:AAH625" si="500">S.EQC.SubmitStaffRpt</f>
        <v>41676</v>
      </c>
      <c r="AAI619" s="72"/>
      <c r="AAJ619" s="56"/>
      <c r="AAK619" s="80" t="str">
        <f>IF(AND(S.EQC.DirReport="N",S.EQC.InfoItem="N"),"No EQC involvement prior to Action Item meeting",S.Staff.Lead&amp;":")</f>
        <v>AndreaRW:</v>
      </c>
      <c r="AAL619" s="90"/>
    </row>
    <row r="620" spans="1:715" s="23" customFormat="1" ht="15" customHeight="1" outlineLevel="2">
      <c r="A620" s="171" t="s">
        <v>0</v>
      </c>
      <c r="B620" s="396" t="str">
        <f>AAK620</f>
        <v>* drafts content of Director's Report to EQC</v>
      </c>
      <c r="C620" s="418" t="s">
        <v>0</v>
      </c>
      <c r="D620" s="417"/>
      <c r="E620" s="397">
        <f t="shared" ref="E620:E621" si="501">NETWORKDAYS(G620,H620,S.DDL_DEQClosed)</f>
        <v>70</v>
      </c>
      <c r="F620" s="457">
        <f t="shared" ca="1" si="496"/>
        <v>40</v>
      </c>
      <c r="G620" s="400">
        <f t="shared" ref="G620:G621" si="502">AAG620</f>
        <v>41572</v>
      </c>
      <c r="H620" s="400">
        <f t="shared" ref="H620:H621" si="503">AAH620</f>
        <v>41676</v>
      </c>
      <c r="I620" s="244"/>
      <c r="J620" s="222"/>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c r="AW620" s="223"/>
      <c r="AX620" s="223"/>
      <c r="AY620" s="223"/>
      <c r="AZ620" s="223"/>
      <c r="BA620" s="223"/>
      <c r="BB620" s="223"/>
      <c r="BC620" s="223"/>
      <c r="BD620" s="223"/>
      <c r="BE620" s="223"/>
      <c r="BF620" s="223"/>
      <c r="BG620" s="223"/>
      <c r="BH620" s="223"/>
      <c r="BI620" s="223"/>
      <c r="BJ620" s="223"/>
      <c r="BK620" s="223"/>
      <c r="BL620" s="223"/>
      <c r="BM620" s="223"/>
      <c r="BN620" s="223"/>
      <c r="BO620" s="223"/>
      <c r="BP620" s="223"/>
      <c r="BQ620" s="223"/>
      <c r="BR620" s="223"/>
      <c r="BS620" s="223"/>
      <c r="BT620" s="223"/>
      <c r="BU620" s="223"/>
      <c r="BV620" s="223"/>
      <c r="BW620" s="223"/>
      <c r="BX620" s="223"/>
      <c r="BY620" s="223"/>
      <c r="BZ620" s="223"/>
      <c r="CA620" s="223"/>
      <c r="CB620" s="223"/>
      <c r="CC620" s="223"/>
      <c r="CD620" s="223"/>
      <c r="CE620" s="223"/>
      <c r="CF620" s="223"/>
      <c r="CG620" s="223"/>
      <c r="CH620" s="223"/>
      <c r="CI620" s="223"/>
      <c r="CJ620" s="223"/>
      <c r="CK620" s="223"/>
      <c r="CL620" s="223"/>
      <c r="CM620" s="223"/>
      <c r="CN620" s="223"/>
      <c r="CO620" s="223"/>
      <c r="CP620" s="223"/>
      <c r="CQ620" s="223"/>
      <c r="CR620" s="223"/>
      <c r="CS620" s="223"/>
      <c r="CT620" s="223"/>
      <c r="CU620" s="223"/>
      <c r="CV620" s="223"/>
      <c r="CW620" s="223"/>
      <c r="CX620" s="223"/>
      <c r="CY620" s="223"/>
      <c r="CZ620" s="223"/>
      <c r="DA620" s="223"/>
      <c r="DB620" s="223"/>
      <c r="DC620" s="223"/>
      <c r="DD620" s="223"/>
      <c r="DE620" s="223"/>
      <c r="DF620" s="223"/>
      <c r="DG620" s="223"/>
      <c r="DH620" s="223"/>
      <c r="DI620" s="223"/>
      <c r="DJ620" s="223"/>
      <c r="DK620" s="223"/>
      <c r="DL620" s="223"/>
      <c r="DM620" s="223"/>
      <c r="DN620" s="223"/>
      <c r="DO620" s="223"/>
      <c r="DP620" s="223"/>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s="52"/>
      <c r="AAA620" s="192"/>
      <c r="AAD620" s="90"/>
      <c r="AAE620" s="519">
        <f>IF(S.EQC.DirReport="Y",1,0)</f>
        <v>1</v>
      </c>
      <c r="AAF620" s="90"/>
      <c r="AAG620" s="73">
        <f t="shared" si="499"/>
        <v>41572</v>
      </c>
      <c r="AAH620" s="73">
        <f t="shared" si="500"/>
        <v>41676</v>
      </c>
      <c r="AAI620" s="72"/>
      <c r="AAJ620" s="56"/>
      <c r="AAK620" s="80" t="str">
        <f>IF(S.EQC.DirReport="N","* no Director's Report","* drafts content of Director's Report to EQC")</f>
        <v>* drafts content of Director's Report to EQC</v>
      </c>
      <c r="AAL620" s="90"/>
    </row>
    <row r="621" spans="1:715" s="23" customFormat="1" ht="15" customHeight="1" outlineLevel="2">
      <c r="A621" s="171"/>
      <c r="B621" s="396" t="str">
        <f>AAK621</f>
        <v>* no EQC Information Item</v>
      </c>
      <c r="C621" s="790" t="str">
        <f>HYPERLINK("\\deqhq1\Rule_Resources\0.IndividualRulemaking\6-EQC Preparation\STAFF.RPT.InformationItem.docx","i")</f>
        <v>i</v>
      </c>
      <c r="D621" s="417"/>
      <c r="E621" s="397">
        <f t="shared" si="501"/>
        <v>70</v>
      </c>
      <c r="F621" s="457">
        <f t="shared" ca="1" si="496"/>
        <v>40</v>
      </c>
      <c r="G621" s="400">
        <f t="shared" si="502"/>
        <v>41572</v>
      </c>
      <c r="H621" s="400">
        <f t="shared" si="503"/>
        <v>41676</v>
      </c>
      <c r="I621" s="244"/>
      <c r="J621" s="222"/>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c r="AT621" s="223"/>
      <c r="AU621" s="223"/>
      <c r="AV621" s="223"/>
      <c r="AW621" s="223"/>
      <c r="AX621" s="223"/>
      <c r="AY621" s="223"/>
      <c r="AZ621" s="223"/>
      <c r="BA621" s="223"/>
      <c r="BB621" s="223"/>
      <c r="BC621" s="223"/>
      <c r="BD621" s="223"/>
      <c r="BE621" s="223"/>
      <c r="BF621" s="223"/>
      <c r="BG621" s="223"/>
      <c r="BH621" s="223"/>
      <c r="BI621" s="223"/>
      <c r="BJ621" s="223"/>
      <c r="BK621" s="223"/>
      <c r="BL621" s="223"/>
      <c r="BM621" s="223"/>
      <c r="BN621" s="223"/>
      <c r="BO621" s="223"/>
      <c r="BP621" s="223"/>
      <c r="BQ621" s="223"/>
      <c r="BR621" s="223"/>
      <c r="BS621" s="223"/>
      <c r="BT621" s="223"/>
      <c r="BU621" s="223"/>
      <c r="BV621" s="223"/>
      <c r="BW621" s="223"/>
      <c r="BX621" s="223"/>
      <c r="BY621" s="223"/>
      <c r="BZ621" s="223"/>
      <c r="CA621" s="223"/>
      <c r="CB621" s="223"/>
      <c r="CC621" s="223"/>
      <c r="CD621" s="223"/>
      <c r="CE621" s="223"/>
      <c r="CF621" s="223"/>
      <c r="CG621" s="223"/>
      <c r="CH621" s="223"/>
      <c r="CI621" s="223"/>
      <c r="CJ621" s="223"/>
      <c r="CK621" s="223"/>
      <c r="CL621" s="223"/>
      <c r="CM621" s="223"/>
      <c r="CN621" s="223"/>
      <c r="CO621" s="223"/>
      <c r="CP621" s="223"/>
      <c r="CQ621" s="223"/>
      <c r="CR621" s="223"/>
      <c r="CS621" s="223"/>
      <c r="CT621" s="223"/>
      <c r="CU621" s="223"/>
      <c r="CV621" s="223"/>
      <c r="CW621" s="223"/>
      <c r="CX621" s="223"/>
      <c r="CY621" s="223"/>
      <c r="CZ621" s="223"/>
      <c r="DA621" s="223"/>
      <c r="DB621" s="223"/>
      <c r="DC621" s="223"/>
      <c r="DD621" s="223"/>
      <c r="DE621" s="223"/>
      <c r="DF621" s="223"/>
      <c r="DG621" s="223"/>
      <c r="DH621" s="223"/>
      <c r="DI621" s="223"/>
      <c r="DJ621" s="223"/>
      <c r="DK621" s="223"/>
      <c r="DL621" s="223"/>
      <c r="DM621" s="223"/>
      <c r="DN621" s="223"/>
      <c r="DO621" s="223"/>
      <c r="DP621" s="223"/>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s="52"/>
      <c r="AAA621" s="192"/>
      <c r="AAD621" s="90"/>
      <c r="AAE621" s="519">
        <f>IF(S.EQC.InfoItem="Y",1,0)</f>
        <v>0</v>
      </c>
      <c r="AAF621" s="90"/>
      <c r="AAG621" s="73">
        <f t="shared" si="499"/>
        <v>41572</v>
      </c>
      <c r="AAH621" s="73">
        <f t="shared" si="500"/>
        <v>41676</v>
      </c>
      <c r="AAI621" s="72"/>
      <c r="AAJ621" s="56"/>
      <c r="AAK621" s="80" t="str">
        <f>IF(S.EQC.InfoItem="N","* no EQC Information Item","* drafts EQC Information  Item")</f>
        <v>* no EQC Information Item</v>
      </c>
      <c r="AAL621" s="90"/>
    </row>
    <row r="622" spans="1:715" s="23" customFormat="1" ht="15" customHeight="1" outlineLevel="2">
      <c r="A622" s="171"/>
      <c r="B622" s="396" t="str">
        <f>AAK622</f>
        <v>* leads EQC material review</v>
      </c>
      <c r="C622" s="418" t="s">
        <v>0</v>
      </c>
      <c r="D622" s="417"/>
      <c r="E622" s="397">
        <f t="shared" ref="E622" si="504">NETWORKDAYS(G622,H622,S.DDL_DEQClosed)</f>
        <v>70</v>
      </c>
      <c r="F622" s="457">
        <f t="shared" ca="1" si="496"/>
        <v>40</v>
      </c>
      <c r="G622" s="400">
        <f t="shared" ref="G622" si="505">AAG622</f>
        <v>41572</v>
      </c>
      <c r="H622" s="400">
        <f t="shared" ref="H622" si="506">AAH622</f>
        <v>41676</v>
      </c>
      <c r="I622" s="244"/>
      <c r="J622" s="222"/>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c r="AT622" s="223"/>
      <c r="AU622" s="223"/>
      <c r="AV622" s="223"/>
      <c r="AW622" s="223"/>
      <c r="AX622" s="223"/>
      <c r="AY622" s="223"/>
      <c r="AZ622" s="223"/>
      <c r="BA622" s="223"/>
      <c r="BB622" s="223"/>
      <c r="BC622" s="223"/>
      <c r="BD622" s="223"/>
      <c r="BE622" s="223"/>
      <c r="BF622" s="223"/>
      <c r="BG622" s="223"/>
      <c r="BH622" s="223"/>
      <c r="BI622" s="223"/>
      <c r="BJ622" s="223"/>
      <c r="BK622" s="223"/>
      <c r="BL622" s="223"/>
      <c r="BM622" s="223"/>
      <c r="BN622" s="223"/>
      <c r="BO622" s="223"/>
      <c r="BP622" s="223"/>
      <c r="BQ622" s="223"/>
      <c r="BR622" s="223"/>
      <c r="BS622" s="223"/>
      <c r="BT622" s="223"/>
      <c r="BU622" s="223"/>
      <c r="BV622" s="223"/>
      <c r="BW622" s="223"/>
      <c r="BX622" s="223"/>
      <c r="BY622" s="223"/>
      <c r="BZ622" s="223"/>
      <c r="CA622" s="223"/>
      <c r="CB622" s="223"/>
      <c r="CC622" s="223"/>
      <c r="CD622" s="223"/>
      <c r="CE622" s="223"/>
      <c r="CF622" s="223"/>
      <c r="CG622" s="223"/>
      <c r="CH622" s="223"/>
      <c r="CI622" s="223"/>
      <c r="CJ622" s="223"/>
      <c r="CK622" s="223"/>
      <c r="CL622" s="223"/>
      <c r="CM622" s="223"/>
      <c r="CN622" s="223"/>
      <c r="CO622" s="223"/>
      <c r="CP622" s="223"/>
      <c r="CQ622" s="223"/>
      <c r="CR622" s="223"/>
      <c r="CS622" s="223"/>
      <c r="CT622" s="223"/>
      <c r="CU622" s="223"/>
      <c r="CV622" s="223"/>
      <c r="CW622" s="223"/>
      <c r="CX622" s="223"/>
      <c r="CY622" s="223"/>
      <c r="CZ622" s="223"/>
      <c r="DA622" s="223"/>
      <c r="DB622" s="223"/>
      <c r="DC622" s="223"/>
      <c r="DD622" s="223"/>
      <c r="DE622" s="223"/>
      <c r="DF622" s="223"/>
      <c r="DG622" s="223"/>
      <c r="DH622" s="223"/>
      <c r="DI622" s="223"/>
      <c r="DJ622" s="223"/>
      <c r="DK622" s="223"/>
      <c r="DL622" s="223"/>
      <c r="DM622" s="223"/>
      <c r="DN622" s="223"/>
      <c r="DO622" s="223"/>
      <c r="DP622" s="223"/>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s="52"/>
      <c r="AAA622" s="192"/>
      <c r="AAD622" s="90"/>
      <c r="AAE622" s="519">
        <f>IF(OR(S.EQC.DirReport="Y",S.EQC.FacHearing="Y"),1,0)</f>
        <v>1</v>
      </c>
      <c r="AAF622" s="90"/>
      <c r="AAG622" s="73">
        <f t="shared" si="499"/>
        <v>41572</v>
      </c>
      <c r="AAH622" s="73">
        <f t="shared" si="500"/>
        <v>41676</v>
      </c>
      <c r="AAI622" s="72"/>
      <c r="AAJ622" s="56"/>
      <c r="AAK622" s="80" t="str">
        <f>IF(OR(S.EQC.DirReport="Y",S.EQC.InfoItem="Y"),"* leads EQC material review","* blank row")</f>
        <v>* leads EQC material review</v>
      </c>
      <c r="AAL622" s="90"/>
    </row>
    <row r="623" spans="1:715" ht="15" customHeight="1" outlineLevel="2">
      <c r="A623" s="171"/>
      <c r="B623" s="389" t="str">
        <f>AAK623</f>
        <v>AndreaRW develops STAFF.RPT.Permanent preloaded in folder 6 by:</v>
      </c>
      <c r="C623" s="418" t="s">
        <v>0</v>
      </c>
      <c r="D623" s="417"/>
      <c r="E623" s="397">
        <f t="shared" ref="E623" si="507">NETWORKDAYS(G623,H623,S.DDL_DEQClosed)</f>
        <v>70</v>
      </c>
      <c r="F623" s="457">
        <f t="shared" ca="1" si="496"/>
        <v>40</v>
      </c>
      <c r="G623" s="400">
        <f t="shared" ref="G623:H623" si="508">AAG623</f>
        <v>41572</v>
      </c>
      <c r="H623" s="400">
        <f t="shared" si="508"/>
        <v>41676</v>
      </c>
      <c r="I623" s="244"/>
      <c r="J623" s="222"/>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c r="AT623" s="223"/>
      <c r="AU623" s="223"/>
      <c r="AV623" s="223"/>
      <c r="AW623" s="223"/>
      <c r="AX623" s="223"/>
      <c r="AY623" s="223"/>
      <c r="AZ623" s="223"/>
      <c r="BA623" s="223"/>
      <c r="BB623" s="223"/>
      <c r="BC623" s="223"/>
      <c r="BD623" s="223"/>
      <c r="BE623" s="223"/>
      <c r="BF623" s="223"/>
      <c r="BG623" s="223"/>
      <c r="BH623" s="223"/>
      <c r="BI623" s="223"/>
      <c r="BJ623" s="223"/>
      <c r="BK623" s="223"/>
      <c r="BL623" s="223"/>
      <c r="BM623" s="223"/>
      <c r="BN623" s="223"/>
      <c r="BO623" s="223"/>
      <c r="BP623" s="223"/>
      <c r="BQ623" s="223"/>
      <c r="BR623" s="223"/>
      <c r="BS623" s="223"/>
      <c r="BT623" s="223"/>
      <c r="BU623" s="223"/>
      <c r="BV623" s="223"/>
      <c r="BW623" s="223"/>
      <c r="BX623" s="223"/>
      <c r="BY623" s="223"/>
      <c r="BZ623" s="223"/>
      <c r="CA623" s="223"/>
      <c r="CB623" s="223"/>
      <c r="CC623" s="223"/>
      <c r="CD623" s="223"/>
      <c r="CE623" s="223"/>
      <c r="CF623" s="223"/>
      <c r="CG623" s="223"/>
      <c r="CH623" s="223"/>
      <c r="CI623" s="223"/>
      <c r="CJ623" s="223"/>
      <c r="CK623" s="223"/>
      <c r="CL623" s="223"/>
      <c r="CM623" s="223"/>
      <c r="CN623" s="223"/>
      <c r="CO623" s="223"/>
      <c r="CP623" s="223"/>
      <c r="CQ623" s="223"/>
      <c r="CR623" s="223"/>
      <c r="CS623" s="223"/>
      <c r="CT623" s="223"/>
      <c r="CU623" s="223"/>
      <c r="CV623" s="223"/>
      <c r="CW623" s="223"/>
      <c r="CX623" s="223"/>
      <c r="CY623" s="223"/>
      <c r="CZ623" s="223"/>
      <c r="DA623" s="223"/>
      <c r="DB623" s="223"/>
      <c r="DC623" s="223"/>
      <c r="DD623" s="223"/>
      <c r="DE623" s="223"/>
      <c r="DF623" s="223"/>
      <c r="DG623" s="223"/>
      <c r="DH623" s="223"/>
      <c r="DI623" s="223"/>
      <c r="DJ623" s="223"/>
      <c r="DK623" s="223"/>
      <c r="DL623" s="223"/>
      <c r="DM623" s="223"/>
      <c r="DN623" s="223"/>
      <c r="DO623" s="223"/>
      <c r="DP623" s="223"/>
      <c r="AAA623" s="192"/>
      <c r="AAD623" s="90"/>
      <c r="AAE623" s="519">
        <v>1</v>
      </c>
      <c r="AAF623" s="90"/>
      <c r="AAG623" s="73">
        <f t="shared" si="499"/>
        <v>41572</v>
      </c>
      <c r="AAH623" s="73">
        <f t="shared" si="500"/>
        <v>41676</v>
      </c>
      <c r="AAI623" s="72"/>
      <c r="AAJ623" s="56"/>
      <c r="AAK623" s="80" t="str">
        <f>IF(S.General.RuleType="P",S.Staff.Lead&amp;" develops STAFF.RPT.Permanent preloaded in folder 6 by:",S.Staff.Lead&amp;" develops STAFF.RPT.Temporary (preloaded in folder 6 by:")</f>
        <v>AndreaRW develops STAFF.RPT.Permanent preloaded in folder 6 by:</v>
      </c>
      <c r="AAL623" s="90"/>
      <c r="AAM623"/>
    </row>
    <row r="624" spans="1:715" s="23" customFormat="1" ht="15" customHeight="1" outlineLevel="2">
      <c r="A624" s="171"/>
      <c r="B624" s="413" t="s">
        <v>166</v>
      </c>
      <c r="C624" s="418" t="s">
        <v>0</v>
      </c>
      <c r="D624" s="417"/>
      <c r="E624" s="397">
        <f t="shared" ref="E624" si="509">NETWORKDAYS(G624,H624,S.DDL_DEQClosed)</f>
        <v>70</v>
      </c>
      <c r="F624" s="457">
        <f t="shared" ca="1" si="496"/>
        <v>40</v>
      </c>
      <c r="G624" s="400">
        <f t="shared" ref="G624" si="510">AAG624</f>
        <v>41572</v>
      </c>
      <c r="H624" s="400">
        <f t="shared" ref="H624" si="511">AAH624</f>
        <v>41676</v>
      </c>
      <c r="I624" s="244"/>
      <c r="J624" s="222"/>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c r="AT624" s="223"/>
      <c r="AU624" s="223"/>
      <c r="AV624" s="223"/>
      <c r="AW624" s="223"/>
      <c r="AX624" s="223"/>
      <c r="AY624" s="223"/>
      <c r="AZ624" s="223"/>
      <c r="BA624" s="223"/>
      <c r="BB624" s="223"/>
      <c r="BC624" s="223"/>
      <c r="BD624" s="223"/>
      <c r="BE624" s="223"/>
      <c r="BF624" s="223"/>
      <c r="BG624" s="223"/>
      <c r="BH624" s="223"/>
      <c r="BI624" s="223"/>
      <c r="BJ624" s="223"/>
      <c r="BK624" s="223"/>
      <c r="BL624" s="223"/>
      <c r="BM624" s="223"/>
      <c r="BN624" s="223"/>
      <c r="BO624" s="223"/>
      <c r="BP624" s="223"/>
      <c r="BQ624" s="223"/>
      <c r="BR624" s="223"/>
      <c r="BS624" s="223"/>
      <c r="BT624" s="223"/>
      <c r="BU624" s="223"/>
      <c r="BV624" s="223"/>
      <c r="BW624" s="223"/>
      <c r="BX624" s="223"/>
      <c r="BY624" s="223"/>
      <c r="BZ624" s="223"/>
      <c r="CA624" s="223"/>
      <c r="CB624" s="223"/>
      <c r="CC624" s="223"/>
      <c r="CD624" s="223"/>
      <c r="CE624" s="223"/>
      <c r="CF624" s="223"/>
      <c r="CG624" s="223"/>
      <c r="CH624" s="223"/>
      <c r="CI624" s="223"/>
      <c r="CJ624" s="223"/>
      <c r="CK624" s="223"/>
      <c r="CL624" s="223"/>
      <c r="CM624" s="223"/>
      <c r="CN624" s="223"/>
      <c r="CO624" s="223"/>
      <c r="CP624" s="223"/>
      <c r="CQ624" s="223"/>
      <c r="CR624" s="223"/>
      <c r="CS624" s="223"/>
      <c r="CT624" s="223"/>
      <c r="CU624" s="223"/>
      <c r="CV624" s="223"/>
      <c r="CW624" s="223"/>
      <c r="CX624" s="223"/>
      <c r="CY624" s="223"/>
      <c r="CZ624" s="223"/>
      <c r="DA624" s="223"/>
      <c r="DB624" s="223"/>
      <c r="DC624" s="223"/>
      <c r="DD624" s="223"/>
      <c r="DE624" s="223"/>
      <c r="DF624" s="223"/>
      <c r="DG624" s="223"/>
      <c r="DH624" s="223"/>
      <c r="DI624" s="223"/>
      <c r="DJ624" s="223"/>
      <c r="DK624" s="223"/>
      <c r="DL624" s="223"/>
      <c r="DM624" s="223"/>
      <c r="DN624" s="223"/>
      <c r="DO624" s="223"/>
      <c r="DP624" s="223"/>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s="52"/>
      <c r="AAA624" s="192"/>
      <c r="AAD624" s="90"/>
      <c r="AAE624" s="519">
        <v>1</v>
      </c>
      <c r="AAF624" s="90"/>
      <c r="AAG624" s="73">
        <f t="shared" si="499"/>
        <v>41572</v>
      </c>
      <c r="AAH624" s="73">
        <f t="shared" si="500"/>
        <v>41676</v>
      </c>
      <c r="AAI624" s="72"/>
      <c r="AAJ624" s="56"/>
      <c r="AAK624" s="56" t="s">
        <v>0</v>
      </c>
      <c r="AAL624" s="90"/>
    </row>
    <row r="625" spans="1:715" s="23" customFormat="1" ht="15" customHeight="1" outlineLevel="2">
      <c r="A625" s="171"/>
      <c r="B625" s="413" t="str">
        <f>AAK625</f>
        <v>* integrating NOTICE into STAFF REPORT.Permanent by</v>
      </c>
      <c r="C625" s="418" t="s">
        <v>0</v>
      </c>
      <c r="D625" s="417"/>
      <c r="E625" s="397">
        <f t="shared" ref="E625" si="512">NETWORKDAYS(G625,H625,S.DDL_DEQClosed)</f>
        <v>70</v>
      </c>
      <c r="F625" s="457">
        <f t="shared" ca="1" si="496"/>
        <v>40</v>
      </c>
      <c r="G625" s="400">
        <f t="shared" ref="G625" si="513">AAG625</f>
        <v>41572</v>
      </c>
      <c r="H625" s="400">
        <f t="shared" ref="H625" si="514">AAH625</f>
        <v>41676</v>
      </c>
      <c r="I625" s="244"/>
      <c r="J625" s="222"/>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3"/>
      <c r="DJ625" s="223"/>
      <c r="DK625" s="223"/>
      <c r="DL625" s="223"/>
      <c r="DM625" s="223"/>
      <c r="DN625" s="223"/>
      <c r="DO625" s="223"/>
      <c r="DP625" s="223"/>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s="52"/>
      <c r="AAA625" s="192"/>
      <c r="AAD625" s="90"/>
      <c r="AAE625" s="519">
        <f t="shared" ref="AAE625:AAE633" si="515">IF(S.Notice.Involved="Y",1,0)</f>
        <v>1</v>
      </c>
      <c r="AAF625" s="90"/>
      <c r="AAG625" s="73">
        <f>IF(AAE625=0,,S.EQC.BANNER.Begin)</f>
        <v>41572</v>
      </c>
      <c r="AAH625" s="73">
        <f t="shared" si="500"/>
        <v>41676</v>
      </c>
      <c r="AAI625" s="72"/>
      <c r="AAJ625" s="56"/>
      <c r="AAK625" s="80" t="str">
        <f>IF(AND(S.Notice.Involved="Y",S.General.RuleType="P"),"* integrating NOTICE into STAFF REPORT.Permanent by",IF(AND(S.Notice.Involved="Y",S.General.RuleType="T"),"* integrating NOTICE into STAFF.RPT.Temporary by ","No NOTICE for this rulemaking"))</f>
        <v>* integrating NOTICE into STAFF REPORT.Permanent by</v>
      </c>
      <c r="AAL625" s="90"/>
    </row>
    <row r="626" spans="1:715" ht="15" customHeight="1" outlineLevel="2">
      <c r="A626" s="171"/>
      <c r="B626" s="781" t="s">
        <v>492</v>
      </c>
      <c r="C626" s="853"/>
      <c r="D626" s="853"/>
      <c r="E626" s="853"/>
      <c r="F626" s="853"/>
      <c r="G626" s="853"/>
      <c r="H626" s="853"/>
      <c r="I626" s="244"/>
      <c r="J626" s="194"/>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AAA626" s="192"/>
      <c r="AAD626" s="90"/>
      <c r="AAE626" s="519">
        <f t="shared" si="515"/>
        <v>1</v>
      </c>
      <c r="AAF626" s="190" t="s">
        <v>52</v>
      </c>
      <c r="AAG626" s="94"/>
      <c r="AAH626" s="94"/>
      <c r="AAI626" s="72"/>
      <c r="AAJ626" s="56"/>
      <c r="AAK626" s="56"/>
      <c r="AAL626" s="90"/>
      <c r="AAM626"/>
    </row>
    <row r="627" spans="1:715" ht="15" customHeight="1" outlineLevel="2">
      <c r="A627" s="171"/>
      <c r="B627" s="782" t="s">
        <v>449</v>
      </c>
      <c r="C627" s="853"/>
      <c r="D627" s="853"/>
      <c r="E627" s="853"/>
      <c r="F627" s="853"/>
      <c r="G627" s="853"/>
      <c r="H627" s="853"/>
      <c r="I627" s="244"/>
      <c r="J627" s="194"/>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AAA627" s="192"/>
      <c r="AAD627" s="90"/>
      <c r="AAE627" s="519">
        <f t="shared" si="515"/>
        <v>1</v>
      </c>
      <c r="AAF627" s="190" t="s">
        <v>52</v>
      </c>
      <c r="AAG627" s="94"/>
      <c r="AAH627" s="94"/>
      <c r="AAI627" s="72"/>
      <c r="AAJ627" s="56"/>
      <c r="AAK627" s="56"/>
      <c r="AAL627" s="90"/>
      <c r="AAM627"/>
    </row>
    <row r="628" spans="1:715" ht="15" customHeight="1" outlineLevel="2">
      <c r="A628" s="171"/>
      <c r="B628" s="782" t="s">
        <v>450</v>
      </c>
      <c r="C628" s="853"/>
      <c r="D628" s="853"/>
      <c r="E628" s="853"/>
      <c r="F628" s="853"/>
      <c r="G628" s="853"/>
      <c r="H628" s="853"/>
      <c r="I628" s="244"/>
      <c r="J628" s="194"/>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AAA628" s="192"/>
      <c r="AAD628" s="90"/>
      <c r="AAE628" s="519">
        <f t="shared" si="515"/>
        <v>1</v>
      </c>
      <c r="AAF628" s="190" t="s">
        <v>52</v>
      </c>
      <c r="AAG628" s="94"/>
      <c r="AAH628" s="94"/>
      <c r="AAI628" s="72"/>
      <c r="AAJ628" s="56"/>
      <c r="AAK628" s="56"/>
      <c r="AAL628" s="90"/>
      <c r="AAM628"/>
    </row>
    <row r="629" spans="1:715" ht="15" customHeight="1" outlineLevel="2">
      <c r="A629" s="171"/>
      <c r="B629" s="782" t="s">
        <v>451</v>
      </c>
      <c r="C629" s="853"/>
      <c r="D629" s="853"/>
      <c r="E629" s="853"/>
      <c r="F629" s="853"/>
      <c r="G629" s="853"/>
      <c r="H629" s="853"/>
      <c r="I629" s="244"/>
      <c r="J629" s="194"/>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AAA629" s="192"/>
      <c r="AAD629" s="90"/>
      <c r="AAE629" s="519">
        <f t="shared" si="515"/>
        <v>1</v>
      </c>
      <c r="AAF629" s="190" t="s">
        <v>52</v>
      </c>
      <c r="AAG629" s="94"/>
      <c r="AAH629" s="94"/>
      <c r="AAI629" s="72"/>
      <c r="AAJ629" s="56"/>
      <c r="AAK629" s="56"/>
      <c r="AAL629" s="90"/>
      <c r="AAM629"/>
    </row>
    <row r="630" spans="1:715" ht="15" customHeight="1" outlineLevel="2">
      <c r="A630" s="171"/>
      <c r="B630" s="782" t="s">
        <v>295</v>
      </c>
      <c r="C630" s="853"/>
      <c r="D630" s="853"/>
      <c r="E630" s="853"/>
      <c r="F630" s="853"/>
      <c r="G630" s="853"/>
      <c r="H630" s="853"/>
      <c r="I630" s="244"/>
      <c r="J630" s="194"/>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AAA630" s="192"/>
      <c r="AAD630" s="90"/>
      <c r="AAE630" s="519">
        <f t="shared" si="515"/>
        <v>1</v>
      </c>
      <c r="AAF630" s="190" t="s">
        <v>52</v>
      </c>
      <c r="AAG630" s="94"/>
      <c r="AAH630" s="94"/>
      <c r="AAI630" s="72"/>
      <c r="AAJ630" s="56"/>
      <c r="AAK630" s="56"/>
      <c r="AAL630" s="90"/>
      <c r="AAM630"/>
    </row>
    <row r="631" spans="1:715" ht="15" customHeight="1" outlineLevel="2">
      <c r="A631" s="171"/>
      <c r="B631" s="715" t="s">
        <v>296</v>
      </c>
      <c r="C631" s="853"/>
      <c r="D631" s="853"/>
      <c r="E631" s="853"/>
      <c r="F631" s="853"/>
      <c r="G631" s="853"/>
      <c r="H631" s="853"/>
      <c r="I631" s="244"/>
      <c r="J631" s="194"/>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AAA631" s="192"/>
      <c r="AAD631" s="90"/>
      <c r="AAE631" s="519">
        <f t="shared" si="515"/>
        <v>1</v>
      </c>
      <c r="AAF631" s="190" t="s">
        <v>52</v>
      </c>
      <c r="AAG631" s="94"/>
      <c r="AAH631" s="94"/>
      <c r="AAI631" s="72"/>
      <c r="AAJ631" s="56"/>
      <c r="AAK631" s="56"/>
      <c r="AAL631" s="90"/>
      <c r="AAM631"/>
    </row>
    <row r="632" spans="1:715" s="23" customFormat="1" ht="15" customHeight="1" outlineLevel="2">
      <c r="A632" s="171"/>
      <c r="B632" s="783" t="s">
        <v>452</v>
      </c>
      <c r="C632" s="853"/>
      <c r="D632" s="853"/>
      <c r="E632" s="853"/>
      <c r="F632" s="853"/>
      <c r="G632" s="853"/>
      <c r="H632" s="853"/>
      <c r="I632" s="244"/>
      <c r="J632" s="194"/>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s="52"/>
      <c r="AAA632" s="192"/>
      <c r="AAD632" s="90"/>
      <c r="AAE632" s="519">
        <f t="shared" si="515"/>
        <v>1</v>
      </c>
      <c r="AAF632" s="190" t="s">
        <v>52</v>
      </c>
      <c r="AAG632" s="94"/>
      <c r="AAH632" s="94"/>
      <c r="AAI632" s="72"/>
      <c r="AAJ632" s="56"/>
      <c r="AAK632" s="56"/>
      <c r="AAL632" s="90"/>
    </row>
    <row r="633" spans="1:715" s="23" customFormat="1" ht="15" customHeight="1" outlineLevel="2">
      <c r="A633" s="171"/>
      <c r="B633" s="783" t="s">
        <v>452</v>
      </c>
      <c r="C633" s="738"/>
      <c r="D633" s="738"/>
      <c r="E633" s="738"/>
      <c r="F633" s="738"/>
      <c r="G633" s="738"/>
      <c r="H633" s="738"/>
      <c r="I633" s="244"/>
      <c r="J633" s="194"/>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s="52"/>
      <c r="AAA633" s="192"/>
      <c r="AAD633" s="90"/>
      <c r="AAE633" s="519">
        <f t="shared" si="515"/>
        <v>1</v>
      </c>
      <c r="AAF633" s="190" t="s">
        <v>52</v>
      </c>
      <c r="AAG633" s="94"/>
      <c r="AAH633" s="94"/>
      <c r="AAI633" s="72"/>
      <c r="AAJ633" s="56"/>
      <c r="AAK633" s="56"/>
      <c r="AAL633" s="90"/>
    </row>
    <row r="634" spans="1:715" s="23" customFormat="1" ht="15" customHeight="1" outlineLevel="2">
      <c r="A634" s="171"/>
      <c r="B634" s="396" t="s">
        <v>496</v>
      </c>
      <c r="C634" s="790" t="str">
        <f>HYPERLINK("http://arcweb.sos.state.or.us/pages/rules/oars_300/oar_340/340_tofc.html","i")</f>
        <v>i</v>
      </c>
      <c r="D634" s="609"/>
      <c r="E634" s="397">
        <f t="shared" ref="E634" si="516">NETWORKDAYS(G634,H634,S.DDL_DEQClosed)</f>
        <v>70</v>
      </c>
      <c r="F634" s="457">
        <f ca="1">IF(YEAR(H634)&gt;2000,NETWORKDAYS(TODAY(),H634,S.DDL_DEQClosed),0)</f>
        <v>40</v>
      </c>
      <c r="G634" s="400">
        <f t="shared" ref="G634" si="517">AAG634</f>
        <v>41572</v>
      </c>
      <c r="H634" s="400">
        <f t="shared" ref="H634" si="518">AAH634</f>
        <v>41676</v>
      </c>
      <c r="I634" s="244"/>
      <c r="J634" s="222"/>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223"/>
      <c r="BE634" s="223"/>
      <c r="BF634" s="223"/>
      <c r="BG634" s="223"/>
      <c r="BH634" s="223"/>
      <c r="BI634" s="223"/>
      <c r="BJ634" s="223"/>
      <c r="BK634" s="223"/>
      <c r="BL634" s="223"/>
      <c r="BM634" s="223"/>
      <c r="BN634" s="223"/>
      <c r="BO634" s="223"/>
      <c r="BP634" s="223"/>
      <c r="BQ634" s="223"/>
      <c r="BR634" s="223"/>
      <c r="BS634" s="223"/>
      <c r="BT634" s="223"/>
      <c r="BU634" s="223"/>
      <c r="BV634" s="223"/>
      <c r="BW634" s="223"/>
      <c r="BX634" s="223"/>
      <c r="BY634" s="223"/>
      <c r="BZ634" s="223"/>
      <c r="CA634" s="223"/>
      <c r="CB634" s="223"/>
      <c r="CC634" s="223"/>
      <c r="CD634" s="223"/>
      <c r="CE634" s="223"/>
      <c r="CF634" s="223"/>
      <c r="CG634" s="223"/>
      <c r="CH634" s="223"/>
      <c r="CI634" s="223"/>
      <c r="CJ634" s="223"/>
      <c r="CK634" s="223"/>
      <c r="CL634" s="223"/>
      <c r="CM634" s="223"/>
      <c r="CN634" s="223"/>
      <c r="CO634" s="223"/>
      <c r="CP634" s="223"/>
      <c r="CQ634" s="223"/>
      <c r="CR634" s="223"/>
      <c r="CS634" s="223"/>
      <c r="CT634" s="223"/>
      <c r="CU634" s="223"/>
      <c r="CV634" s="223"/>
      <c r="CW634" s="223"/>
      <c r="CX634" s="223"/>
      <c r="CY634" s="223"/>
      <c r="CZ634" s="223"/>
      <c r="DA634" s="223"/>
      <c r="DB634" s="223"/>
      <c r="DC634" s="223"/>
      <c r="DD634" s="223"/>
      <c r="DE634" s="223"/>
      <c r="DF634" s="223"/>
      <c r="DG634" s="223"/>
      <c r="DH634" s="223"/>
      <c r="DI634" s="223"/>
      <c r="DJ634" s="223"/>
      <c r="DK634" s="223"/>
      <c r="DL634" s="223"/>
      <c r="DM634" s="223"/>
      <c r="DN634" s="223"/>
      <c r="DO634" s="223"/>
      <c r="DP634" s="223"/>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s="52"/>
      <c r="AAA634" s="192"/>
      <c r="AAD634" s="90"/>
      <c r="AAE634" s="519">
        <v>1</v>
      </c>
      <c r="AAF634" s="90"/>
      <c r="AAG634" s="73">
        <f>S.EQC.BANNER.Begin</f>
        <v>41572</v>
      </c>
      <c r="AAH634" s="73">
        <f>S.EQC.SubmitStaffRpt</f>
        <v>41676</v>
      </c>
      <c r="AAI634" s="72"/>
      <c r="AAJ634" s="56"/>
      <c r="AAK634" s="56"/>
      <c r="AAL634" s="90"/>
    </row>
    <row r="635" spans="1:715" s="23" customFormat="1" ht="15" customHeight="1" outlineLevel="2">
      <c r="A635" s="171"/>
      <c r="B635" s="779" t="s">
        <v>495</v>
      </c>
      <c r="C635" s="420"/>
      <c r="D635" s="421"/>
      <c r="E635" s="350"/>
      <c r="F635" s="350"/>
      <c r="G635" s="420"/>
      <c r="H635" s="420"/>
      <c r="I635" s="244"/>
      <c r="J635" s="194"/>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ZZ635" s="52"/>
      <c r="AAA635" s="192"/>
      <c r="AAD635" s="90"/>
      <c r="AAE635" s="519">
        <v>1</v>
      </c>
      <c r="AAF635" s="190" t="s">
        <v>52</v>
      </c>
      <c r="AAG635" s="94"/>
      <c r="AAH635" s="94"/>
      <c r="AAI635" s="72"/>
      <c r="AAJ635" s="185"/>
      <c r="AAK635" s="56"/>
      <c r="AAL635" s="90"/>
    </row>
    <row r="636" spans="1:715" s="23" customFormat="1" ht="15" customHeight="1" outlineLevel="2">
      <c r="A636" s="171"/>
      <c r="B636" s="413" t="str">
        <f>AAK636</f>
        <v>* coordinates work on STAFF.RPT.Permanent sections:</v>
      </c>
      <c r="C636" s="420"/>
      <c r="D636" s="421"/>
      <c r="E636" s="350"/>
      <c r="F636" s="350"/>
      <c r="G636" s="420"/>
      <c r="H636" s="420"/>
      <c r="I636" s="244"/>
      <c r="J636" s="194"/>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s="52"/>
      <c r="AAA636" s="192"/>
      <c r="AAD636" s="90"/>
      <c r="AAE636" s="519">
        <v>1</v>
      </c>
      <c r="AAF636" s="190" t="s">
        <v>52</v>
      </c>
      <c r="AAG636" s="94"/>
      <c r="AAH636" s="94"/>
      <c r="AAI636" s="72"/>
      <c r="AAJ636" s="185"/>
      <c r="AAK636" s="80" t="str">
        <f>IF(S.General.RuleType="P","* coordinates work on STAFF.RPT.Permanent sections:","* coordinates work on STAFF.RPT.Temporary sections:")</f>
        <v>* coordinates work on STAFF.RPT.Permanent sections:</v>
      </c>
      <c r="AAL636" s="90"/>
    </row>
    <row r="637" spans="1:715" s="23" customFormat="1" ht="15" customHeight="1" outlineLevel="2">
      <c r="A637" s="171"/>
      <c r="B637" s="701" t="s">
        <v>456</v>
      </c>
      <c r="C637" s="376" t="s">
        <v>0</v>
      </c>
      <c r="I637" s="244"/>
      <c r="J637" s="194"/>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s="52"/>
      <c r="AAA637" s="192"/>
      <c r="AAD637" s="90"/>
      <c r="AAE637" s="519">
        <v>1</v>
      </c>
      <c r="AAF637" s="190" t="s">
        <v>52</v>
      </c>
      <c r="AAG637" s="72"/>
      <c r="AAH637" s="72"/>
      <c r="AAI637" s="72"/>
      <c r="AAJ637" s="185"/>
      <c r="AAK637" s="56"/>
      <c r="AAL637" s="90"/>
    </row>
    <row r="638" spans="1:715" ht="15" customHeight="1" outlineLevel="2">
      <c r="A638" s="171"/>
      <c r="B638" s="739" t="s">
        <v>453</v>
      </c>
      <c r="C638" s="376" t="s">
        <v>0</v>
      </c>
      <c r="D638" s="422" t="s">
        <v>0</v>
      </c>
      <c r="E638" s="397">
        <f t="shared" ref="E638" si="519">NETWORKDAYS(G638,H638,S.DDL_DEQClosed)</f>
        <v>70</v>
      </c>
      <c r="F638" s="457">
        <f t="shared" ref="F638:F645" ca="1" si="520">IF(YEAR(H638)&gt;2000,NETWORKDAYS(TODAY(),H638,S.DDL_DEQClosed),0)</f>
        <v>40</v>
      </c>
      <c r="G638" s="400">
        <f t="shared" ref="G638:H638" si="521">AAG638</f>
        <v>41572</v>
      </c>
      <c r="H638" s="400">
        <f t="shared" si="521"/>
        <v>41676</v>
      </c>
      <c r="I638" s="244"/>
      <c r="J638" s="194"/>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AAA638" s="192"/>
      <c r="AAD638" s="90"/>
      <c r="AAE638" s="519">
        <v>1</v>
      </c>
      <c r="AAF638" s="90"/>
      <c r="AAG638" s="73">
        <f t="shared" ref="AAG638:AAG643" si="522">S.EQC.BANNER.Begin</f>
        <v>41572</v>
      </c>
      <c r="AAH638" s="73">
        <f t="shared" ref="AAH638:AAH645" si="523">S.EQC.SubmitStaffRpt</f>
        <v>41676</v>
      </c>
      <c r="AAI638" s="72"/>
      <c r="AAJ638" s="56"/>
      <c r="AAK638" s="491"/>
      <c r="AAL638" s="90"/>
      <c r="AAM638"/>
    </row>
    <row r="639" spans="1:715" s="23" customFormat="1" ht="15" customHeight="1" outlineLevel="2">
      <c r="A639" s="171" t="s">
        <v>0</v>
      </c>
      <c r="B639" s="739" t="s">
        <v>454</v>
      </c>
      <c r="C639" s="376" t="s">
        <v>0</v>
      </c>
      <c r="D639" s="422" t="s">
        <v>0</v>
      </c>
      <c r="E639" s="397">
        <f t="shared" ref="E639" si="524">NETWORKDAYS(G639,H639,S.DDL_DEQClosed)</f>
        <v>70</v>
      </c>
      <c r="F639" s="457">
        <f t="shared" ca="1" si="520"/>
        <v>40</v>
      </c>
      <c r="G639" s="400">
        <f t="shared" ref="G639" si="525">AAG639</f>
        <v>41572</v>
      </c>
      <c r="H639" s="400">
        <f t="shared" ref="H639" si="526">AAH639</f>
        <v>41676</v>
      </c>
      <c r="I639" s="244"/>
      <c r="J639" s="194"/>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s="52"/>
      <c r="AAA639" s="192"/>
      <c r="AAD639" s="90"/>
      <c r="AAE639" s="519">
        <v>1</v>
      </c>
      <c r="AAF639" s="90"/>
      <c r="AAG639" s="73">
        <f t="shared" si="522"/>
        <v>41572</v>
      </c>
      <c r="AAH639" s="73">
        <f t="shared" si="523"/>
        <v>41676</v>
      </c>
      <c r="AAI639" s="72"/>
      <c r="AAJ639" s="56"/>
      <c r="AAK639" s="491"/>
      <c r="AAL639" s="90"/>
    </row>
    <row r="640" spans="1:715" s="23" customFormat="1" ht="15" customHeight="1" outlineLevel="2">
      <c r="A640" s="171" t="s">
        <v>0</v>
      </c>
      <c r="B640" s="739" t="s">
        <v>455</v>
      </c>
      <c r="C640" s="376" t="s">
        <v>0</v>
      </c>
      <c r="D640" s="422" t="s">
        <v>0</v>
      </c>
      <c r="E640" s="397">
        <f t="shared" ref="E640" si="527">NETWORKDAYS(G640,H640,S.DDL_DEQClosed)</f>
        <v>70</v>
      </c>
      <c r="F640" s="457">
        <f t="shared" ca="1" si="520"/>
        <v>40</v>
      </c>
      <c r="G640" s="400">
        <f t="shared" ref="G640" si="528">AAG640</f>
        <v>41572</v>
      </c>
      <c r="H640" s="400">
        <f t="shared" ref="H640" si="529">AAH640</f>
        <v>41676</v>
      </c>
      <c r="I640" s="244"/>
      <c r="J640" s="194"/>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s="52"/>
      <c r="AAA640" s="192"/>
      <c r="AAD640" s="90"/>
      <c r="AAE640" s="519">
        <v>1</v>
      </c>
      <c r="AAF640" s="90"/>
      <c r="AAG640" s="73">
        <f t="shared" si="522"/>
        <v>41572</v>
      </c>
      <c r="AAH640" s="73">
        <f t="shared" si="523"/>
        <v>41676</v>
      </c>
      <c r="AAI640" s="72"/>
      <c r="AAJ640" s="56"/>
      <c r="AAK640" s="491"/>
      <c r="AAL640" s="90"/>
    </row>
    <row r="641" spans="1:715" s="23" customFormat="1" ht="15" customHeight="1" outlineLevel="2">
      <c r="A641" s="171" t="s">
        <v>0</v>
      </c>
      <c r="B641" s="624" t="s">
        <v>252</v>
      </c>
      <c r="C641" s="376" t="s">
        <v>0</v>
      </c>
      <c r="D641" s="422" t="s">
        <v>0</v>
      </c>
      <c r="E641" s="397">
        <f t="shared" ref="E641" si="530">NETWORKDAYS(G641,H641,S.DDL_DEQClosed)</f>
        <v>70</v>
      </c>
      <c r="F641" s="457">
        <f t="shared" ca="1" si="520"/>
        <v>40</v>
      </c>
      <c r="G641" s="400">
        <f t="shared" ref="G641" si="531">AAG641</f>
        <v>41572</v>
      </c>
      <c r="H641" s="400">
        <f t="shared" ref="H641" si="532">AAH641</f>
        <v>41676</v>
      </c>
      <c r="I641" s="244"/>
      <c r="J641" s="194"/>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s="52"/>
      <c r="AAA641" s="192"/>
      <c r="AAD641" s="90"/>
      <c r="AAE641" s="519">
        <v>1</v>
      </c>
      <c r="AAF641" s="90"/>
      <c r="AAG641" s="73">
        <f t="shared" si="522"/>
        <v>41572</v>
      </c>
      <c r="AAH641" s="73">
        <f t="shared" si="523"/>
        <v>41676</v>
      </c>
      <c r="AAI641" s="72"/>
      <c r="AAJ641" s="56"/>
      <c r="AAK641" s="491"/>
      <c r="AAL641" s="90"/>
    </row>
    <row r="642" spans="1:715" s="23" customFormat="1" ht="15" customHeight="1" outlineLevel="2">
      <c r="A642" s="171" t="s">
        <v>0</v>
      </c>
      <c r="B642" s="624" t="s">
        <v>253</v>
      </c>
      <c r="C642" s="376" t="s">
        <v>0</v>
      </c>
      <c r="D642" s="422" t="s">
        <v>0</v>
      </c>
      <c r="E642" s="397">
        <f t="shared" ref="E642" si="533">NETWORKDAYS(G642,H642,S.DDL_DEQClosed)</f>
        <v>70</v>
      </c>
      <c r="F642" s="457">
        <f t="shared" ca="1" si="520"/>
        <v>40</v>
      </c>
      <c r="G642" s="400">
        <f t="shared" ref="G642" si="534">AAG642</f>
        <v>41572</v>
      </c>
      <c r="H642" s="400">
        <f t="shared" ref="H642" si="535">AAH642</f>
        <v>41676</v>
      </c>
      <c r="I642" s="244"/>
      <c r="J642" s="194"/>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s="52"/>
      <c r="AAA642" s="192"/>
      <c r="AAD642" s="90"/>
      <c r="AAE642" s="519">
        <v>1</v>
      </c>
      <c r="AAF642" s="90"/>
      <c r="AAG642" s="73">
        <f t="shared" si="522"/>
        <v>41572</v>
      </c>
      <c r="AAH642" s="73">
        <f t="shared" si="523"/>
        <v>41676</v>
      </c>
      <c r="AAI642" s="72"/>
      <c r="AAJ642" s="56"/>
      <c r="AAK642" s="491"/>
      <c r="AAL642" s="90"/>
    </row>
    <row r="643" spans="1:715" s="23" customFormat="1" ht="15" customHeight="1" outlineLevel="2">
      <c r="A643" s="171" t="s">
        <v>0</v>
      </c>
      <c r="B643" s="624" t="s">
        <v>254</v>
      </c>
      <c r="C643" s="376" t="s">
        <v>0</v>
      </c>
      <c r="D643" s="422" t="s">
        <v>0</v>
      </c>
      <c r="E643" s="397">
        <f t="shared" ref="E643" si="536">NETWORKDAYS(G643,H643,S.DDL_DEQClosed)</f>
        <v>70</v>
      </c>
      <c r="F643" s="457">
        <f t="shared" ca="1" si="520"/>
        <v>40</v>
      </c>
      <c r="G643" s="400">
        <f t="shared" ref="G643" si="537">AAG643</f>
        <v>41572</v>
      </c>
      <c r="H643" s="400">
        <f t="shared" ref="H643" si="538">AAH643</f>
        <v>41676</v>
      </c>
      <c r="I643" s="244"/>
      <c r="J643" s="194"/>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s="52"/>
      <c r="AAA643" s="192"/>
      <c r="AAD643" s="90"/>
      <c r="AAE643" s="519">
        <v>1</v>
      </c>
      <c r="AAF643" s="90"/>
      <c r="AAG643" s="73">
        <f t="shared" si="522"/>
        <v>41572</v>
      </c>
      <c r="AAH643" s="73">
        <f t="shared" si="523"/>
        <v>41676</v>
      </c>
      <c r="AAI643" s="72"/>
      <c r="AAJ643" s="56"/>
      <c r="AAK643" s="491"/>
      <c r="AAL643" s="90"/>
    </row>
    <row r="644" spans="1:715" s="23" customFormat="1" ht="15" customHeight="1" outlineLevel="2">
      <c r="A644" s="171"/>
      <c r="B644" s="794" t="s">
        <v>501</v>
      </c>
      <c r="C644" s="376" t="s">
        <v>0</v>
      </c>
      <c r="I644" s="244"/>
      <c r="J644" s="194"/>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s="52"/>
      <c r="AAA644" s="192"/>
      <c r="AAD644" s="90"/>
      <c r="AAE644" s="519">
        <v>1</v>
      </c>
      <c r="AAF644" s="190" t="s">
        <v>52</v>
      </c>
      <c r="AAG644" s="72"/>
      <c r="AAH644" s="72"/>
      <c r="AAI644" s="72"/>
      <c r="AAJ644" s="185"/>
      <c r="AAK644" s="56"/>
      <c r="AAL644" s="90"/>
    </row>
    <row r="645" spans="1:715" s="23" customFormat="1" ht="15" customHeight="1" outlineLevel="2">
      <c r="A645" s="171" t="s">
        <v>0</v>
      </c>
      <c r="B645" s="624" t="s">
        <v>255</v>
      </c>
      <c r="C645" s="376" t="s">
        <v>0</v>
      </c>
      <c r="D645" s="422" t="s">
        <v>0</v>
      </c>
      <c r="E645" s="397">
        <f t="shared" ref="E645" si="539">NETWORKDAYS(G645,H645,S.DDL_DEQClosed)</f>
        <v>70</v>
      </c>
      <c r="F645" s="457">
        <f t="shared" ca="1" si="520"/>
        <v>40</v>
      </c>
      <c r="G645" s="400">
        <f t="shared" ref="G645" si="540">AAG645</f>
        <v>41572</v>
      </c>
      <c r="H645" s="400">
        <f t="shared" ref="H645" si="541">AAH645</f>
        <v>41676</v>
      </c>
      <c r="I645" s="244"/>
      <c r="J645" s="194"/>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s="52"/>
      <c r="AAA645" s="192"/>
      <c r="AAD645" s="90"/>
      <c r="AAE645" s="519">
        <v>1</v>
      </c>
      <c r="AAF645" s="90"/>
      <c r="AAG645" s="73">
        <f>S.EQC.BANNER.Begin</f>
        <v>41572</v>
      </c>
      <c r="AAH645" s="73">
        <f t="shared" si="523"/>
        <v>41676</v>
      </c>
      <c r="AAI645" s="72"/>
      <c r="AAJ645" s="56"/>
      <c r="AAK645" s="491"/>
      <c r="AAL645" s="90"/>
    </row>
    <row r="646" spans="1:715" s="23" customFormat="1" ht="15" customHeight="1" outlineLevel="2">
      <c r="A646" s="171"/>
      <c r="B646" s="413" t="s">
        <v>256</v>
      </c>
      <c r="C646" s="420"/>
      <c r="D646" s="421"/>
      <c r="E646" s="350"/>
      <c r="F646" s="350"/>
      <c r="G646" s="420"/>
      <c r="H646" s="420"/>
      <c r="I646" s="244"/>
      <c r="J646" s="194"/>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s="52"/>
      <c r="AAA646" s="192"/>
      <c r="AAD646" s="90"/>
      <c r="AAE646" s="519">
        <v>1</v>
      </c>
      <c r="AAF646" s="190" t="s">
        <v>52</v>
      </c>
      <c r="AAG646" s="94"/>
      <c r="AAH646" s="94"/>
      <c r="AAI646" s="72"/>
      <c r="AAJ646" s="185"/>
      <c r="AAK646" s="491"/>
      <c r="AAL646" s="90"/>
    </row>
    <row r="647" spans="1:715" ht="15" customHeight="1" outlineLevel="2">
      <c r="A647" s="171"/>
      <c r="B647" s="287" t="str">
        <f>AAK647</f>
        <v>- STAFF.RPT.Permanent</v>
      </c>
      <c r="C647" s="376" t="s">
        <v>0</v>
      </c>
      <c r="D647" s="423"/>
      <c r="E647" s="397">
        <f t="shared" ref="E647:E648" si="542">NETWORKDAYS(G647,H647,S.DDL_DEQClosed)</f>
        <v>70</v>
      </c>
      <c r="F647" s="457">
        <f t="shared" ref="F647:F671" ca="1" si="543">IF(YEAR(H647)&gt;2000,NETWORKDAYS(TODAY(),H647,S.DDL_DEQClosed),0)</f>
        <v>40</v>
      </c>
      <c r="G647" s="400">
        <f t="shared" ref="G647:H648" si="544">AAG647</f>
        <v>41572</v>
      </c>
      <c r="H647" s="400">
        <f t="shared" si="544"/>
        <v>41676</v>
      </c>
      <c r="I647" s="244"/>
      <c r="J647" s="194"/>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AAA647" s="192"/>
      <c r="AAD647" s="90"/>
      <c r="AAE647" s="519">
        <v>1</v>
      </c>
      <c r="AAF647" s="90"/>
      <c r="AAG647" s="73">
        <f>S.EQC.BANNER.Begin</f>
        <v>41572</v>
      </c>
      <c r="AAH647" s="73">
        <f t="shared" ref="AAH647:AAH675" si="545">S.EQC.SubmitStaffRpt</f>
        <v>41676</v>
      </c>
      <c r="AAI647" s="72"/>
      <c r="AAJ647" s="185"/>
      <c r="AAK647" s="80" t="str">
        <f>IF(S.General.RuleType="P","- STAFF.RPT.Permanent","- STAFF.RPT.Temporary")</f>
        <v>- STAFF.RPT.Permanent</v>
      </c>
      <c r="AAL647" s="90"/>
      <c r="AAM647"/>
    </row>
    <row r="648" spans="1:715" s="23" customFormat="1" ht="15" customHeight="1" outlineLevel="2">
      <c r="A648" s="171"/>
      <c r="B648" s="628" t="s">
        <v>257</v>
      </c>
      <c r="C648" s="376" t="s">
        <v>0</v>
      </c>
      <c r="D648" s="423"/>
      <c r="E648" s="397">
        <f t="shared" si="542"/>
        <v>70</v>
      </c>
      <c r="F648" s="457">
        <f t="shared" ca="1" si="543"/>
        <v>40</v>
      </c>
      <c r="G648" s="400">
        <f t="shared" si="544"/>
        <v>41572</v>
      </c>
      <c r="H648" s="400">
        <f t="shared" si="544"/>
        <v>41676</v>
      </c>
      <c r="I648" s="244"/>
      <c r="J648" s="194"/>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s="52"/>
      <c r="AAA648" s="192"/>
      <c r="AAD648" s="90"/>
      <c r="AAE648" s="519">
        <v>1</v>
      </c>
      <c r="AAF648" s="90"/>
      <c r="AAG648" s="73">
        <f>S.EQC.BANNER.Begin</f>
        <v>41572</v>
      </c>
      <c r="AAH648" s="73">
        <f t="shared" si="545"/>
        <v>41676</v>
      </c>
      <c r="AAI648" s="72"/>
      <c r="AAJ648" s="185"/>
      <c r="AAK648" s="185" t="s">
        <v>0</v>
      </c>
      <c r="AAL648" s="90"/>
    </row>
    <row r="649" spans="1:715" s="23" customFormat="1" ht="15" customHeight="1" outlineLevel="2">
      <c r="A649" s="171"/>
      <c r="B649" s="701" t="s">
        <v>258</v>
      </c>
      <c r="C649" s="376" t="s">
        <v>0</v>
      </c>
      <c r="D649" s="423"/>
      <c r="E649" s="397">
        <f t="shared" ref="E649" si="546">NETWORKDAYS(G649,H649,S.DDL_DEQClosed)</f>
        <v>70</v>
      </c>
      <c r="F649" s="457">
        <f t="shared" ca="1" si="543"/>
        <v>40</v>
      </c>
      <c r="G649" s="400">
        <f t="shared" ref="G649" si="547">AAG649</f>
        <v>41572</v>
      </c>
      <c r="H649" s="400">
        <f t="shared" ref="H649" si="548">AAH649</f>
        <v>41676</v>
      </c>
      <c r="I649" s="244"/>
      <c r="J649" s="194"/>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s="52"/>
      <c r="AAA649" s="192"/>
      <c r="AAD649" s="90"/>
      <c r="AAE649" s="519">
        <v>1</v>
      </c>
      <c r="AAF649" s="90"/>
      <c r="AAG649" s="73">
        <f>S.EQC.BANNER.Begin</f>
        <v>41572</v>
      </c>
      <c r="AAH649" s="73">
        <f t="shared" si="545"/>
        <v>41676</v>
      </c>
      <c r="AAI649" s="72"/>
      <c r="AAJ649" s="185"/>
      <c r="AAK649" s="185" t="s">
        <v>0</v>
      </c>
      <c r="AAL649" s="90"/>
    </row>
    <row r="650" spans="1:715" s="23" customFormat="1" ht="15" customHeight="1" outlineLevel="2">
      <c r="A650" s="171"/>
      <c r="B650" s="703" t="s">
        <v>373</v>
      </c>
      <c r="C650" s="376" t="s">
        <v>0</v>
      </c>
      <c r="D650"/>
      <c r="E650"/>
      <c r="F650"/>
      <c r="G650"/>
      <c r="H650"/>
      <c r="I650" s="244"/>
      <c r="J650" s="194"/>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s="52"/>
      <c r="AAA650" s="192"/>
      <c r="AAD650" s="90"/>
      <c r="AAE650" s="519">
        <v>1</v>
      </c>
      <c r="AAF650" s="190" t="s">
        <v>52</v>
      </c>
      <c r="AAG650" s="72"/>
      <c r="AAH650" s="72"/>
      <c r="AAI650" s="72"/>
      <c r="AAJ650" s="185"/>
      <c r="AAK650" s="56"/>
      <c r="AAL650" s="90"/>
    </row>
    <row r="651" spans="1:715" s="23" customFormat="1" ht="15" customHeight="1" outlineLevel="2">
      <c r="A651" s="171"/>
      <c r="B651" s="704" t="str">
        <f>AAK651</f>
        <v>- MargaretMGR for lead manager perspective</v>
      </c>
      <c r="C651" s="376" t="s">
        <v>0</v>
      </c>
      <c r="D651" s="423"/>
      <c r="E651" s="397">
        <f t="shared" ref="E651:E653" si="549">NETWORKDAYS(G651,H651,S.DDL_DEQClosed)</f>
        <v>70</v>
      </c>
      <c r="F651" s="457">
        <f t="shared" ref="F651:F653" ca="1" si="550">IF(YEAR(H651)&gt;2000,NETWORKDAYS(TODAY(),H651,S.DDL_DEQClosed),0)</f>
        <v>40</v>
      </c>
      <c r="G651" s="400">
        <f t="shared" ref="G651:G653" si="551">AAG651</f>
        <v>41572</v>
      </c>
      <c r="H651" s="400">
        <f t="shared" ref="H651:H653" si="552">AAH651</f>
        <v>41676</v>
      </c>
      <c r="I651" s="244"/>
      <c r="J651" s="194"/>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s="52"/>
      <c r="AAA651" s="192"/>
      <c r="AAD651" s="90"/>
      <c r="AAE651" s="519">
        <v>1</v>
      </c>
      <c r="AAF651" s="90"/>
      <c r="AAG651" s="73">
        <f>S.EQC.BANNER.Begin</f>
        <v>41572</v>
      </c>
      <c r="AAH651" s="73">
        <f t="shared" si="545"/>
        <v>41676</v>
      </c>
      <c r="AAI651" s="72"/>
      <c r="AAJ651" s="185"/>
      <c r="AAK651" s="80" t="str">
        <f>"- "&amp;S.Staff.Mgr&amp;" for lead manager perspective"</f>
        <v>- MargaretMGR for lead manager perspective</v>
      </c>
      <c r="AAL651" s="90"/>
    </row>
    <row r="652" spans="1:715" s="23" customFormat="1" ht="15" customHeight="1" outlineLevel="2">
      <c r="A652" s="171"/>
      <c r="B652" s="705" t="str">
        <f>AAK652</f>
        <v>- LarryK, if needed</v>
      </c>
      <c r="C652" s="376" t="s">
        <v>0</v>
      </c>
      <c r="D652" s="423"/>
      <c r="E652" s="397">
        <f t="shared" si="549"/>
        <v>70</v>
      </c>
      <c r="F652" s="457">
        <f t="shared" ca="1" si="550"/>
        <v>40</v>
      </c>
      <c r="G652" s="400">
        <f t="shared" si="551"/>
        <v>41572</v>
      </c>
      <c r="H652" s="400">
        <f t="shared" si="552"/>
        <v>41676</v>
      </c>
      <c r="I652" s="244"/>
      <c r="J652" s="194"/>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s="52"/>
      <c r="AAA652" s="192"/>
      <c r="AAD652" s="90"/>
      <c r="AAE652" s="519">
        <v>1</v>
      </c>
      <c r="AAF652" s="90"/>
      <c r="AAG652" s="73">
        <f>S.EQC.BANNER.Begin</f>
        <v>41572</v>
      </c>
      <c r="AAH652" s="73">
        <f t="shared" si="545"/>
        <v>41676</v>
      </c>
      <c r="AAI652" s="72"/>
      <c r="AAJ652" s="185"/>
      <c r="AAK652" s="80" t="str">
        <f>"- "&amp; S.Staff.AAG&amp;", if needed"</f>
        <v>- LarryK, if needed</v>
      </c>
      <c r="AAL652" s="90"/>
    </row>
    <row r="653" spans="1:715" s="23" customFormat="1" ht="15" customHeight="1" outlineLevel="2">
      <c r="A653" s="171"/>
      <c r="B653" s="705" t="str">
        <f>AAK653</f>
        <v>- AndreaSIP for SIP review</v>
      </c>
      <c r="C653" s="376" t="s">
        <v>0</v>
      </c>
      <c r="D653" s="423"/>
      <c r="E653" s="397">
        <f t="shared" si="549"/>
        <v>70</v>
      </c>
      <c r="F653" s="457">
        <f t="shared" ca="1" si="550"/>
        <v>40</v>
      </c>
      <c r="G653" s="400">
        <f t="shared" si="551"/>
        <v>41572</v>
      </c>
      <c r="H653" s="400">
        <f t="shared" si="552"/>
        <v>41676</v>
      </c>
      <c r="I653" s="244"/>
      <c r="J653" s="194"/>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s="52"/>
      <c r="AAA653" s="192"/>
      <c r="AAD653" s="90"/>
      <c r="AAE653" s="519">
        <f>IF(S.SIP.Involved="Y",1,0)</f>
        <v>1</v>
      </c>
      <c r="AAF653" s="90"/>
      <c r="AAG653" s="73">
        <f>IF(AAE653=0,,S.EQC.BANNER.Begin)</f>
        <v>41572</v>
      </c>
      <c r="AAH653" s="73">
        <f t="shared" si="545"/>
        <v>41676</v>
      </c>
      <c r="AAI653" s="72"/>
      <c r="AAJ653" s="185"/>
      <c r="AAK653" s="80" t="str">
        <f>IF(S.SIP.Involved="Y","- "&amp; S.Staff.SIPCo&amp;" for SIP review","- no SIP involved")</f>
        <v>- AndreaSIP for SIP review</v>
      </c>
      <c r="AAL653" s="90"/>
    </row>
    <row r="654" spans="1:715" s="23" customFormat="1" ht="15" customHeight="1" outlineLevel="2">
      <c r="A654" s="171"/>
      <c r="B654" s="705" t="str">
        <f>AAK654</f>
        <v>- AndreaDRC for division continuity</v>
      </c>
      <c r="C654" s="376" t="s">
        <v>0</v>
      </c>
      <c r="D654" s="423"/>
      <c r="E654" s="397">
        <f t="shared" ref="E654:E655" si="553">NETWORKDAYS(G654,H654,S.DDL_DEQClosed)</f>
        <v>70</v>
      </c>
      <c r="F654" s="457">
        <f t="shared" ref="F654:F655" ca="1" si="554">IF(YEAR(H654)&gt;2000,NETWORKDAYS(TODAY(),H654,S.DDL_DEQClosed),0)</f>
        <v>40</v>
      </c>
      <c r="G654" s="400">
        <f t="shared" ref="G654:G655" si="555">AAG654</f>
        <v>41572</v>
      </c>
      <c r="H654" s="400">
        <f t="shared" ref="H654:H655" si="556">AAH654</f>
        <v>41676</v>
      </c>
      <c r="I654" s="244"/>
      <c r="J654" s="194"/>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s="52"/>
      <c r="AAA654" s="192"/>
      <c r="AAD654" s="90"/>
      <c r="AAE654" s="519">
        <v>1</v>
      </c>
      <c r="AAF654" s="90"/>
      <c r="AAG654" s="73">
        <f>S.EQC.BANNER.Begin</f>
        <v>41572</v>
      </c>
      <c r="AAH654" s="73">
        <f t="shared" si="545"/>
        <v>41676</v>
      </c>
      <c r="AAI654" s="72"/>
      <c r="AAJ654" s="185"/>
      <c r="AAK654" s="80" t="str">
        <f>"- "&amp;S.Staff.DivisionRulesCoordinator&amp;" for division continuity"</f>
        <v>- AndreaDRC for division continuity</v>
      </c>
      <c r="AAL654" s="90"/>
    </row>
    <row r="655" spans="1:715" s="23" customFormat="1" ht="15" hidden="1" customHeight="1" outlineLevel="3">
      <c r="A655" s="171"/>
      <c r="B655" s="707" t="s">
        <v>375</v>
      </c>
      <c r="C655" s="376" t="s">
        <v>0</v>
      </c>
      <c r="D655" s="423"/>
      <c r="E655" s="397">
        <f t="shared" si="553"/>
        <v>70</v>
      </c>
      <c r="F655" s="457">
        <f t="shared" ca="1" si="554"/>
        <v>40</v>
      </c>
      <c r="G655" s="400">
        <f t="shared" si="555"/>
        <v>41572</v>
      </c>
      <c r="H655" s="400">
        <f t="shared" si="556"/>
        <v>41676</v>
      </c>
      <c r="I655" s="244"/>
      <c r="J655" s="194"/>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s="52"/>
      <c r="AAA655" s="192"/>
      <c r="AAD655" s="90"/>
      <c r="AAE655" s="519">
        <v>1</v>
      </c>
      <c r="AAF655" s="90"/>
      <c r="AAG655" s="73">
        <f>S.EQC.BANNER.Begin</f>
        <v>41572</v>
      </c>
      <c r="AAH655" s="73">
        <f t="shared" si="545"/>
        <v>41676</v>
      </c>
      <c r="AAI655" s="72"/>
      <c r="AAJ655" s="185"/>
      <c r="AAK655" s="56"/>
      <c r="AAL655" s="90"/>
    </row>
    <row r="656" spans="1:715" s="23" customFormat="1" ht="15" hidden="1" customHeight="1" outlineLevel="3">
      <c r="A656" s="171"/>
      <c r="B656" s="707" t="s">
        <v>375</v>
      </c>
      <c r="C656" s="376" t="s">
        <v>0</v>
      </c>
      <c r="D656" s="423"/>
      <c r="E656" s="397">
        <f t="shared" ref="E656" si="557">NETWORKDAYS(G656,H656,S.DDL_DEQClosed)</f>
        <v>70</v>
      </c>
      <c r="F656" s="457">
        <f t="shared" ca="1" si="543"/>
        <v>40</v>
      </c>
      <c r="G656" s="400">
        <f t="shared" ref="G656" si="558">AAG656</f>
        <v>41572</v>
      </c>
      <c r="H656" s="400">
        <f t="shared" ref="H656" si="559">AAH656</f>
        <v>41676</v>
      </c>
      <c r="I656" s="244"/>
      <c r="J656" s="194"/>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s="52"/>
      <c r="AAA656" s="192"/>
      <c r="AAD656" s="90"/>
      <c r="AAE656" s="519">
        <v>1</v>
      </c>
      <c r="AAF656" s="90"/>
      <c r="AAG656" s="73">
        <f>S.EQC.BANNER.Begin</f>
        <v>41572</v>
      </c>
      <c r="AAH656" s="73">
        <f t="shared" si="545"/>
        <v>41676</v>
      </c>
      <c r="AAI656" s="72"/>
      <c r="AAJ656" s="185"/>
      <c r="AAK656" s="56"/>
      <c r="AAL656" s="90"/>
    </row>
    <row r="657" spans="1:715" s="23" customFormat="1" ht="15" hidden="1" customHeight="1" outlineLevel="3" thickBot="1">
      <c r="A657" s="171"/>
      <c r="B657" s="707" t="s">
        <v>374</v>
      </c>
      <c r="C657" s="376" t="s">
        <v>0</v>
      </c>
      <c r="D657" s="423"/>
      <c r="E657" s="397">
        <f t="shared" ref="E657" si="560">NETWORKDAYS(G657,H657,S.DDL_DEQClosed)</f>
        <v>70</v>
      </c>
      <c r="F657" s="457">
        <f t="shared" ref="F657" ca="1" si="561">IF(YEAR(H657)&gt;2000,NETWORKDAYS(TODAY(),H657,S.DDL_DEQClosed),0)</f>
        <v>40</v>
      </c>
      <c r="G657" s="400">
        <f t="shared" ref="G657" si="562">AAG657</f>
        <v>41572</v>
      </c>
      <c r="H657" s="400">
        <f t="shared" ref="H657" si="563">AAH657</f>
        <v>41676</v>
      </c>
      <c r="I657" s="244"/>
      <c r="J657" s="194"/>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s="52"/>
      <c r="AAA657" s="192"/>
      <c r="AAD657" s="90"/>
      <c r="AAE657" s="519">
        <v>1</v>
      </c>
      <c r="AAF657" s="90"/>
      <c r="AAG657" s="73">
        <f>S.EQC.BANNER.Begin</f>
        <v>41572</v>
      </c>
      <c r="AAH657" s="73">
        <f t="shared" si="545"/>
        <v>41676</v>
      </c>
      <c r="AAI657" s="72"/>
      <c r="AAJ657" s="185"/>
      <c r="AAK657" s="56"/>
      <c r="AAL657" s="90"/>
    </row>
    <row r="658" spans="1:715" ht="15" hidden="1" customHeight="1" outlineLevel="3" thickBot="1">
      <c r="A658" s="171"/>
      <c r="B658" s="706" t="s">
        <v>378</v>
      </c>
      <c r="C658" s="611" t="s">
        <v>17</v>
      </c>
      <c r="D658" s="380"/>
      <c r="E658" s="342">
        <f>NETWORKDAYS(G658,H658,S.DDL_DEQClosed)</f>
        <v>1</v>
      </c>
      <c r="F658" s="457">
        <f t="shared" ca="1" si="543"/>
        <v>40</v>
      </c>
      <c r="G658" s="400">
        <f t="shared" ref="G658:H671" si="564">AAG658</f>
        <v>41676</v>
      </c>
      <c r="H658" s="400">
        <f t="shared" si="564"/>
        <v>41676</v>
      </c>
      <c r="I658" s="244"/>
      <c r="J658" s="194"/>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AAA658" s="192"/>
      <c r="AAD658" s="90"/>
      <c r="AAE658" s="519">
        <f>IF(S.EQC.ApprovePacketLoop1="Y",1,0)</f>
        <v>1</v>
      </c>
      <c r="AAF658" s="90"/>
      <c r="AAG658" s="73">
        <f>IF(AAE658=0,,H647)</f>
        <v>41676</v>
      </c>
      <c r="AAH658" s="73">
        <f t="shared" ref="AAH658:AAH669" si="565">IF(AAE658=0,,S.EQC.PacketBeginReview)</f>
        <v>41676</v>
      </c>
      <c r="AAI658" s="72"/>
      <c r="AAJ658" s="56"/>
      <c r="AAK658" s="56"/>
      <c r="AAL658" s="90"/>
      <c r="AAM658"/>
    </row>
    <row r="659" spans="1:715" s="23" customFormat="1" ht="15" hidden="1" customHeight="1" outlineLevel="3">
      <c r="A659" s="171"/>
      <c r="B659" s="708" t="s">
        <v>376</v>
      </c>
      <c r="C659" s="376" t="s">
        <v>0</v>
      </c>
      <c r="D659" s="423"/>
      <c r="E659" s="397">
        <f t="shared" ref="E659" si="566">NETWORKDAYS(G659,H659,S.DDL_DEQClosed)</f>
        <v>1</v>
      </c>
      <c r="F659" s="457">
        <f t="shared" ca="1" si="543"/>
        <v>40</v>
      </c>
      <c r="G659" s="400">
        <f t="shared" si="564"/>
        <v>41676</v>
      </c>
      <c r="H659" s="400">
        <f t="shared" si="564"/>
        <v>41676</v>
      </c>
      <c r="I659" s="244"/>
      <c r="J659" s="194"/>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s="52"/>
      <c r="AAA659" s="192"/>
      <c r="AAD659" s="90"/>
      <c r="AAE659" s="519">
        <f>IF(S.EQC.ApprovePacketLoop1="Y",1,0)</f>
        <v>1</v>
      </c>
      <c r="AAF659" s="90"/>
      <c r="AAG659" s="73">
        <f>IF(AAE659=0,,S.EQC.PacketBeginReview)</f>
        <v>41676</v>
      </c>
      <c r="AAH659" s="73">
        <f t="shared" si="565"/>
        <v>41676</v>
      </c>
      <c r="AAI659" s="72"/>
      <c r="AAJ659" s="185"/>
      <c r="AAK659" s="56"/>
      <c r="AAL659" s="90"/>
    </row>
    <row r="660" spans="1:715" s="23" customFormat="1" ht="15" hidden="1" customHeight="1" outlineLevel="3">
      <c r="A660" s="171"/>
      <c r="B660" s="708" t="s">
        <v>376</v>
      </c>
      <c r="C660" s="376" t="s">
        <v>0</v>
      </c>
      <c r="D660" s="423"/>
      <c r="E660" s="397">
        <f t="shared" ref="E660" si="567">NETWORKDAYS(G660,H660,S.DDL_DEQClosed)</f>
        <v>1</v>
      </c>
      <c r="F660" s="457">
        <f t="shared" ref="F660" ca="1" si="568">IF(YEAR(H660)&gt;2000,NETWORKDAYS(TODAY(),H660,S.DDL_DEQClosed),0)</f>
        <v>40</v>
      </c>
      <c r="G660" s="400">
        <f t="shared" ref="G660" si="569">AAG660</f>
        <v>41676</v>
      </c>
      <c r="H660" s="400">
        <f t="shared" ref="H660" si="570">AAH660</f>
        <v>41676</v>
      </c>
      <c r="I660" s="244"/>
      <c r="J660" s="194"/>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s="52"/>
      <c r="AAA660" s="192"/>
      <c r="AAD660" s="90"/>
      <c r="AAE660" s="519">
        <f>IF(S.EQC.ApprovePacketLoop1="Y",1,0)</f>
        <v>1</v>
      </c>
      <c r="AAF660" s="90"/>
      <c r="AAG660" s="73">
        <f>IF(AAE660=0,,S.EQC.PacketBeginReview)</f>
        <v>41676</v>
      </c>
      <c r="AAH660" s="73">
        <f t="shared" si="565"/>
        <v>41676</v>
      </c>
      <c r="AAI660" s="72"/>
      <c r="AAJ660" s="185"/>
      <c r="AAK660" s="56"/>
      <c r="AAL660" s="90"/>
    </row>
    <row r="661" spans="1:715" s="23" customFormat="1" ht="15" hidden="1" customHeight="1" outlineLevel="3" thickBot="1">
      <c r="A661" s="171"/>
      <c r="B661" s="708" t="s">
        <v>376</v>
      </c>
      <c r="C661" s="376" t="s">
        <v>0</v>
      </c>
      <c r="D661" s="423"/>
      <c r="E661" s="397">
        <f t="shared" ref="E661" si="571">NETWORKDAYS(G661,H661,S.DDL_DEQClosed)</f>
        <v>1</v>
      </c>
      <c r="F661" s="457">
        <f t="shared" ref="F661" ca="1" si="572">IF(YEAR(H661)&gt;2000,NETWORKDAYS(TODAY(),H661,S.DDL_DEQClosed),0)</f>
        <v>40</v>
      </c>
      <c r="G661" s="400">
        <f t="shared" ref="G661" si="573">AAG661</f>
        <v>41676</v>
      </c>
      <c r="H661" s="400">
        <f t="shared" ref="H661" si="574">AAH661</f>
        <v>41676</v>
      </c>
      <c r="I661" s="244"/>
      <c r="J661" s="194"/>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s="52"/>
      <c r="AAA661" s="192"/>
      <c r="AAD661" s="90"/>
      <c r="AAE661" s="519">
        <f>IF(S.EQC.ApprovePacketLoop1="Y",1,0)</f>
        <v>1</v>
      </c>
      <c r="AAF661" s="90"/>
      <c r="AAG661" s="73">
        <f>IF(AAE661=0,,S.EQC.PacketBeginReview)</f>
        <v>41676</v>
      </c>
      <c r="AAH661" s="73">
        <f t="shared" si="565"/>
        <v>41676</v>
      </c>
      <c r="AAI661" s="72"/>
      <c r="AAJ661" s="185"/>
      <c r="AAK661" s="56"/>
      <c r="AAL661" s="90"/>
    </row>
    <row r="662" spans="1:715" ht="15" hidden="1" customHeight="1" outlineLevel="3" thickBot="1">
      <c r="A662" s="171"/>
      <c r="B662" s="709" t="s">
        <v>379</v>
      </c>
      <c r="C662" s="611" t="s">
        <v>17</v>
      </c>
      <c r="D662" s="380"/>
      <c r="E662" s="342">
        <f>NETWORKDAYS(G662,H662,S.DDL_DEQClosed)</f>
        <v>1</v>
      </c>
      <c r="F662" s="457">
        <f t="shared" ca="1" si="543"/>
        <v>40</v>
      </c>
      <c r="G662" s="400">
        <f t="shared" si="564"/>
        <v>41676</v>
      </c>
      <c r="H662" s="400">
        <f t="shared" si="564"/>
        <v>41676</v>
      </c>
      <c r="I662" s="244"/>
      <c r="J662" s="194"/>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AAA662" s="192"/>
      <c r="AAD662" s="90"/>
      <c r="AAE662" s="519">
        <f>IF(S.EQC.ApprovePacketLoop2="Y",1,0)</f>
        <v>1</v>
      </c>
      <c r="AAF662" s="90"/>
      <c r="AAG662" s="73">
        <f>IF(AAE662=0,,H658)</f>
        <v>41676</v>
      </c>
      <c r="AAH662" s="73">
        <f t="shared" si="565"/>
        <v>41676</v>
      </c>
      <c r="AAI662" s="72"/>
      <c r="AAJ662" s="56"/>
      <c r="AAK662" s="56"/>
      <c r="AAL662" s="90"/>
      <c r="AAM662"/>
    </row>
    <row r="663" spans="1:715" s="23" customFormat="1" ht="15" hidden="1" customHeight="1" outlineLevel="3">
      <c r="A663" s="171"/>
      <c r="B663" s="710" t="s">
        <v>376</v>
      </c>
      <c r="C663" s="376" t="s">
        <v>0</v>
      </c>
      <c r="D663" s="423"/>
      <c r="E663" s="397">
        <f t="shared" ref="E663:E665" si="575">NETWORKDAYS(G663,H663,S.DDL_DEQClosed)</f>
        <v>1</v>
      </c>
      <c r="F663" s="457">
        <f t="shared" ref="F663:F665" ca="1" si="576">IF(YEAR(H663)&gt;2000,NETWORKDAYS(TODAY(),H663,S.DDL_DEQClosed),0)</f>
        <v>40</v>
      </c>
      <c r="G663" s="400">
        <f t="shared" ref="G663:G665" si="577">AAG663</f>
        <v>41676</v>
      </c>
      <c r="H663" s="400">
        <f t="shared" ref="H663:H665" si="578">AAH663</f>
        <v>41676</v>
      </c>
      <c r="I663" s="244"/>
      <c r="J663" s="194"/>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s="52"/>
      <c r="AAA663" s="192"/>
      <c r="AAD663" s="90"/>
      <c r="AAE663" s="519">
        <f>IF(S.EQC.ApprovePacketLoop2="Y",1,0)</f>
        <v>1</v>
      </c>
      <c r="AAF663" s="90"/>
      <c r="AAG663" s="73">
        <f>IF(AAE663=0,,G662)</f>
        <v>41676</v>
      </c>
      <c r="AAH663" s="73">
        <f t="shared" si="565"/>
        <v>41676</v>
      </c>
      <c r="AAI663" s="72"/>
      <c r="AAJ663" s="185"/>
      <c r="AAK663" s="56"/>
      <c r="AAL663" s="90"/>
    </row>
    <row r="664" spans="1:715" s="23" customFormat="1" ht="15" hidden="1" customHeight="1" outlineLevel="3">
      <c r="A664" s="171"/>
      <c r="B664" s="710" t="s">
        <v>376</v>
      </c>
      <c r="C664" s="376" t="s">
        <v>0</v>
      </c>
      <c r="D664" s="423"/>
      <c r="E664" s="397">
        <f t="shared" si="575"/>
        <v>1</v>
      </c>
      <c r="F664" s="457">
        <f t="shared" ca="1" si="576"/>
        <v>40</v>
      </c>
      <c r="G664" s="400">
        <f t="shared" si="577"/>
        <v>41676</v>
      </c>
      <c r="H664" s="400">
        <f t="shared" si="578"/>
        <v>41676</v>
      </c>
      <c r="I664" s="244"/>
      <c r="J664" s="194"/>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s="52"/>
      <c r="AAA664" s="192"/>
      <c r="AAD664" s="90"/>
      <c r="AAE664" s="519">
        <f>IF(S.EQC.ApprovePacketLoop2="Y",1,0)</f>
        <v>1</v>
      </c>
      <c r="AAF664" s="90"/>
      <c r="AAG664" s="73">
        <f>IF(AAE664=0,,G662)</f>
        <v>41676</v>
      </c>
      <c r="AAH664" s="73">
        <f t="shared" si="565"/>
        <v>41676</v>
      </c>
      <c r="AAI664" s="72"/>
      <c r="AAJ664" s="185"/>
      <c r="AAK664" s="56"/>
      <c r="AAL664" s="90"/>
    </row>
    <row r="665" spans="1:715" s="23" customFormat="1" ht="15" hidden="1" customHeight="1" outlineLevel="3" thickBot="1">
      <c r="A665" s="171"/>
      <c r="B665" s="710" t="s">
        <v>376</v>
      </c>
      <c r="C665" s="376" t="s">
        <v>0</v>
      </c>
      <c r="D665" s="423"/>
      <c r="E665" s="397">
        <f t="shared" si="575"/>
        <v>1</v>
      </c>
      <c r="F665" s="457">
        <f t="shared" ca="1" si="576"/>
        <v>40</v>
      </c>
      <c r="G665" s="400">
        <f t="shared" si="577"/>
        <v>41676</v>
      </c>
      <c r="H665" s="400">
        <f t="shared" si="578"/>
        <v>41676</v>
      </c>
      <c r="I665" s="244"/>
      <c r="J665" s="194"/>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s="52"/>
      <c r="AAA665" s="192"/>
      <c r="AAD665" s="90"/>
      <c r="AAE665" s="519">
        <f>IF(S.EQC.ApprovePacketLoop2="Y",1,0)</f>
        <v>1</v>
      </c>
      <c r="AAF665" s="90"/>
      <c r="AAG665" s="73">
        <f>IF(AAE665=0,,G662)</f>
        <v>41676</v>
      </c>
      <c r="AAH665" s="73">
        <f t="shared" si="565"/>
        <v>41676</v>
      </c>
      <c r="AAI665" s="72"/>
      <c r="AAJ665" s="185"/>
      <c r="AAK665" s="56"/>
      <c r="AAL665" s="90"/>
    </row>
    <row r="666" spans="1:715" ht="15" hidden="1" customHeight="1" outlineLevel="3" thickBot="1">
      <c r="A666" s="171"/>
      <c r="B666" s="711" t="s">
        <v>380</v>
      </c>
      <c r="C666" s="611" t="s">
        <v>17</v>
      </c>
      <c r="D666" s="380"/>
      <c r="E666" s="342">
        <f>NETWORKDAYS(G666,H666,S.DDL_DEQClosed)</f>
        <v>1</v>
      </c>
      <c r="F666" s="457">
        <f t="shared" ca="1" si="543"/>
        <v>40</v>
      </c>
      <c r="G666" s="400">
        <f t="shared" si="564"/>
        <v>41676</v>
      </c>
      <c r="H666" s="400">
        <f t="shared" si="564"/>
        <v>41676</v>
      </c>
      <c r="I666" s="244"/>
      <c r="J666" s="194"/>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AAA666" s="192"/>
      <c r="AAD666" s="90"/>
      <c r="AAE666" s="519">
        <f>IF(S.EQC.ApprovePacketLoop3="Y",1,0)</f>
        <v>1</v>
      </c>
      <c r="AAF666" s="90"/>
      <c r="AAG666" s="73">
        <f>IF(AAE666=0,,H662)</f>
        <v>41676</v>
      </c>
      <c r="AAH666" s="73">
        <f t="shared" si="565"/>
        <v>41676</v>
      </c>
      <c r="AAI666" s="72"/>
      <c r="AAJ666" s="56"/>
      <c r="AAK666" s="56"/>
      <c r="AAL666" s="90"/>
      <c r="AAM666"/>
    </row>
    <row r="667" spans="1:715" s="23" customFormat="1" ht="15" hidden="1" customHeight="1" outlineLevel="3">
      <c r="A667" s="171"/>
      <c r="B667" s="712" t="s">
        <v>376</v>
      </c>
      <c r="C667" s="376" t="s">
        <v>0</v>
      </c>
      <c r="D667" s="423"/>
      <c r="E667" s="397">
        <f t="shared" ref="E667:E671" si="579">NETWORKDAYS(G667,H667,S.DDL_DEQClosed)</f>
        <v>1</v>
      </c>
      <c r="F667" s="457">
        <f t="shared" ca="1" si="543"/>
        <v>40</v>
      </c>
      <c r="G667" s="400">
        <f t="shared" si="564"/>
        <v>41676</v>
      </c>
      <c r="H667" s="400">
        <f t="shared" si="564"/>
        <v>41676</v>
      </c>
      <c r="I667" s="244"/>
      <c r="J667" s="194"/>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s="52"/>
      <c r="AAA667" s="192"/>
      <c r="AAD667" s="90"/>
      <c r="AAE667" s="519">
        <f>IF(S.EQC.ApprovePacketLoop3="Y",1,0)</f>
        <v>1</v>
      </c>
      <c r="AAF667" s="90"/>
      <c r="AAG667" s="73">
        <f>IF(AAE667=0,,G666)</f>
        <v>41676</v>
      </c>
      <c r="AAH667" s="73">
        <f t="shared" si="565"/>
        <v>41676</v>
      </c>
      <c r="AAI667" s="72"/>
      <c r="AAJ667" s="185"/>
      <c r="AAK667" s="56"/>
      <c r="AAL667" s="90"/>
    </row>
    <row r="668" spans="1:715" s="23" customFormat="1" ht="15" hidden="1" customHeight="1" outlineLevel="3">
      <c r="A668" s="171"/>
      <c r="B668" s="712" t="s">
        <v>376</v>
      </c>
      <c r="C668" s="376" t="s">
        <v>0</v>
      </c>
      <c r="D668" s="423"/>
      <c r="E668" s="397">
        <f t="shared" si="579"/>
        <v>1</v>
      </c>
      <c r="F668" s="457">
        <f t="shared" ca="1" si="543"/>
        <v>40</v>
      </c>
      <c r="G668" s="400">
        <f t="shared" si="564"/>
        <v>41676</v>
      </c>
      <c r="H668" s="400">
        <f t="shared" si="564"/>
        <v>41676</v>
      </c>
      <c r="I668" s="244"/>
      <c r="J668" s="194"/>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s="52"/>
      <c r="AAA668" s="192"/>
      <c r="AAD668" s="90"/>
      <c r="AAE668" s="519">
        <f>IF(S.EQC.ApprovePacketLoop3="Y",1,0)</f>
        <v>1</v>
      </c>
      <c r="AAF668" s="90"/>
      <c r="AAG668" s="73">
        <f>IF(AAE668=0,,G666)</f>
        <v>41676</v>
      </c>
      <c r="AAH668" s="73">
        <f t="shared" si="565"/>
        <v>41676</v>
      </c>
      <c r="AAI668" s="72"/>
      <c r="AAJ668" s="185"/>
      <c r="AAK668" s="56"/>
      <c r="AAL668" s="90"/>
    </row>
    <row r="669" spans="1:715" s="23" customFormat="1" ht="15" hidden="1" customHeight="1" outlineLevel="3">
      <c r="A669" s="171"/>
      <c r="B669" s="712" t="s">
        <v>376</v>
      </c>
      <c r="C669" s="376" t="s">
        <v>0</v>
      </c>
      <c r="D669" s="423"/>
      <c r="E669" s="397">
        <f t="shared" si="579"/>
        <v>1</v>
      </c>
      <c r="F669" s="457">
        <f t="shared" ca="1" si="543"/>
        <v>40</v>
      </c>
      <c r="G669" s="400">
        <f t="shared" si="564"/>
        <v>41676</v>
      </c>
      <c r="H669" s="400">
        <f t="shared" si="564"/>
        <v>41676</v>
      </c>
      <c r="I669" s="244"/>
      <c r="J669" s="194"/>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s="52"/>
      <c r="AAA669" s="192"/>
      <c r="AAD669" s="90"/>
      <c r="AAE669" s="519">
        <f>IF(S.EQC.ApprovePacketLoop3="Y",1,0)</f>
        <v>1</v>
      </c>
      <c r="AAF669" s="90"/>
      <c r="AAG669" s="73">
        <f>IF(AAE669=0,,G666)</f>
        <v>41676</v>
      </c>
      <c r="AAH669" s="73">
        <f t="shared" si="565"/>
        <v>41676</v>
      </c>
      <c r="AAI669" s="72"/>
      <c r="AAJ669" s="185"/>
      <c r="AAK669" s="56"/>
      <c r="AAL669" s="90"/>
    </row>
    <row r="670" spans="1:715" s="23" customFormat="1" ht="15" customHeight="1" outlineLevel="2" collapsed="1" thickBot="1">
      <c r="A670" s="171" t="s">
        <v>0</v>
      </c>
      <c r="B670" s="389" t="str">
        <f>AAK670</f>
        <v>AndreaRW:</v>
      </c>
      <c r="C670" s="376" t="s">
        <v>0</v>
      </c>
      <c r="D670" s="758"/>
      <c r="E670"/>
      <c r="F670"/>
      <c r="G670"/>
      <c r="H670"/>
      <c r="I670" s="244"/>
      <c r="J670" s="222"/>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223"/>
      <c r="BE670" s="223"/>
      <c r="BF670" s="223"/>
      <c r="BG670" s="223"/>
      <c r="BH670" s="223"/>
      <c r="BI670" s="223"/>
      <c r="BJ670" s="223"/>
      <c r="BK670" s="223"/>
      <c r="BL670" s="223"/>
      <c r="BM670" s="223"/>
      <c r="BN670" s="223"/>
      <c r="BO670" s="223"/>
      <c r="BP670" s="223"/>
      <c r="BQ670" s="223"/>
      <c r="BR670" s="223"/>
      <c r="BS670" s="223"/>
      <c r="BT670" s="223"/>
      <c r="BU670" s="223"/>
      <c r="BV670" s="223"/>
      <c r="BW670" s="223"/>
      <c r="BX670" s="223"/>
      <c r="BY670" s="223"/>
      <c r="BZ670" s="223"/>
      <c r="CA670" s="223"/>
      <c r="CB670" s="223"/>
      <c r="CC670" s="223"/>
      <c r="CD670" s="223"/>
      <c r="CE670" s="223"/>
      <c r="CF670" s="223"/>
      <c r="CG670" s="223"/>
      <c r="CH670" s="223"/>
      <c r="CI670" s="223"/>
      <c r="CJ670" s="223"/>
      <c r="CK670" s="223"/>
      <c r="CL670" s="223"/>
      <c r="CM670" s="223"/>
      <c r="CN670" s="223"/>
      <c r="CO670" s="223"/>
      <c r="CP670" s="223"/>
      <c r="CQ670" s="223"/>
      <c r="CR670" s="223"/>
      <c r="CS670" s="223"/>
      <c r="CT670" s="223"/>
      <c r="CU670" s="223"/>
      <c r="CV670" s="223"/>
      <c r="CW670" s="223"/>
      <c r="CX670" s="223"/>
      <c r="CY670" s="223"/>
      <c r="CZ670" s="223"/>
      <c r="DA670" s="223"/>
      <c r="DB670" s="223"/>
      <c r="DC670" s="223"/>
      <c r="DD670" s="223"/>
      <c r="DE670" s="223"/>
      <c r="DF670" s="223"/>
      <c r="DG670" s="223"/>
      <c r="DH670" s="223"/>
      <c r="DI670" s="223"/>
      <c r="DJ670" s="223"/>
      <c r="DK670" s="223"/>
      <c r="DL670" s="223"/>
      <c r="DM670" s="223"/>
      <c r="DN670" s="223"/>
      <c r="DO670" s="223"/>
      <c r="DP670" s="223"/>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s="52"/>
      <c r="AAA670" s="192"/>
      <c r="AAD670" s="90"/>
      <c r="AAE670" s="519">
        <v>1</v>
      </c>
      <c r="AAF670" s="190" t="s">
        <v>52</v>
      </c>
      <c r="AAG670" s="90"/>
      <c r="AAH670" s="90"/>
      <c r="AAI670" s="72"/>
      <c r="AAJ670" s="56"/>
      <c r="AAK670" s="80" t="str">
        <f>S.Staff.Lead&amp;":"</f>
        <v>AndreaRW:</v>
      </c>
      <c r="AAL670" s="90"/>
    </row>
    <row r="671" spans="1:715" s="23" customFormat="1" ht="15" customHeight="1" outlineLevel="2" thickBot="1">
      <c r="A671" s="171"/>
      <c r="B671" s="713" t="str">
        <f>AAK671</f>
        <v>* discusses need for 1|1 briefings with commissioners with MargaretMGR &amp; Andy</v>
      </c>
      <c r="C671" s="611" t="s">
        <v>17</v>
      </c>
      <c r="D671" s="423"/>
      <c r="E671" s="646">
        <f t="shared" si="579"/>
        <v>1</v>
      </c>
      <c r="F671" s="457">
        <f t="shared" ca="1" si="543"/>
        <v>40</v>
      </c>
      <c r="G671" s="400">
        <f t="shared" si="564"/>
        <v>41676</v>
      </c>
      <c r="H671" s="400">
        <f t="shared" si="564"/>
        <v>41676</v>
      </c>
      <c r="I671" s="244"/>
      <c r="J671" s="194"/>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s="52"/>
      <c r="AAA671" s="192" t="s">
        <v>0</v>
      </c>
      <c r="AAB671" s="23" t="s">
        <v>0</v>
      </c>
      <c r="AAD671" s="90"/>
      <c r="AAE671" s="519">
        <f>IF(S.EQC.1on1Briefing="Y",1,0)</f>
        <v>1</v>
      </c>
      <c r="AAF671" s="90"/>
      <c r="AAG671" s="73">
        <f>IF(AAE671=0,,MAX(H651:H669))</f>
        <v>41676</v>
      </c>
      <c r="AAH671" s="73">
        <f>IF(AAE671=0,,S.EQC.SubmitStaffRpt)</f>
        <v>41676</v>
      </c>
      <c r="AAI671" s="72"/>
      <c r="AAJ671" s="185"/>
      <c r="AAK671" s="80" t="str">
        <f>"* discusses need for 1|1 briefings with commissioners with "&amp;S.Staff.Mgr&amp;" &amp; "&amp;S.Staff.DA</f>
        <v>* discusses need for 1|1 briefings with commissioners with MargaretMGR &amp; Andy</v>
      </c>
      <c r="AAL671" s="90"/>
    </row>
    <row r="672" spans="1:715" s="23" customFormat="1" ht="15" customHeight="1" outlineLevel="2">
      <c r="A672" s="171"/>
      <c r="B672" s="708" t="s">
        <v>381</v>
      </c>
      <c r="C672"/>
      <c r="D672"/>
      <c r="E672" s="763"/>
      <c r="F672" s="763"/>
      <c r="G672"/>
      <c r="H672"/>
      <c r="I672" s="244"/>
      <c r="J672" s="194"/>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s="52"/>
      <c r="AAA672" s="192"/>
      <c r="AAD672" s="90"/>
      <c r="AAE672" s="519">
        <f>IF(S.EQC.1on1Briefing="Y",1,0)</f>
        <v>1</v>
      </c>
      <c r="AAF672" s="90"/>
      <c r="AAG672" s="90"/>
      <c r="AAH672" s="90"/>
      <c r="AAI672" s="72"/>
      <c r="AAJ672" s="185"/>
      <c r="AAK672" s="56"/>
      <c r="AAL672" s="90"/>
    </row>
    <row r="673" spans="1:715" ht="15" customHeight="1" outlineLevel="2">
      <c r="A673" s="171"/>
      <c r="B673" s="286" t="s">
        <v>377</v>
      </c>
      <c r="C673"/>
      <c r="D673"/>
      <c r="E673" s="763"/>
      <c r="F673" s="763"/>
      <c r="G673"/>
      <c r="H673"/>
      <c r="I673" s="244"/>
      <c r="J673" s="194"/>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AAA673" s="192"/>
      <c r="AAD673" s="90"/>
      <c r="AAE673" s="519">
        <v>1</v>
      </c>
      <c r="AAF673" s="190" t="s">
        <v>52</v>
      </c>
      <c r="AAG673" s="90"/>
      <c r="AAH673" s="90"/>
      <c r="AAI673" s="72"/>
      <c r="AAJ673" s="56"/>
      <c r="AAK673" s="56"/>
      <c r="AAL673" s="90"/>
      <c r="AAM673"/>
    </row>
    <row r="674" spans="1:715" s="23" customFormat="1" ht="15" customHeight="1" outlineLevel="2">
      <c r="A674" s="171"/>
      <c r="B674" s="714" t="str">
        <f>AAK674</f>
        <v>- MargaretMGR for lead manager approval</v>
      </c>
      <c r="C674" s="376" t="s">
        <v>0</v>
      </c>
      <c r="D674" s="423"/>
      <c r="E674" s="646">
        <f t="shared" ref="E674:E675" si="580">NETWORKDAYS(G674,H674,S.DDL_DEQClosed)</f>
        <v>70</v>
      </c>
      <c r="F674" s="457">
        <f t="shared" ref="F674:F675" ca="1" si="581">IF(YEAR(H674)&gt;2000,NETWORKDAYS(TODAY(),H674,S.DDL_DEQClosed),0)</f>
        <v>40</v>
      </c>
      <c r="G674" s="400">
        <f t="shared" ref="G674:G675" si="582">AAG674</f>
        <v>41572</v>
      </c>
      <c r="H674" s="400">
        <f t="shared" ref="H674:H675" si="583">AAH674</f>
        <v>41676</v>
      </c>
      <c r="I674" s="244"/>
      <c r="J674" s="194"/>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s="52"/>
      <c r="AAA674" s="192"/>
      <c r="AAD674" s="90"/>
      <c r="AAE674" s="519">
        <v>1</v>
      </c>
      <c r="AAF674" s="90"/>
      <c r="AAG674" s="73">
        <f>S.EQC.BANNER.Begin</f>
        <v>41572</v>
      </c>
      <c r="AAH674" s="73">
        <f t="shared" si="545"/>
        <v>41676</v>
      </c>
      <c r="AAI674" s="72"/>
      <c r="AAJ674" s="185"/>
      <c r="AAK674" s="80" t="str">
        <f>"- "&amp;S.Staff.Mgr&amp;" for lead manager approval"</f>
        <v>- MargaretMGR for lead manager approval</v>
      </c>
      <c r="AAL674" s="90"/>
    </row>
    <row r="675" spans="1:715" s="23" customFormat="1" ht="15" customHeight="1" outlineLevel="2" thickBot="1">
      <c r="A675" s="171"/>
      <c r="B675" s="714" t="str">
        <f>AAK675</f>
        <v>- Andy for division administrator approval</v>
      </c>
      <c r="C675" s="376" t="s">
        <v>0</v>
      </c>
      <c r="D675" s="423"/>
      <c r="E675" s="646">
        <f t="shared" si="580"/>
        <v>70</v>
      </c>
      <c r="F675" s="457">
        <f t="shared" ca="1" si="581"/>
        <v>40</v>
      </c>
      <c r="G675" s="400">
        <f t="shared" si="582"/>
        <v>41572</v>
      </c>
      <c r="H675" s="400">
        <f t="shared" si="583"/>
        <v>41676</v>
      </c>
      <c r="I675" s="244"/>
      <c r="J675" s="194"/>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s="52"/>
      <c r="AAA675" s="192"/>
      <c r="AAD675" s="90"/>
      <c r="AAE675" s="519">
        <v>1</v>
      </c>
      <c r="AAF675" s="90"/>
      <c r="AAG675" s="73">
        <f>S.EQC.BANNER.Begin</f>
        <v>41572</v>
      </c>
      <c r="AAH675" s="73">
        <f t="shared" si="545"/>
        <v>41676</v>
      </c>
      <c r="AAI675" s="72"/>
      <c r="AAJ675" s="185"/>
      <c r="AAK675" s="80" t="str">
        <f>"- "&amp;S.Staff.DA&amp; " for division administrator approval"</f>
        <v>- Andy for division administrator approval</v>
      </c>
      <c r="AAL675" s="90"/>
    </row>
    <row r="676" spans="1:715" s="23" customFormat="1" ht="15" customHeight="1" outlineLevel="2" thickBot="1">
      <c r="A676" s="171"/>
      <c r="B676" s="396" t="s">
        <v>369</v>
      </c>
      <c r="C676" s="687" t="s">
        <v>53</v>
      </c>
      <c r="D676" s="380"/>
      <c r="E676"/>
      <c r="F676"/>
      <c r="G676"/>
      <c r="H676" s="343">
        <f>AAH676</f>
        <v>41676</v>
      </c>
      <c r="I676" s="244"/>
      <c r="J676" s="198"/>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s="52"/>
      <c r="AAA676" s="192"/>
      <c r="AAD676" s="90"/>
      <c r="AAE676" s="519">
        <v>1</v>
      </c>
      <c r="AAF676" s="90"/>
      <c r="AAG676" s="72"/>
      <c r="AAH676" s="73">
        <f>H675</f>
        <v>41676</v>
      </c>
      <c r="AAI676" s="72"/>
      <c r="AAJ676" s="72"/>
      <c r="AAK676" s="87"/>
      <c r="AAL676" s="90"/>
    </row>
    <row r="677" spans="1:715" s="23" customFormat="1" ht="15" customHeight="1" outlineLevel="2">
      <c r="A677" s="171" t="s">
        <v>0</v>
      </c>
      <c r="B677" s="396" t="s">
        <v>337</v>
      </c>
      <c r="C677" s="374"/>
      <c r="D677" s="393"/>
      <c r="E677" s="394"/>
      <c r="F677" s="394"/>
      <c r="G677" s="395"/>
      <c r="H677" s="395"/>
      <c r="I677" s="244"/>
      <c r="J677" s="198"/>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s="52"/>
      <c r="AAA677" s="192"/>
      <c r="AAD677" s="90"/>
      <c r="AAE677" s="519">
        <v>1</v>
      </c>
      <c r="AAF677" s="190" t="s">
        <v>52</v>
      </c>
      <c r="AAG677" s="71"/>
      <c r="AAH677" s="71"/>
      <c r="AAI677" s="72"/>
      <c r="AAJ677" s="72"/>
      <c r="AAK677" s="87"/>
      <c r="AAL677" s="90"/>
    </row>
    <row r="678" spans="1:715" s="23" customFormat="1" ht="15" customHeight="1" outlineLevel="2">
      <c r="A678" s="171" t="s">
        <v>0</v>
      </c>
      <c r="B678" s="640" t="str">
        <f>AAK678</f>
        <v>- sending AndreaRW an email confirmation</v>
      </c>
      <c r="C678" s="376" t="s">
        <v>0</v>
      </c>
      <c r="I678" s="244"/>
      <c r="J678" s="194"/>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s="52"/>
      <c r="AAA678" s="192"/>
      <c r="AAD678" s="90"/>
      <c r="AAE678" s="519">
        <v>1</v>
      </c>
      <c r="AAF678" s="90"/>
      <c r="AAG678" s="72"/>
      <c r="AAH678" s="72"/>
      <c r="AAI678" s="72"/>
      <c r="AAJ678" s="72"/>
      <c r="AAK678" s="80" t="str">
        <f>"- sending "&amp;S.Staff.Lead&amp;" an email confirmation"</f>
        <v>- sending AndreaRW an email confirmation</v>
      </c>
      <c r="AAL678" s="90"/>
    </row>
    <row r="679" spans="1:715" s="23" customFormat="1" ht="15" customHeight="1" outlineLevel="2">
      <c r="A679" s="171" t="s">
        <v>0</v>
      </c>
      <c r="B679" s="670" t="str">
        <f>AAK679</f>
        <v>- editing with SOS and Legislative Counsel perspective - Maggie</v>
      </c>
      <c r="C679" s="376" t="s">
        <v>0</v>
      </c>
      <c r="I679" s="244"/>
      <c r="J679" s="194"/>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s="52"/>
      <c r="AAA679" s="192"/>
      <c r="AAD679" s="90"/>
      <c r="AAE679" s="519">
        <v>1</v>
      </c>
      <c r="AAF679" s="90"/>
      <c r="AAG679" s="72"/>
      <c r="AAH679" s="72"/>
      <c r="AAI679" s="72"/>
      <c r="AAJ679" s="72"/>
      <c r="AAK679" s="80" t="str">
        <f>"- editing with SOS and Legislative Counsel perspective - "&amp;S.Staff.AgencyRulesCoordinator</f>
        <v>- editing with SOS and Legislative Counsel perspective - Maggie</v>
      </c>
      <c r="AAL679" s="90"/>
    </row>
    <row r="680" spans="1:715" s="23" customFormat="1" ht="15" customHeight="1" outlineLevel="2">
      <c r="A680" s="171" t="s">
        <v>0</v>
      </c>
      <c r="B680" s="670" t="str">
        <f>AAK680</f>
        <v>- editing with EQC perspective, prepares packet for EQC - Stephanie</v>
      </c>
      <c r="C680" s="376" t="s">
        <v>0</v>
      </c>
      <c r="I680" s="244"/>
      <c r="J680" s="194"/>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s="52"/>
      <c r="AAA680" s="192"/>
      <c r="AAD680" s="90"/>
      <c r="AAE680" s="519">
        <v>1</v>
      </c>
      <c r="AAF680" s="90"/>
      <c r="AAG680" s="72"/>
      <c r="AAH680" s="72"/>
      <c r="AAI680" s="72"/>
      <c r="AAJ680" s="72"/>
      <c r="AAK680" s="80" t="str">
        <f>"- editing with EQC perspective, prepares packet for EQC - "&amp;S.Staff.EQCAssistant</f>
        <v>- editing with EQC perspective, prepares packet for EQC - Stephanie</v>
      </c>
      <c r="AAL680" s="90"/>
    </row>
    <row r="681" spans="1:715" s="23" customFormat="1" ht="15" customHeight="1" outlineLevel="2">
      <c r="A681" s="171" t="s">
        <v>0</v>
      </c>
      <c r="B681" s="670" t="str">
        <f>AAK681</f>
        <v>- contacting AndreaRW with questions or modifications</v>
      </c>
      <c r="C681" s="376" t="s">
        <v>0</v>
      </c>
      <c r="I681" s="244"/>
      <c r="J681" s="194"/>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s="52"/>
      <c r="AAA681" s="192"/>
      <c r="AAD681" s="90"/>
      <c r="AAE681" s="519">
        <v>1</v>
      </c>
      <c r="AAF681" s="90"/>
      <c r="AAG681" s="72"/>
      <c r="AAH681" s="72"/>
      <c r="AAI681" s="72"/>
      <c r="AAJ681" s="72"/>
      <c r="AAK681" s="80" t="str">
        <f>"- contacting "&amp;S.Staff.Lead&amp;" with questions or modifications"</f>
        <v>- contacting AndreaRW with questions or modifications</v>
      </c>
      <c r="AAL681" s="90"/>
    </row>
    <row r="682" spans="1:715" s="23" customFormat="1" ht="15" customHeight="1" outlineLevel="2">
      <c r="A682" s="171" t="s">
        <v>0</v>
      </c>
      <c r="B682" s="670" t="str">
        <f>AAK682</f>
        <v>- contacting AndreaRW when staff report ready for EQC  - Stephanie</v>
      </c>
      <c r="C682" s="376" t="s">
        <v>0</v>
      </c>
      <c r="I682" s="244"/>
      <c r="J682" s="194"/>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s="52"/>
      <c r="AAA682" s="192"/>
      <c r="AAD682" s="90"/>
      <c r="AAE682" s="519">
        <v>1</v>
      </c>
      <c r="AAF682" s="90"/>
      <c r="AAG682" s="72"/>
      <c r="AAH682" s="72"/>
      <c r="AAI682" s="72"/>
      <c r="AAJ682" s="72"/>
      <c r="AAK682" s="80" t="str">
        <f>"- contacting "&amp;S.Staff.Lead&amp;" when staff report ready for EQC  - "&amp;S.Staff.EQCAssistant</f>
        <v>- contacting AndreaRW when staff report ready for EQC  - Stephanie</v>
      </c>
      <c r="AAL682" s="90"/>
    </row>
    <row r="683" spans="1:715" s="23" customFormat="1" ht="15" customHeight="1" outlineLevel="2">
      <c r="A683" s="171" t="s">
        <v>0</v>
      </c>
      <c r="B683" s="396" t="s">
        <v>478</v>
      </c>
      <c r="C683" s="374"/>
      <c r="D683" s="393"/>
      <c r="E683" s="394"/>
      <c r="F683" s="394"/>
      <c r="G683" s="395"/>
      <c r="H683" s="395"/>
      <c r="I683" s="244"/>
      <c r="J683" s="198"/>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s="52"/>
      <c r="AAA683" s="192"/>
      <c r="AAD683" s="90"/>
      <c r="AAE683" s="519">
        <v>1</v>
      </c>
      <c r="AAF683" s="190" t="s">
        <v>52</v>
      </c>
      <c r="AAG683" s="71"/>
      <c r="AAH683" s="71"/>
      <c r="AAI683" s="72"/>
      <c r="AAJ683" s="72"/>
      <c r="AAK683" s="87"/>
      <c r="AAL683" s="90"/>
    </row>
    <row r="684" spans="1:715" s="23" customFormat="1" ht="15" customHeight="1" outlineLevel="2">
      <c r="A684" s="171"/>
      <c r="B684" s="715" t="s">
        <v>382</v>
      </c>
      <c r="C684" s="376" t="s">
        <v>0</v>
      </c>
      <c r="D684" s="422"/>
      <c r="E684" s="646">
        <f t="shared" ref="E684:E690" si="584">NETWORKDAYS(G684,H684,S.DDL_DEQClosed)</f>
        <v>97</v>
      </c>
      <c r="F684" s="457">
        <f t="shared" ref="F684:F690" ca="1" si="585">IF(YEAR(H684)&gt;2000,NETWORKDAYS(TODAY(),H684,S.DDL_DEQClosed),0)</f>
        <v>67</v>
      </c>
      <c r="G684" s="647">
        <f t="shared" ref="G684:G685" si="586">AAG684</f>
        <v>41572</v>
      </c>
      <c r="H684" s="647">
        <f t="shared" ref="H684:H685" si="587">AAH684</f>
        <v>41716</v>
      </c>
      <c r="I684" s="244"/>
      <c r="J684" s="194"/>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s="52"/>
      <c r="AAA684" s="192"/>
      <c r="AAD684" s="90"/>
      <c r="AAE684" s="519">
        <v>1</v>
      </c>
      <c r="AAF684" s="90"/>
      <c r="AAG684" s="73">
        <f>S.EQC.BANNER.Begin</f>
        <v>41572</v>
      </c>
      <c r="AAH684" s="73">
        <f t="shared" ref="AAH684:AAH690" si="588">S.EQC.Meeting-1</f>
        <v>41716</v>
      </c>
      <c r="AAI684" s="72"/>
      <c r="AAJ684" s="56"/>
      <c r="AAK684" s="56"/>
      <c r="AAL684" s="90"/>
    </row>
    <row r="685" spans="1:715" s="23" customFormat="1" ht="15" customHeight="1" outlineLevel="2">
      <c r="A685" s="171"/>
      <c r="B685" s="715" t="s">
        <v>383</v>
      </c>
      <c r="C685" s="376" t="s">
        <v>0</v>
      </c>
      <c r="D685" s="422"/>
      <c r="E685" s="646">
        <f t="shared" si="584"/>
        <v>29782</v>
      </c>
      <c r="F685" s="457">
        <f t="shared" ca="1" si="585"/>
        <v>67</v>
      </c>
      <c r="G685" s="647">
        <f t="shared" si="586"/>
        <v>0</v>
      </c>
      <c r="H685" s="647">
        <f t="shared" si="587"/>
        <v>41716</v>
      </c>
      <c r="I685" s="244"/>
      <c r="J685" s="194"/>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s="52"/>
      <c r="AAA685" s="192"/>
      <c r="AAD685" s="90"/>
      <c r="AAE685" s="519">
        <f>IF(S.AC.CommitteeInvolved="Y",1,0)</f>
        <v>0</v>
      </c>
      <c r="AAF685" s="90"/>
      <c r="AAG685" s="73">
        <f>IF(AAE685=0,,S.EQC.BANNER.Begin)</f>
        <v>0</v>
      </c>
      <c r="AAH685" s="73">
        <f t="shared" si="588"/>
        <v>41716</v>
      </c>
      <c r="AAI685" s="72"/>
      <c r="AAJ685" s="56"/>
      <c r="AAK685" s="56"/>
      <c r="AAL685" s="90"/>
    </row>
    <row r="686" spans="1:715" s="23" customFormat="1" ht="15" customHeight="1" outlineLevel="2">
      <c r="A686" s="171"/>
      <c r="B686" s="715" t="s">
        <v>384</v>
      </c>
      <c r="C686" s="376" t="s">
        <v>0</v>
      </c>
      <c r="D686" s="422"/>
      <c r="E686" s="646">
        <f t="shared" si="584"/>
        <v>97</v>
      </c>
      <c r="F686" s="457">
        <f t="shared" ca="1" si="585"/>
        <v>67</v>
      </c>
      <c r="G686" s="647">
        <f t="shared" ref="G686:G687" si="589">AAG686</f>
        <v>41572</v>
      </c>
      <c r="H686" s="647">
        <f t="shared" ref="H686:H687" si="590">AAH686</f>
        <v>41716</v>
      </c>
      <c r="I686" s="244"/>
      <c r="J686" s="194"/>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s="52"/>
      <c r="AAA686" s="192"/>
      <c r="AAD686" s="90"/>
      <c r="AAE686" s="519">
        <f>IF(S.Notice.Involved="Y",1,0)</f>
        <v>1</v>
      </c>
      <c r="AAF686" s="90"/>
      <c r="AAG686" s="73">
        <f>IF(AAE686=0,,S.EQC.BANNER.Begin)</f>
        <v>41572</v>
      </c>
      <c r="AAH686" s="73">
        <f t="shared" si="588"/>
        <v>41716</v>
      </c>
      <c r="AAI686" s="72"/>
      <c r="AAJ686" s="56"/>
      <c r="AAK686" s="56"/>
      <c r="AAL686" s="90"/>
    </row>
    <row r="687" spans="1:715" s="23" customFormat="1" ht="15" customHeight="1" outlineLevel="2">
      <c r="A687" s="171"/>
      <c r="B687" s="715" t="s">
        <v>385</v>
      </c>
      <c r="C687" s="376" t="s">
        <v>0</v>
      </c>
      <c r="D687" s="422"/>
      <c r="E687" s="646">
        <f t="shared" si="584"/>
        <v>97</v>
      </c>
      <c r="F687" s="457">
        <f t="shared" ca="1" si="585"/>
        <v>67</v>
      </c>
      <c r="G687" s="647">
        <f t="shared" si="589"/>
        <v>41572</v>
      </c>
      <c r="H687" s="647">
        <f t="shared" si="590"/>
        <v>41716</v>
      </c>
      <c r="I687" s="244"/>
      <c r="J687" s="194"/>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s="52"/>
      <c r="AAA687" s="192"/>
      <c r="AAD687" s="90"/>
      <c r="AAE687" s="519">
        <v>1</v>
      </c>
      <c r="AAF687" s="90"/>
      <c r="AAG687" s="73">
        <f>S.EQC.BANNER.Begin</f>
        <v>41572</v>
      </c>
      <c r="AAH687" s="73">
        <f t="shared" si="588"/>
        <v>41716</v>
      </c>
      <c r="AAI687" s="72"/>
      <c r="AAJ687" s="56"/>
      <c r="AAK687" s="56"/>
      <c r="AAL687" s="90"/>
    </row>
    <row r="688" spans="1:715" ht="15" customHeight="1" outlineLevel="2">
      <c r="A688" s="171"/>
      <c r="B688" s="415" t="s">
        <v>370</v>
      </c>
      <c r="C688" s="376" t="s">
        <v>0</v>
      </c>
      <c r="D688" s="422"/>
      <c r="E688" s="646">
        <f t="shared" si="584"/>
        <v>97</v>
      </c>
      <c r="F688" s="457">
        <f t="shared" ca="1" si="585"/>
        <v>67</v>
      </c>
      <c r="G688" s="647">
        <f t="shared" ref="G688:H688" si="591">AAG688</f>
        <v>41572</v>
      </c>
      <c r="H688" s="647">
        <f t="shared" si="591"/>
        <v>41716</v>
      </c>
      <c r="I688" s="244"/>
      <c r="J688" s="194"/>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AAA688" s="192"/>
      <c r="AAD688" s="90"/>
      <c r="AAE688" s="519">
        <v>1</v>
      </c>
      <c r="AAF688" s="90"/>
      <c r="AAG688" s="73">
        <f>S.EQC.BANNER.Begin</f>
        <v>41572</v>
      </c>
      <c r="AAH688" s="73">
        <f t="shared" si="588"/>
        <v>41716</v>
      </c>
      <c r="AAI688" s="72"/>
      <c r="AAJ688" s="56"/>
      <c r="AAK688" s="56"/>
      <c r="AAL688" s="90"/>
      <c r="AAM688"/>
    </row>
    <row r="689" spans="1:715" ht="15" customHeight="1" outlineLevel="2">
      <c r="A689" s="171"/>
      <c r="B689" s="286" t="s">
        <v>372</v>
      </c>
      <c r="C689" s="364" t="s">
        <v>0</v>
      </c>
      <c r="D689" s="422"/>
      <c r="E689" s="648">
        <f t="shared" si="584"/>
        <v>97</v>
      </c>
      <c r="F689" s="457">
        <f t="shared" ca="1" si="585"/>
        <v>67</v>
      </c>
      <c r="G689" s="647">
        <f t="shared" ref="G689:G690" si="592">AAG689</f>
        <v>41572</v>
      </c>
      <c r="H689" s="647">
        <f t="shared" ref="H689:H690" si="593">AAH689</f>
        <v>41716</v>
      </c>
      <c r="I689" s="244"/>
      <c r="J689" s="194"/>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AAA689" s="192"/>
      <c r="AAD689" s="90"/>
      <c r="AAE689" s="519">
        <v>1</v>
      </c>
      <c r="AAF689" s="90"/>
      <c r="AAG689" s="73">
        <f>G688</f>
        <v>41572</v>
      </c>
      <c r="AAH689" s="73">
        <f t="shared" si="588"/>
        <v>41716</v>
      </c>
      <c r="AAI689" s="72"/>
      <c r="AAJ689" s="56"/>
      <c r="AAK689" s="56" t="s">
        <v>0</v>
      </c>
      <c r="AAL689" s="90"/>
      <c r="AAM689"/>
    </row>
    <row r="690" spans="1:715" ht="15" customHeight="1" outlineLevel="2">
      <c r="A690" s="171"/>
      <c r="B690" s="688" t="s">
        <v>371</v>
      </c>
      <c r="C690" s="425" t="s">
        <v>0</v>
      </c>
      <c r="D690" s="422"/>
      <c r="E690" s="648">
        <f t="shared" si="584"/>
        <v>97</v>
      </c>
      <c r="F690" s="457">
        <f t="shared" ca="1" si="585"/>
        <v>67</v>
      </c>
      <c r="G690" s="647">
        <f t="shared" si="592"/>
        <v>41572</v>
      </c>
      <c r="H690" s="647">
        <f t="shared" si="593"/>
        <v>41716</v>
      </c>
      <c r="I690" s="244"/>
      <c r="J690" s="193"/>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AAA690" s="192"/>
      <c r="AAD690" s="90"/>
      <c r="AAE690" s="519">
        <v>1</v>
      </c>
      <c r="AAF690" s="90"/>
      <c r="AAG690" s="73">
        <f>G689</f>
        <v>41572</v>
      </c>
      <c r="AAH690" s="73">
        <f t="shared" si="588"/>
        <v>41716</v>
      </c>
      <c r="AAI690" s="72"/>
      <c r="AAJ690" s="55"/>
      <c r="AAK690" s="55"/>
      <c r="AAL690" s="90"/>
      <c r="AAM690"/>
    </row>
    <row r="691" spans="1:715" ht="15" outlineLevel="2">
      <c r="A691" s="171"/>
      <c r="B691" s="416" t="s">
        <v>259</v>
      </c>
      <c r="C691" s="375"/>
      <c r="D691" s="416"/>
      <c r="E691" s="649"/>
      <c r="F691" s="649"/>
      <c r="G691" s="650">
        <f>AAG691</f>
        <v>41717</v>
      </c>
      <c r="H691" s="651">
        <f>AAH691</f>
        <v>41717</v>
      </c>
      <c r="I691" s="244"/>
      <c r="J691" s="194"/>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AAA691" s="192"/>
      <c r="AAD691" s="90"/>
      <c r="AAE691" s="519">
        <v>1</v>
      </c>
      <c r="AAF691" s="90"/>
      <c r="AAG691" s="73">
        <f>S.EQC.Meeting</f>
        <v>41717</v>
      </c>
      <c r="AAH691" s="73">
        <f>S.EQC.Meeting</f>
        <v>41717</v>
      </c>
      <c r="AAI691" s="72"/>
      <c r="AAJ691" s="56"/>
      <c r="AAK691" s="56"/>
      <c r="AAL691" s="90"/>
      <c r="AAM691"/>
    </row>
    <row r="692" spans="1:715" s="23" customFormat="1" ht="15.75" customHeight="1" outlineLevel="2">
      <c r="A692" s="171"/>
      <c r="B692" s="291" t="str">
        <f>AAK692</f>
        <v>AndreaRW collects emails about EQC preparations for Rule Record and saves as:</v>
      </c>
      <c r="C692" s="789" t="str">
        <f>HYPERLINK("\\deqhq1\Rule_Development\Currrent Plan","i")</f>
        <v>i</v>
      </c>
      <c r="D692" s="401"/>
      <c r="E692" s="648">
        <f t="shared" ref="E692" si="594">NETWORKDAYS(G692,H692,S.DDL_DEQClosed)</f>
        <v>1</v>
      </c>
      <c r="F692" s="457">
        <f ca="1">IF(YEAR(H692)&gt;2000,NETWORKDAYS(TODAY(),H692,S.DDL_DEQClosed),0)</f>
        <v>68</v>
      </c>
      <c r="G692" s="652">
        <f>AAG692</f>
        <v>41717</v>
      </c>
      <c r="H692" s="652">
        <f>AAH692</f>
        <v>41717</v>
      </c>
      <c r="I692" s="244"/>
      <c r="J692" s="194"/>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s="52"/>
      <c r="AAA692" s="192"/>
      <c r="AAD692" s="90"/>
      <c r="AAE692" s="519">
        <v>1</v>
      </c>
      <c r="AAF692" s="90"/>
      <c r="AAG692" s="73">
        <f t="shared" ref="AAG692" si="595">H691</f>
        <v>41717</v>
      </c>
      <c r="AAH692" s="73">
        <f>G692</f>
        <v>41717</v>
      </c>
      <c r="AAI692" s="72"/>
      <c r="AAJ692" s="72"/>
      <c r="AAK692" s="92" t="str">
        <f>S.Staff.Lead&amp;" collects emails about EQC preparations for Rule Record and saves as:"</f>
        <v>AndreaRW collects emails about EQC preparations for Rule Record and saves as:</v>
      </c>
      <c r="AAL692" s="90"/>
    </row>
    <row r="693" spans="1:715" s="23" customFormat="1" ht="15.75" customHeight="1" outlineLevel="2">
      <c r="A693" s="171"/>
      <c r="B693" s="372" t="s">
        <v>172</v>
      </c>
      <c r="C693" s="362"/>
      <c r="D693" s="373"/>
      <c r="E693" s="350"/>
      <c r="F693" s="350"/>
      <c r="G693" s="346"/>
      <c r="H693" s="346"/>
      <c r="I693" s="244"/>
      <c r="J693" s="194"/>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s="52"/>
      <c r="AAA693" s="192"/>
      <c r="AAD693" s="90"/>
      <c r="AAE693" s="519">
        <v>1</v>
      </c>
      <c r="AAF693" s="190" t="s">
        <v>52</v>
      </c>
      <c r="AAG693" s="71"/>
      <c r="AAH693" s="71"/>
      <c r="AAI693" s="71"/>
      <c r="AAJ693" s="56"/>
      <c r="AAK693" s="71" t="s">
        <v>0</v>
      </c>
      <c r="AAL693" s="90"/>
    </row>
    <row r="694" spans="1:715" ht="5.25" customHeight="1">
      <c r="A694" s="171"/>
      <c r="B694" s="292"/>
      <c r="C694" s="116"/>
      <c r="D694" s="115"/>
      <c r="E694" s="117"/>
      <c r="F694" s="117"/>
      <c r="G694" s="143"/>
      <c r="H694" s="144"/>
      <c r="I694" s="244"/>
      <c r="J694" s="218"/>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AAA694" s="192"/>
      <c r="AAD694" s="90"/>
      <c r="AAE694" s="519" t="s">
        <v>21</v>
      </c>
      <c r="AAF694" s="190" t="s">
        <v>52</v>
      </c>
      <c r="AAG694" s="60"/>
      <c r="AAH694" s="60"/>
      <c r="AAI694" s="72"/>
      <c r="AAJ694" s="56"/>
      <c r="AAK694" s="56"/>
      <c r="AAL694" s="90"/>
      <c r="AAM694"/>
    </row>
    <row r="695" spans="1:715" s="23" customFormat="1" ht="18" customHeight="1">
      <c r="A695" s="171"/>
      <c r="B695" s="907" t="s">
        <v>276</v>
      </c>
      <c r="C695" s="907"/>
      <c r="D695" s="907"/>
      <c r="E695" s="907"/>
      <c r="F695" s="907"/>
      <c r="G695" s="907"/>
      <c r="H695" s="907"/>
      <c r="I695" s="244"/>
      <c r="J695" s="21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s="52"/>
      <c r="AAA695" s="192"/>
      <c r="AAB695"/>
      <c r="AAC695"/>
      <c r="AAD695" s="90"/>
      <c r="AAE695" s="519" t="s">
        <v>22</v>
      </c>
      <c r="AAF695" s="190" t="s">
        <v>52</v>
      </c>
      <c r="AAG695" s="72"/>
      <c r="AAH695" s="72"/>
      <c r="AAI695" s="72"/>
      <c r="AAJ695" s="81"/>
      <c r="AAK695" s="71"/>
      <c r="AAL695" s="90"/>
    </row>
    <row r="696" spans="1:715" s="23" customFormat="1" ht="14.25" customHeight="1" outlineLevel="1">
      <c r="A696" s="171"/>
      <c r="B696" s="141" t="s">
        <v>0</v>
      </c>
      <c r="C696" s="100" t="s">
        <v>0</v>
      </c>
      <c r="D696" s="237"/>
      <c r="E696" s="865" t="s">
        <v>225</v>
      </c>
      <c r="F696" s="865"/>
      <c r="G696" s="865" t="s">
        <v>12</v>
      </c>
      <c r="H696" s="865"/>
      <c r="I696" s="244"/>
      <c r="J696" s="195"/>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s="52"/>
      <c r="AAA696" s="192"/>
      <c r="AAD696" s="90"/>
      <c r="AAE696" s="519" t="s">
        <v>63</v>
      </c>
      <c r="AAF696" s="190" t="s">
        <v>52</v>
      </c>
      <c r="AAG696" s="90"/>
      <c r="AAH696" s="90"/>
      <c r="AAI696" s="72"/>
      <c r="AAJ696" s="81"/>
      <c r="AAK696" s="71"/>
      <c r="AAL696" s="90"/>
    </row>
    <row r="697" spans="1:715" s="552" customFormat="1" ht="24" customHeight="1" outlineLevel="1">
      <c r="A697" s="545"/>
      <c r="B697" s="686" t="str">
        <f>S.General.RulemakingTitle</f>
        <v>Incorporate Lane Regional Air Protection Agency Rules into State Implementation Plan</v>
      </c>
      <c r="C697" s="547" t="s">
        <v>0</v>
      </c>
      <c r="D697" s="547"/>
      <c r="E697" s="559" t="s">
        <v>228</v>
      </c>
      <c r="F697" s="560" t="s">
        <v>226</v>
      </c>
      <c r="G697" s="548" t="s">
        <v>61</v>
      </c>
      <c r="H697" s="548" t="s">
        <v>227</v>
      </c>
      <c r="I697" s="549"/>
      <c r="J697" s="550"/>
      <c r="K697" s="551"/>
      <c r="L697" s="551"/>
      <c r="M697" s="551"/>
      <c r="N697" s="551"/>
      <c r="O697" s="551"/>
      <c r="P697" s="551"/>
      <c r="Q697" s="551"/>
      <c r="R697" s="551"/>
      <c r="S697" s="551"/>
      <c r="T697" s="551"/>
      <c r="U697" s="551"/>
      <c r="V697" s="551"/>
      <c r="W697" s="551"/>
      <c r="X697" s="551"/>
      <c r="Y697" s="551"/>
      <c r="Z697" s="551"/>
      <c r="AA697" s="551"/>
      <c r="AB697" s="551"/>
      <c r="AC697" s="551"/>
      <c r="AD697" s="551"/>
      <c r="AE697" s="551"/>
      <c r="AF697" s="551"/>
      <c r="AG697" s="551"/>
      <c r="AH697" s="551"/>
      <c r="AI697" s="551"/>
      <c r="AJ697" s="551"/>
      <c r="AK697" s="551"/>
      <c r="AL697" s="551"/>
      <c r="AM697" s="551"/>
      <c r="AN697" s="551"/>
      <c r="AO697" s="551"/>
      <c r="AP697" s="551"/>
      <c r="AQ697" s="551"/>
      <c r="AR697" s="551"/>
      <c r="AS697" s="551"/>
      <c r="AT697" s="551"/>
      <c r="AU697" s="551"/>
      <c r="AV697" s="551"/>
      <c r="AW697" s="551"/>
      <c r="AX697" s="551"/>
      <c r="AY697" s="551"/>
      <c r="AZ697" s="551"/>
      <c r="BA697" s="551"/>
      <c r="BB697" s="551"/>
      <c r="BC697" s="551"/>
      <c r="BD697" s="551"/>
      <c r="BE697" s="551"/>
      <c r="BF697" s="551"/>
      <c r="BG697" s="551"/>
      <c r="BH697" s="551"/>
      <c r="BI697" s="551"/>
      <c r="BJ697" s="551"/>
      <c r="BK697" s="551"/>
      <c r="BL697" s="551"/>
      <c r="BM697" s="551"/>
      <c r="BN697" s="551"/>
      <c r="BO697" s="551"/>
      <c r="BP697" s="551"/>
      <c r="BQ697" s="551"/>
      <c r="BR697" s="551"/>
      <c r="BS697" s="551"/>
      <c r="BT697" s="551"/>
      <c r="BU697" s="551"/>
      <c r="BV697" s="551"/>
      <c r="BW697" s="551"/>
      <c r="BX697" s="551"/>
      <c r="BY697" s="551"/>
      <c r="BZ697" s="551"/>
      <c r="CA697" s="551"/>
      <c r="CB697" s="551"/>
      <c r="CC697" s="551"/>
      <c r="CD697" s="551"/>
      <c r="CE697" s="551"/>
      <c r="CF697" s="551"/>
      <c r="CG697" s="551"/>
      <c r="CH697" s="551"/>
      <c r="CI697" s="551"/>
      <c r="CJ697" s="551"/>
      <c r="CK697" s="551"/>
      <c r="CL697" s="551"/>
      <c r="CM697" s="551"/>
      <c r="CN697" s="551"/>
      <c r="CO697" s="551"/>
      <c r="CP697" s="551"/>
      <c r="CQ697" s="551"/>
      <c r="CR697" s="551"/>
      <c r="CS697" s="551"/>
      <c r="CT697" s="551"/>
      <c r="CU697" s="551"/>
      <c r="CV697" s="551"/>
      <c r="CW697" s="551"/>
      <c r="CX697" s="551"/>
      <c r="CY697" s="551"/>
      <c r="CZ697" s="551"/>
      <c r="DA697" s="551"/>
      <c r="DB697" s="551"/>
      <c r="DC697" s="551"/>
      <c r="DD697" s="551"/>
      <c r="DE697" s="551"/>
      <c r="DF697" s="551"/>
      <c r="DG697" s="551"/>
      <c r="DH697" s="551"/>
      <c r="DI697" s="551"/>
      <c r="DJ697" s="551"/>
      <c r="DK697" s="551"/>
      <c r="DL697" s="551"/>
      <c r="DM697" s="551"/>
      <c r="DN697" s="551"/>
      <c r="DO697" s="551"/>
      <c r="DP697" s="551"/>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s="52"/>
      <c r="AAA697" s="770"/>
      <c r="AAD697" s="553"/>
      <c r="AAE697" s="554" t="s">
        <v>63</v>
      </c>
      <c r="AAF697" s="555" t="s">
        <v>52</v>
      </c>
      <c r="AAG697" s="553"/>
      <c r="AAH697" s="553"/>
      <c r="AAI697" s="556"/>
      <c r="AAJ697" s="557"/>
      <c r="AAK697" s="558"/>
      <c r="AAL697" s="553"/>
    </row>
    <row r="698" spans="1:715" ht="18" customHeight="1" outlineLevel="1">
      <c r="A698" s="171"/>
      <c r="B698" s="127"/>
      <c r="C698" s="145" t="s">
        <v>0</v>
      </c>
      <c r="D698" s="128"/>
      <c r="E698" s="140"/>
      <c r="F698" s="162">
        <f>NETWORKDAYS(S.PostEQC.BANNER.Begin,S.PostEQC.BANNER.End,S.DDL_DEQClosed)</f>
        <v>64</v>
      </c>
      <c r="G698" s="247">
        <f>AAG698</f>
        <v>41717</v>
      </c>
      <c r="H698" s="280">
        <f>AAH698</f>
        <v>41807</v>
      </c>
      <c r="I698" s="244"/>
      <c r="J698" s="216"/>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219"/>
      <c r="CQ698" s="219"/>
      <c r="CR698" s="219"/>
      <c r="CS698" s="219"/>
      <c r="CT698" s="219"/>
      <c r="CU698" s="219"/>
      <c r="CV698" s="219"/>
      <c r="CW698" s="219"/>
      <c r="CX698" s="219"/>
      <c r="CY698" s="219"/>
      <c r="CZ698" s="219"/>
      <c r="DA698" s="219"/>
      <c r="DB698" s="219"/>
      <c r="DC698" s="219"/>
      <c r="DD698" s="219"/>
      <c r="DE698" s="219"/>
      <c r="DF698" s="219"/>
      <c r="DG698" s="219"/>
      <c r="DH698" s="219"/>
      <c r="DI698" s="219"/>
      <c r="DJ698" s="219"/>
      <c r="DK698" s="219"/>
      <c r="DL698" s="219"/>
      <c r="DM698" s="219"/>
      <c r="DN698" s="219"/>
      <c r="DO698" s="219"/>
      <c r="DP698" s="219"/>
      <c r="AAA698" s="192" t="s">
        <v>0</v>
      </c>
      <c r="AAD698" s="90"/>
      <c r="AAE698" s="519" t="s">
        <v>63</v>
      </c>
      <c r="AAF698" s="190" t="s">
        <v>52</v>
      </c>
      <c r="AAG698" s="73">
        <f>S.EQC.Meeting</f>
        <v>41717</v>
      </c>
      <c r="AAH698" s="73">
        <f>WORKDAY(S.PostEQC.BANNER.Begin+89,1,S.DDL_DEQClosed)</f>
        <v>41807</v>
      </c>
      <c r="AAI698" s="72"/>
      <c r="AAJ698" s="56"/>
      <c r="AAK698" s="56"/>
      <c r="AAL698" s="90"/>
      <c r="AAM698"/>
    </row>
    <row r="699" spans="1:715" ht="6" customHeight="1" outlineLevel="1">
      <c r="A699" s="171"/>
      <c r="B699" s="120"/>
      <c r="C699" s="112"/>
      <c r="D699" s="230"/>
      <c r="E699" s="113"/>
      <c r="F699" s="113"/>
      <c r="G699" s="112"/>
      <c r="H699" s="112"/>
      <c r="I699" s="244"/>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AAA699" s="192"/>
      <c r="AAD699" s="90"/>
      <c r="AAE699" s="519" t="s">
        <v>17</v>
      </c>
      <c r="AAF699" s="190" t="s">
        <v>52</v>
      </c>
      <c r="AAG699" s="60"/>
      <c r="AAH699" s="60"/>
      <c r="AAI699" s="72"/>
      <c r="AAJ699" s="56"/>
      <c r="AAK699" s="56"/>
      <c r="AAL699" s="90"/>
      <c r="AAM699"/>
    </row>
    <row r="700" spans="1:715" s="23" customFormat="1" ht="12.75" customHeight="1" outlineLevel="1">
      <c r="A700" s="171"/>
      <c r="B700" s="798" t="s">
        <v>506</v>
      </c>
      <c r="C700" s="797" t="str">
        <f>HYPERLINK("","i")</f>
        <v>i</v>
      </c>
      <c r="D700" s="231"/>
      <c r="E700" s="97"/>
      <c r="F700" s="97"/>
      <c r="G700" s="96"/>
      <c r="H700" s="96"/>
      <c r="I700" s="244"/>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ZZ700" s="52"/>
      <c r="AAA700" s="192"/>
      <c r="AAD700" s="90"/>
      <c r="AAE700" s="520" t="s">
        <v>21</v>
      </c>
      <c r="AAF700" s="190" t="s">
        <v>52</v>
      </c>
      <c r="AAG700" s="60"/>
      <c r="AAH700" s="60"/>
      <c r="AAI700" s="82"/>
      <c r="AAJ700" s="82"/>
      <c r="AAK700" s="40"/>
      <c r="AAL700" s="90"/>
    </row>
    <row r="701" spans="1:715" s="23" customFormat="1" ht="18" customHeight="1" outlineLevel="1">
      <c r="A701" s="171"/>
      <c r="B701" s="844" t="s">
        <v>503</v>
      </c>
      <c r="C701" s="844"/>
      <c r="D701" s="844"/>
      <c r="E701" s="844"/>
      <c r="F701" s="844"/>
      <c r="G701" s="844"/>
      <c r="H701" s="844"/>
      <c r="I701" s="244"/>
      <c r="J701" s="194"/>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ZZ701" s="52"/>
      <c r="AAA701" s="192"/>
      <c r="AAD701" s="90"/>
      <c r="AAE701" s="519">
        <f>IF(S.Notice.Involved="Y",1,0)</f>
        <v>1</v>
      </c>
      <c r="AAF701" s="190" t="s">
        <v>52</v>
      </c>
      <c r="AAG701" s="60"/>
      <c r="AAH701" s="60"/>
      <c r="AAI701" s="60"/>
      <c r="AAJ701" s="56"/>
      <c r="AAK701" s="85"/>
      <c r="AAL701" s="90"/>
    </row>
    <row r="702" spans="1:715" s="23" customFormat="1" ht="15" customHeight="1" outlineLevel="1">
      <c r="A702" s="171" t="s">
        <v>0</v>
      </c>
      <c r="B702" s="414" t="str">
        <f>AAK702</f>
        <v>AndreaRW:</v>
      </c>
      <c r="C702" s="346"/>
      <c r="D702" s="421"/>
      <c r="E702" s="350"/>
      <c r="F702" s="350"/>
      <c r="G702" s="346"/>
      <c r="H702" s="346"/>
      <c r="I702" s="655"/>
      <c r="J702" s="194"/>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s="52"/>
      <c r="AAA702" s="192" t="s">
        <v>0</v>
      </c>
      <c r="AAD702" s="90"/>
      <c r="AAE702" s="519">
        <v>1</v>
      </c>
      <c r="AAF702" s="190" t="s">
        <v>52</v>
      </c>
      <c r="AAG702" s="94"/>
      <c r="AAH702" s="94"/>
      <c r="AAI702" s="72"/>
      <c r="AAJ702" s="185"/>
      <c r="AAK702" s="80" t="str">
        <f>S.Staff.Lead&amp;":"</f>
        <v>AndreaRW:</v>
      </c>
      <c r="AAL702" s="90"/>
    </row>
    <row r="703" spans="1:715" ht="15.75" customHeight="1" outlineLevel="1">
      <c r="A703" s="171"/>
      <c r="B703" s="304" t="s">
        <v>260</v>
      </c>
      <c r="C703" s="376" t="s">
        <v>0</v>
      </c>
      <c r="D703" s="428"/>
      <c r="E703"/>
      <c r="F703" s="457">
        <f t="shared" ref="F703:F708" ca="1" si="596">IF(YEAR(H703)&gt;2000,NETWORKDAYS(TODAY(),H703,S.DDL_DEQClosed),0)</f>
        <v>68</v>
      </c>
      <c r="G703"/>
      <c r="H703" s="343">
        <f t="shared" ref="H703:H709" si="597">AAH703</f>
        <v>41717</v>
      </c>
      <c r="I703" s="244"/>
      <c r="J703" s="194"/>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AAA703" s="192"/>
      <c r="AAD703" s="90"/>
      <c r="AAE703" s="519">
        <v>1</v>
      </c>
      <c r="AAF703" s="90"/>
      <c r="AAG703" s="94"/>
      <c r="AAH703" s="73">
        <f t="shared" ref="AAH703:AAH714" si="598">S.PostEQC.BANNER.Begin</f>
        <v>41717</v>
      </c>
      <c r="AAI703" s="72"/>
      <c r="AAJ703" s="56"/>
      <c r="AAK703" s="301"/>
      <c r="AAL703" s="90"/>
      <c r="AAM703"/>
    </row>
    <row r="704" spans="1:715" s="23" customFormat="1" ht="15.75" customHeight="1" outlineLevel="1">
      <c r="A704" s="171"/>
      <c r="B704" s="630" t="s">
        <v>261</v>
      </c>
      <c r="C704" s="376" t="s">
        <v>0</v>
      </c>
      <c r="D704" s="428"/>
      <c r="E704"/>
      <c r="F704" s="457">
        <f t="shared" ca="1" si="596"/>
        <v>68</v>
      </c>
      <c r="G704"/>
      <c r="H704" s="343">
        <f t="shared" ref="H704" si="599">AAH704</f>
        <v>41717</v>
      </c>
      <c r="I704" s="244"/>
      <c r="J704" s="194"/>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s="52"/>
      <c r="AAA704" s="192"/>
      <c r="AAD704" s="90"/>
      <c r="AAE704" s="519">
        <v>1</v>
      </c>
      <c r="AAF704" s="90"/>
      <c r="AAG704" s="94"/>
      <c r="AAH704" s="73">
        <f t="shared" si="598"/>
        <v>41717</v>
      </c>
      <c r="AAI704" s="72"/>
      <c r="AAJ704" s="56"/>
      <c r="AAK704" s="301"/>
      <c r="AAL704" s="90"/>
    </row>
    <row r="705" spans="1:715" s="23" customFormat="1" ht="15.75" customHeight="1" outlineLevel="1">
      <c r="A705" s="171"/>
      <c r="B705" s="370" t="str">
        <f t="shared" ref="B705:B709" si="600">AAK705</f>
        <v>- ADOPTED.RULES.3.19.2014.docx</v>
      </c>
      <c r="C705" s="376" t="s">
        <v>0</v>
      </c>
      <c r="D705" s="428"/>
      <c r="E705"/>
      <c r="F705" s="457">
        <f t="shared" ca="1" si="596"/>
        <v>68</v>
      </c>
      <c r="G705"/>
      <c r="H705" s="343">
        <f t="shared" si="597"/>
        <v>41717</v>
      </c>
      <c r="I705" s="244"/>
      <c r="J705" s="194"/>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s="52"/>
      <c r="AAA705" s="192"/>
      <c r="AAD705" s="90"/>
      <c r="AAE705" s="519">
        <v>1</v>
      </c>
      <c r="AAF705" s="90"/>
      <c r="AAG705" s="94"/>
      <c r="AAH705" s="73">
        <f t="shared" si="598"/>
        <v>41717</v>
      </c>
      <c r="AAI705" s="72"/>
      <c r="AAJ705" s="56"/>
      <c r="AAK705" s="296" t="str">
        <f>"- ADOPTED.RULES."&amp;TEXT(S.EQC.Meeting,"m.d.yyyy")&amp;".docx"</f>
        <v>- ADOPTED.RULES.3.19.2014.docx</v>
      </c>
      <c r="AAL705" s="90"/>
    </row>
    <row r="706" spans="1:715" s="23" customFormat="1" ht="15.75" customHeight="1" outlineLevel="1">
      <c r="A706" s="171"/>
      <c r="B706" s="370" t="str">
        <f t="shared" si="600"/>
        <v>- ADOPTED.REDLINE.RULES.docx</v>
      </c>
      <c r="C706" s="376" t="s">
        <v>0</v>
      </c>
      <c r="D706" s="428"/>
      <c r="E706"/>
      <c r="F706" s="457">
        <f t="shared" ca="1" si="596"/>
        <v>68</v>
      </c>
      <c r="G706"/>
      <c r="H706" s="343">
        <f t="shared" si="597"/>
        <v>41717</v>
      </c>
      <c r="I706" s="244"/>
      <c r="J706" s="194"/>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s="52"/>
      <c r="AAA706" s="192"/>
      <c r="AAD706" s="90"/>
      <c r="AAE706" s="519">
        <v>1</v>
      </c>
      <c r="AAF706" s="90"/>
      <c r="AAG706" s="94"/>
      <c r="AAH706" s="73">
        <f t="shared" si="598"/>
        <v>41717</v>
      </c>
      <c r="AAI706" s="72"/>
      <c r="AAJ706" s="56"/>
      <c r="AAK706" s="296" t="str">
        <f>"- ADOPTED.REDLINE.RULES.docx"</f>
        <v>- ADOPTED.REDLINE.RULES.docx</v>
      </c>
      <c r="AAL706" s="90"/>
    </row>
    <row r="707" spans="1:715" s="23" customFormat="1" ht="15.75" customHeight="1" outlineLevel="1">
      <c r="A707" s="171"/>
      <c r="B707" s="370" t="str">
        <f t="shared" si="600"/>
        <v>- TABLES.FOR.DIVSION.###.docx (1 .docx per division)</v>
      </c>
      <c r="C707" s="376" t="s">
        <v>0</v>
      </c>
      <c r="D707" s="428"/>
      <c r="E707"/>
      <c r="F707" s="457">
        <f t="shared" ca="1" si="596"/>
        <v>68</v>
      </c>
      <c r="G707"/>
      <c r="H707" s="343">
        <f t="shared" si="597"/>
        <v>41717</v>
      </c>
      <c r="I707" s="244"/>
      <c r="J707" s="194"/>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s="52"/>
      <c r="AAA707" s="192"/>
      <c r="AAD707" s="90"/>
      <c r="AAE707" s="519">
        <v>1</v>
      </c>
      <c r="AAF707" s="90"/>
      <c r="AAG707" s="94"/>
      <c r="AAH707" s="73">
        <f t="shared" si="598"/>
        <v>41717</v>
      </c>
      <c r="AAI707" s="72"/>
      <c r="AAJ707" s="56"/>
      <c r="AAK707" s="296" t="str">
        <f>"- TABLES.FOR.DIVSION.###.docx (1 .docx per division)"</f>
        <v>- TABLES.FOR.DIVSION.###.docx (1 .docx per division)</v>
      </c>
      <c r="AAL707" s="90"/>
    </row>
    <row r="708" spans="1:715" s="23" customFormat="1" ht="15.75" customHeight="1" outlineLevel="1">
      <c r="A708" s="171"/>
      <c r="B708" s="370" t="str">
        <f t="shared" si="600"/>
        <v>- TABLES.FOR.DIVISION.###.docx (1 .docx per division), etc.</v>
      </c>
      <c r="C708" s="376" t="s">
        <v>0</v>
      </c>
      <c r="D708" s="428"/>
      <c r="E708"/>
      <c r="F708" s="457">
        <f t="shared" ca="1" si="596"/>
        <v>68</v>
      </c>
      <c r="G708"/>
      <c r="H708" s="343">
        <f t="shared" si="597"/>
        <v>41717</v>
      </c>
      <c r="I708" s="244"/>
      <c r="J708" s="194"/>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s="52"/>
      <c r="AAA708" s="192"/>
      <c r="AAD708" s="90"/>
      <c r="AAE708" s="519">
        <v>1</v>
      </c>
      <c r="AAF708" s="90"/>
      <c r="AAG708" s="94"/>
      <c r="AAH708" s="73">
        <f t="shared" si="598"/>
        <v>41717</v>
      </c>
      <c r="AAI708" s="72"/>
      <c r="AAJ708" s="56"/>
      <c r="AAK708" s="296" t="str">
        <f>"- TABLES.FOR.DIVISION.###.docx (1 .docx per division), etc."</f>
        <v>- TABLES.FOR.DIVISION.###.docx (1 .docx per division), etc.</v>
      </c>
      <c r="AAL708" s="90"/>
    </row>
    <row r="709" spans="1:715" s="23" customFormat="1" ht="15.75" customHeight="1" outlineLevel="1" thickBot="1">
      <c r="A709" s="171"/>
      <c r="B709" s="304" t="str">
        <f t="shared" si="600"/>
        <v>* emails Maggie affirming EQC action and document readiness</v>
      </c>
      <c r="C709" s="376" t="s">
        <v>0</v>
      </c>
      <c r="D709" s="428"/>
      <c r="E709"/>
      <c r="F709" s="457">
        <f t="shared" ref="F709:F714" ca="1" si="601">IF(YEAR(H709)&gt;2000,NETWORKDAYS(TODAY(),H709,S.DDL_DEQClosed),0)</f>
        <v>68</v>
      </c>
      <c r="G709"/>
      <c r="H709" s="343">
        <f t="shared" si="597"/>
        <v>41717</v>
      </c>
      <c r="I709" s="244"/>
      <c r="J709" s="194"/>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s="52"/>
      <c r="AAA709" s="192"/>
      <c r="AAD709" s="90"/>
      <c r="AAE709" s="519">
        <v>1</v>
      </c>
      <c r="AAF709" s="90"/>
      <c r="AAG709" s="94"/>
      <c r="AAH709" s="73">
        <f t="shared" si="598"/>
        <v>41717</v>
      </c>
      <c r="AAI709" s="72"/>
      <c r="AAJ709" s="56"/>
      <c r="AAK709" s="298" t="str">
        <f>"* emails "&amp;S.Staff.AgencyRulesCoordinator&amp;" affirming EQC action and document readiness"</f>
        <v>* emails Maggie affirming EQC action and document readiness</v>
      </c>
      <c r="AAL709" s="90"/>
    </row>
    <row r="710" spans="1:715" ht="15.75" customHeight="1" outlineLevel="1" thickBot="1">
      <c r="A710" s="171"/>
      <c r="B710" s="363" t="s">
        <v>304</v>
      </c>
      <c r="C710" s="377" t="s">
        <v>17</v>
      </c>
      <c r="D710" s="431"/>
      <c r="E710"/>
      <c r="F710" s="457">
        <f t="shared" ca="1" si="601"/>
        <v>68</v>
      </c>
      <c r="G710"/>
      <c r="H710" s="343">
        <f t="shared" ref="H710:H714" si="602">AAH710</f>
        <v>41717</v>
      </c>
      <c r="I710" s="244"/>
      <c r="J710" s="194"/>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AAA710" s="192"/>
      <c r="AAD710" s="90"/>
      <c r="AAE710" s="519">
        <f>IF(S.PostEQC.NotifyStakeholders="N",,1)</f>
        <v>1</v>
      </c>
      <c r="AAF710" s="90" t="s">
        <v>0</v>
      </c>
      <c r="AAG710" s="94"/>
      <c r="AAH710" s="73">
        <f t="shared" si="598"/>
        <v>41717</v>
      </c>
      <c r="AAI710" s="72"/>
      <c r="AAJ710" s="72"/>
      <c r="AAK710" s="57" t="s">
        <v>0</v>
      </c>
      <c r="AAL710" s="90"/>
      <c r="AAM710"/>
    </row>
    <row r="711" spans="1:715" s="23" customFormat="1" ht="15.75" customHeight="1" outlineLevel="1">
      <c r="A711" s="171"/>
      <c r="B711" s="363" t="str">
        <f>AAK711</f>
        <v>* coordinates EPA.SIP.SUBMITAL with AndreaSIP</v>
      </c>
      <c r="C711" s="376" t="s">
        <v>0</v>
      </c>
      <c r="D711" s="380"/>
      <c r="E711"/>
      <c r="F711" s="457">
        <f t="shared" ca="1" si="601"/>
        <v>68</v>
      </c>
      <c r="G711"/>
      <c r="H711" s="343">
        <f t="shared" ref="H711" si="603">AAH711</f>
        <v>41717</v>
      </c>
      <c r="I711" s="244"/>
      <c r="J711" s="194"/>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s="52"/>
      <c r="AAA711" s="192"/>
      <c r="AAB711"/>
      <c r="AAC711"/>
      <c r="AAD711" s="90"/>
      <c r="AAE711" s="520">
        <f>IF(S.SIP.Involved="Y",1,0)</f>
        <v>1</v>
      </c>
      <c r="AAF711" s="90"/>
      <c r="AAG711" s="94"/>
      <c r="AAH711" s="73">
        <f t="shared" si="598"/>
        <v>41717</v>
      </c>
      <c r="AAI711" s="72"/>
      <c r="AAJ711" s="72"/>
      <c r="AAK711" s="80" t="str">
        <f>"* coordinates EPA.SIP.SUBMITAL with "&amp;S.Staff.SIPCo</f>
        <v>* coordinates EPA.SIP.SUBMITAL with AndreaSIP</v>
      </c>
      <c r="AAL711" s="90"/>
    </row>
    <row r="712" spans="1:715" ht="15.75" customHeight="1" outlineLevel="1">
      <c r="A712" s="171"/>
      <c r="B712" s="304" t="str">
        <f>AAK712</f>
        <v>* coordinates AC.THANK.YOU email or letter with MargaretMGR</v>
      </c>
      <c r="C712" s="786" t="str">
        <f>HYPERLINK("\\deqhq1\Rule_Resources\i\AC.THANK.YOU.docx","i")</f>
        <v>i</v>
      </c>
      <c r="D712" s="610"/>
      <c r="E712"/>
      <c r="F712" s="457">
        <f t="shared" ca="1" si="601"/>
        <v>68</v>
      </c>
      <c r="G712"/>
      <c r="H712" s="343">
        <f t="shared" si="602"/>
        <v>41717</v>
      </c>
      <c r="I712" s="244"/>
      <c r="J712" s="194"/>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AAA712" s="192"/>
      <c r="AAD712" s="90"/>
      <c r="AAE712" s="519">
        <f>IF(S.AC.CommitteeInvolved="Y",1,0)</f>
        <v>0</v>
      </c>
      <c r="AAF712" s="90"/>
      <c r="AAG712" s="94"/>
      <c r="AAH712" s="73">
        <f t="shared" si="598"/>
        <v>41717</v>
      </c>
      <c r="AAI712" s="72"/>
      <c r="AAJ712" s="72"/>
      <c r="AAK712" s="80" t="str">
        <f>"* coordinates AC.THANK.YOU email or letter with "&amp;S.Staff.Mgr</f>
        <v>* coordinates AC.THANK.YOU email or letter with MargaretMGR</v>
      </c>
      <c r="AAL712" s="90"/>
      <c r="AAM712"/>
    </row>
    <row r="713" spans="1:715" ht="15.75" customHeight="1" outlineLevel="1">
      <c r="A713" s="171"/>
      <c r="B713" s="304" t="str">
        <f>AAK713</f>
        <v>* coordinates AC.SURVEY with MargaretMGR</v>
      </c>
      <c r="C713" s="785" t="str">
        <f>HYPERLINK("\\deqhq1\Rule_Resources\i\AC.SURVEY.docx","i")</f>
        <v>i</v>
      </c>
      <c r="D713" s="380"/>
      <c r="E713"/>
      <c r="F713" s="457">
        <f t="shared" ca="1" si="601"/>
        <v>68</v>
      </c>
      <c r="G713"/>
      <c r="H713" s="343">
        <f t="shared" si="602"/>
        <v>41717</v>
      </c>
      <c r="I713" s="244"/>
      <c r="J713" s="194"/>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AAA713" s="192"/>
      <c r="AAD713" s="90"/>
      <c r="AAE713" s="519">
        <f>IF(S.AC.CommitteeInvolved="Y",1,0)</f>
        <v>0</v>
      </c>
      <c r="AAF713" s="90"/>
      <c r="AAG713" s="94"/>
      <c r="AAH713" s="73">
        <f t="shared" si="598"/>
        <v>41717</v>
      </c>
      <c r="AAI713" s="72"/>
      <c r="AAJ713" s="72"/>
      <c r="AAK713" s="80" t="str">
        <f>"* coordinates AC.SURVEY with "&amp;S.Staff.Mgr</f>
        <v>* coordinates AC.SURVEY with MargaretMGR</v>
      </c>
      <c r="AAL713" s="90"/>
      <c r="AAM713"/>
    </row>
    <row r="714" spans="1:715" ht="15.75" customHeight="1" outlineLevel="1">
      <c r="A714" s="171"/>
      <c r="B714" s="304" t="s">
        <v>395</v>
      </c>
      <c r="C714" s="376" t="s">
        <v>0</v>
      </c>
      <c r="D714" s="380"/>
      <c r="E714"/>
      <c r="F714" s="457">
        <f t="shared" ca="1" si="601"/>
        <v>68</v>
      </c>
      <c r="G714"/>
      <c r="H714" s="343">
        <f t="shared" si="602"/>
        <v>41717</v>
      </c>
      <c r="I714" s="244"/>
      <c r="J714" s="194"/>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AAA714" s="192"/>
      <c r="AAD714" s="90"/>
      <c r="AAE714" s="519">
        <v>1</v>
      </c>
      <c r="AAF714" s="90"/>
      <c r="AAG714" s="94"/>
      <c r="AAH714" s="73">
        <f t="shared" si="598"/>
        <v>41717</v>
      </c>
      <c r="AAI714" s="72"/>
      <c r="AAJ714" s="72"/>
      <c r="AAK714" s="56" t="s">
        <v>0</v>
      </c>
      <c r="AAL714" s="90"/>
      <c r="AAM714"/>
    </row>
    <row r="715" spans="1:715" s="23" customFormat="1" ht="15" customHeight="1" outlineLevel="1">
      <c r="A715" s="171"/>
      <c r="B715" s="414" t="str">
        <f>AAK715</f>
        <v>AndreaDRC:</v>
      </c>
      <c r="C715" s="420"/>
      <c r="D715" s="421"/>
      <c r="E715" s="350"/>
      <c r="F715" s="350"/>
      <c r="G715" s="420"/>
      <c r="H715" s="420"/>
      <c r="I715" s="244"/>
      <c r="J715" s="194"/>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s="52"/>
      <c r="AAA715" s="192" t="s">
        <v>0</v>
      </c>
      <c r="AAD715" s="90"/>
      <c r="AAE715" s="519">
        <v>1</v>
      </c>
      <c r="AAF715" s="190" t="s">
        <v>52</v>
      </c>
      <c r="AAG715" s="94"/>
      <c r="AAH715" s="94"/>
      <c r="AAI715" s="72"/>
      <c r="AAJ715" s="185"/>
      <c r="AAK715" s="80" t="str">
        <f>S.Staff.DivisionRulesCoordinator&amp;":"</f>
        <v>AndreaDRC:</v>
      </c>
      <c r="AAL715" s="90"/>
    </row>
    <row r="716" spans="1:715" s="23" customFormat="1" ht="15.75" customHeight="1" outlineLevel="1">
      <c r="A716" s="171"/>
      <c r="B716" s="363" t="str">
        <f>AAK716</f>
        <v>* no DAS involvement</v>
      </c>
      <c r="C716" s="358" t="s">
        <v>0</v>
      </c>
      <c r="D716" s="380"/>
      <c r="E716"/>
      <c r="F716" s="457">
        <f ca="1">IF(YEAR(H716)&gt;2000,NETWORKDAYS(TODAY(),H716,S.DDL_DEQClosed),0)</f>
        <v>0</v>
      </c>
      <c r="G716"/>
      <c r="H716" s="343">
        <f>AAH716</f>
        <v>0</v>
      </c>
      <c r="I716" s="245"/>
      <c r="J716" s="222"/>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c r="AT716" s="223"/>
      <c r="AU716" s="223"/>
      <c r="AV716" s="223"/>
      <c r="AW716" s="223"/>
      <c r="AX716" s="223"/>
      <c r="AY716" s="223"/>
      <c r="AZ716" s="223"/>
      <c r="BA716" s="223"/>
      <c r="BB716" s="223"/>
      <c r="BC716" s="223"/>
      <c r="BD716" s="223"/>
      <c r="BE716" s="223"/>
      <c r="BF716" s="223"/>
      <c r="BG716" s="223"/>
      <c r="BH716" s="223"/>
      <c r="BI716" s="223"/>
      <c r="BJ716" s="223"/>
      <c r="BK716" s="223"/>
      <c r="BL716" s="223"/>
      <c r="BM716" s="223"/>
      <c r="BN716" s="223"/>
      <c r="BO716" s="223"/>
      <c r="BP716" s="223"/>
      <c r="BQ716" s="223"/>
      <c r="BR716" s="223"/>
      <c r="BS716" s="223"/>
      <c r="BT716" s="223"/>
      <c r="BU716" s="223"/>
      <c r="BV716" s="223"/>
      <c r="BW716" s="223"/>
      <c r="BX716" s="223"/>
      <c r="BY716" s="223"/>
      <c r="BZ716" s="223"/>
      <c r="CA716" s="223"/>
      <c r="CB716" s="223"/>
      <c r="CC716" s="223"/>
      <c r="CD716" s="223"/>
      <c r="CE716" s="223"/>
      <c r="CF716" s="223"/>
      <c r="CG716" s="223"/>
      <c r="CH716" s="223"/>
      <c r="CI716" s="223"/>
      <c r="CJ716" s="223"/>
      <c r="CK716" s="223"/>
      <c r="CL716" s="223"/>
      <c r="CM716" s="223"/>
      <c r="CN716" s="223"/>
      <c r="CO716" s="223"/>
      <c r="CP716" s="223"/>
      <c r="CQ716" s="223"/>
      <c r="CR716" s="223"/>
      <c r="CS716" s="223"/>
      <c r="CT716" s="223"/>
      <c r="CU716" s="223"/>
      <c r="CV716" s="223"/>
      <c r="CW716" s="223"/>
      <c r="CX716" s="223"/>
      <c r="CY716" s="223"/>
      <c r="CZ716" s="223"/>
      <c r="DA716" s="223"/>
      <c r="DB716" s="223"/>
      <c r="DC716" s="223"/>
      <c r="DD716" s="223"/>
      <c r="DE716" s="223"/>
      <c r="DF716" s="223"/>
      <c r="DG716" s="223"/>
      <c r="DH716" s="223"/>
      <c r="DI716" s="223"/>
      <c r="DJ716" s="223"/>
      <c r="DK716" s="223"/>
      <c r="DL716" s="223"/>
      <c r="DM716" s="223"/>
      <c r="DN716" s="223"/>
      <c r="DO716" s="223"/>
      <c r="DP716" s="223"/>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s="52"/>
      <c r="AAA716" s="192"/>
      <c r="AAD716" s="90"/>
      <c r="AAE716" s="519">
        <f>IF(S.Fee.Involved="Y",1,0)</f>
        <v>0</v>
      </c>
      <c r="AAF716" s="90" t="s">
        <v>0</v>
      </c>
      <c r="AAG716" s="94"/>
      <c r="AAH716" s="73">
        <f>IF(AAE716=0,,S.PostEQC.BANNER.Begin)</f>
        <v>0</v>
      </c>
      <c r="AAI716" s="72"/>
      <c r="AAJ716" s="72"/>
      <c r="AAK716" s="297" t="str">
        <f>IF(S.Fee.DASApprovalRequired="Y","* submits Part 2 of signed DAS approval within 10 days of effective date",IF(S.Fee.Involved="Y","* prepares and emails DAS notification for fees that don't require approval","* no DAS involvement"))</f>
        <v>* no DAS involvement</v>
      </c>
      <c r="AAL716" s="90"/>
    </row>
    <row r="717" spans="1:715" s="23" customFormat="1" ht="15" outlineLevel="1">
      <c r="A717" s="171"/>
      <c r="B717" s="363" t="str">
        <f t="shared" ref="B717" si="604">AAK717</f>
        <v>* no DAS involvement</v>
      </c>
      <c r="C717" s="358" t="s">
        <v>0</v>
      </c>
      <c r="D717" s="380"/>
      <c r="E717"/>
      <c r="F717" s="457">
        <f ca="1">IF(YEAR(H717)&gt;2000,NETWORKDAYS(TODAY(),H717,S.DDL_DEQClosed),0)</f>
        <v>0</v>
      </c>
      <c r="G717"/>
      <c r="H717" s="343">
        <f t="shared" ref="H717" si="605">AAH717</f>
        <v>0</v>
      </c>
      <c r="I717" s="245"/>
      <c r="J717" s="222"/>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c r="AY717" s="223"/>
      <c r="AZ717" s="223"/>
      <c r="BA717" s="223"/>
      <c r="BB717" s="223"/>
      <c r="BC717" s="223"/>
      <c r="BD717" s="223"/>
      <c r="BE717" s="223"/>
      <c r="BF717" s="223"/>
      <c r="BG717" s="223"/>
      <c r="BH717" s="223"/>
      <c r="BI717" s="223"/>
      <c r="BJ717" s="223"/>
      <c r="BK717" s="223"/>
      <c r="BL717" s="223"/>
      <c r="BM717" s="223"/>
      <c r="BN717" s="223"/>
      <c r="BO717" s="223"/>
      <c r="BP717" s="223"/>
      <c r="BQ717" s="223"/>
      <c r="BR717" s="223"/>
      <c r="BS717" s="223"/>
      <c r="BT717" s="223"/>
      <c r="BU717" s="223"/>
      <c r="BV717" s="223"/>
      <c r="BW717" s="223"/>
      <c r="BX717" s="223"/>
      <c r="BY717" s="223"/>
      <c r="BZ717" s="223"/>
      <c r="CA717" s="223"/>
      <c r="CB717" s="223"/>
      <c r="CC717" s="223"/>
      <c r="CD717" s="223"/>
      <c r="CE717" s="223"/>
      <c r="CF717" s="223"/>
      <c r="CG717" s="223"/>
      <c r="CH717" s="223"/>
      <c r="CI717" s="223"/>
      <c r="CJ717" s="223"/>
      <c r="CK717" s="223"/>
      <c r="CL717" s="223"/>
      <c r="CM717" s="223"/>
      <c r="CN717" s="223"/>
      <c r="CO717" s="223"/>
      <c r="CP717" s="223"/>
      <c r="CQ717" s="223"/>
      <c r="CR717" s="223"/>
      <c r="CS717" s="223"/>
      <c r="CT717" s="223"/>
      <c r="CU717" s="223"/>
      <c r="CV717" s="223"/>
      <c r="CW717" s="223"/>
      <c r="CX717" s="223"/>
      <c r="CY717" s="223"/>
      <c r="CZ717" s="223"/>
      <c r="DA717" s="223"/>
      <c r="DB717" s="223"/>
      <c r="DC717" s="223"/>
      <c r="DD717" s="223"/>
      <c r="DE717" s="223"/>
      <c r="DF717" s="223"/>
      <c r="DG717" s="223"/>
      <c r="DH717" s="223"/>
      <c r="DI717" s="223"/>
      <c r="DJ717" s="223"/>
      <c r="DK717" s="223"/>
      <c r="DL717" s="223"/>
      <c r="DM717" s="223"/>
      <c r="DN717" s="223"/>
      <c r="DO717" s="223"/>
      <c r="DP717" s="223"/>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s="52"/>
      <c r="AAA717" s="192"/>
      <c r="AAD717" s="90"/>
      <c r="AAE717" s="519">
        <f>IF(S.Fee.Involved="Y",1,0)</f>
        <v>0</v>
      </c>
      <c r="AAF717" s="90" t="s">
        <v>0</v>
      </c>
      <c r="AAG717" s="94"/>
      <c r="AAH717" s="73">
        <f>IF(AAE717=0,,S.PostEQC.BANNER.Begin)</f>
        <v>0</v>
      </c>
      <c r="AAI717" s="72"/>
      <c r="AAJ717" s="72"/>
      <c r="AAK717" s="297" t="str">
        <f>IF(S.Fee.DASApprovalRequired="Y","* scans/saves as Rule_Development|7-PostEQC|DAS.PART2.pdf",IF(S.Fee.Involved="Y","* drafts email DAS notification for fees that don't require approval","* no DAS involvement"))</f>
        <v>* no DAS involvement</v>
      </c>
      <c r="AAL717" s="90"/>
    </row>
    <row r="718" spans="1:715" s="23" customFormat="1" ht="15" outlineLevel="1">
      <c r="A718" s="171"/>
      <c r="B718" s="363" t="str">
        <f t="shared" ref="B718" si="606">AAK718</f>
        <v>* no DAS involvement</v>
      </c>
      <c r="C718" s="358" t="s">
        <v>0</v>
      </c>
      <c r="D718" s="380"/>
      <c r="E718"/>
      <c r="F718" s="457">
        <f ca="1">IF(YEAR(H718)&gt;2000,NETWORKDAYS(TODAY(),H718,S.DDL_DEQClosed),0)</f>
        <v>0</v>
      </c>
      <c r="G718"/>
      <c r="H718" s="343">
        <f t="shared" ref="H718" si="607">AAH718</f>
        <v>0</v>
      </c>
      <c r="I718" s="245"/>
      <c r="J718" s="222"/>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c r="AT718" s="223"/>
      <c r="AU718" s="223"/>
      <c r="AV718" s="223"/>
      <c r="AW718" s="223"/>
      <c r="AX718" s="223"/>
      <c r="AY718" s="223"/>
      <c r="AZ718" s="223"/>
      <c r="BA718" s="223"/>
      <c r="BB718" s="223"/>
      <c r="BC718" s="223"/>
      <c r="BD718" s="223"/>
      <c r="BE718" s="223"/>
      <c r="BF718" s="223"/>
      <c r="BG718" s="223"/>
      <c r="BH718" s="223"/>
      <c r="BI718" s="223"/>
      <c r="BJ718" s="223"/>
      <c r="BK718" s="223"/>
      <c r="BL718" s="223"/>
      <c r="BM718" s="223"/>
      <c r="BN718" s="223"/>
      <c r="BO718" s="223"/>
      <c r="BP718" s="223"/>
      <c r="BQ718" s="223"/>
      <c r="BR718" s="223"/>
      <c r="BS718" s="223"/>
      <c r="BT718" s="223"/>
      <c r="BU718" s="223"/>
      <c r="BV718" s="223"/>
      <c r="BW718" s="223"/>
      <c r="BX718" s="223"/>
      <c r="BY718" s="223"/>
      <c r="BZ718" s="223"/>
      <c r="CA718" s="223"/>
      <c r="CB718" s="223"/>
      <c r="CC718" s="223"/>
      <c r="CD718" s="223"/>
      <c r="CE718" s="223"/>
      <c r="CF718" s="223"/>
      <c r="CG718" s="223"/>
      <c r="CH718" s="223"/>
      <c r="CI718" s="223"/>
      <c r="CJ718" s="223"/>
      <c r="CK718" s="223"/>
      <c r="CL718" s="223"/>
      <c r="CM718" s="223"/>
      <c r="CN718" s="223"/>
      <c r="CO718" s="223"/>
      <c r="CP718" s="223"/>
      <c r="CQ718" s="223"/>
      <c r="CR718" s="223"/>
      <c r="CS718" s="223"/>
      <c r="CT718" s="223"/>
      <c r="CU718" s="223"/>
      <c r="CV718" s="223"/>
      <c r="CW718" s="223"/>
      <c r="CX718" s="223"/>
      <c r="CY718" s="223"/>
      <c r="CZ718" s="223"/>
      <c r="DA718" s="223"/>
      <c r="DB718" s="223"/>
      <c r="DC718" s="223"/>
      <c r="DD718" s="223"/>
      <c r="DE718" s="223"/>
      <c r="DF718" s="223"/>
      <c r="DG718" s="223"/>
      <c r="DH718" s="223"/>
      <c r="DI718" s="223"/>
      <c r="DJ718" s="223"/>
      <c r="DK718" s="223"/>
      <c r="DL718" s="223"/>
      <c r="DM718" s="223"/>
      <c r="DN718" s="223"/>
      <c r="DO718" s="223"/>
      <c r="DP718" s="223"/>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s="52"/>
      <c r="AAA718" s="192"/>
      <c r="AAD718" s="90"/>
      <c r="AAE718" s="519">
        <f>IF(S.Fee.Involved="Y",1,0)</f>
        <v>0</v>
      </c>
      <c r="AAF718" s="90" t="s">
        <v>0</v>
      </c>
      <c r="AAG718" s="94"/>
      <c r="AAH718" s="73">
        <f>IF(AAE718=0,,S.PostEQC.BANNER.Begin)</f>
        <v>0</v>
      </c>
      <c r="AAI718" s="72"/>
      <c r="AAJ718" s="72"/>
      <c r="AAK718" s="297" t="str">
        <f>IF(S.Fee.DASApprovalRequired="Y","* emails DAS.PART2.pdf to DAS (requests delivery receipt)",IF(S.Fee.Involved="Y","* emails DAS.NOTIFICATION to DAS (requests delivery receipt) ","* no DAS involvement"))</f>
        <v>* no DAS involvement</v>
      </c>
      <c r="AAL718" s="90"/>
    </row>
    <row r="719" spans="1:715" s="23" customFormat="1" ht="15.75" customHeight="1" outlineLevel="1">
      <c r="A719" s="171"/>
      <c r="B719" s="363" t="str">
        <f t="shared" ref="B719" si="608">AAK719</f>
        <v>* no DAS involvement</v>
      </c>
      <c r="C719" s="358" t="s">
        <v>0</v>
      </c>
      <c r="D719" s="380"/>
      <c r="E719"/>
      <c r="F719" s="457">
        <f ca="1">IF(YEAR(H719)&gt;2000,NETWORKDAYS(TODAY(),H719,S.DDL_DEQClosed),0)</f>
        <v>0</v>
      </c>
      <c r="G719"/>
      <c r="H719" s="343">
        <f t="shared" ref="H719" si="609">AAH719</f>
        <v>0</v>
      </c>
      <c r="I719" s="245"/>
      <c r="J719" s="222"/>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c r="AT719" s="223"/>
      <c r="AU719" s="223"/>
      <c r="AV719" s="223"/>
      <c r="AW719" s="223"/>
      <c r="AX719" s="223"/>
      <c r="AY719" s="223"/>
      <c r="AZ719" s="223"/>
      <c r="BA719" s="223"/>
      <c r="BB719" s="223"/>
      <c r="BC719" s="223"/>
      <c r="BD719" s="223"/>
      <c r="BE719" s="223"/>
      <c r="BF719" s="223"/>
      <c r="BG719" s="223"/>
      <c r="BH719" s="223"/>
      <c r="BI719" s="223"/>
      <c r="BJ719" s="223"/>
      <c r="BK719" s="223"/>
      <c r="BL719" s="223"/>
      <c r="BM719" s="223"/>
      <c r="BN719" s="223"/>
      <c r="BO719" s="223"/>
      <c r="BP719" s="223"/>
      <c r="BQ719" s="223"/>
      <c r="BR719" s="223"/>
      <c r="BS719" s="223"/>
      <c r="BT719" s="223"/>
      <c r="BU719" s="223"/>
      <c r="BV719" s="223"/>
      <c r="BW719" s="223"/>
      <c r="BX719" s="223"/>
      <c r="BY719" s="223"/>
      <c r="BZ719" s="223"/>
      <c r="CA719" s="223"/>
      <c r="CB719" s="223"/>
      <c r="CC719" s="223"/>
      <c r="CD719" s="223"/>
      <c r="CE719" s="223"/>
      <c r="CF719" s="223"/>
      <c r="CG719" s="223"/>
      <c r="CH719" s="223"/>
      <c r="CI719" s="223"/>
      <c r="CJ719" s="223"/>
      <c r="CK719" s="223"/>
      <c r="CL719" s="223"/>
      <c r="CM719" s="223"/>
      <c r="CN719" s="223"/>
      <c r="CO719" s="223"/>
      <c r="CP719" s="223"/>
      <c r="CQ719" s="223"/>
      <c r="CR719" s="223"/>
      <c r="CS719" s="223"/>
      <c r="CT719" s="223"/>
      <c r="CU719" s="223"/>
      <c r="CV719" s="223"/>
      <c r="CW719" s="223"/>
      <c r="CX719" s="223"/>
      <c r="CY719" s="223"/>
      <c r="CZ719" s="223"/>
      <c r="DA719" s="223"/>
      <c r="DB719" s="223"/>
      <c r="DC719" s="223"/>
      <c r="DD719" s="223"/>
      <c r="DE719" s="223"/>
      <c r="DF719" s="223"/>
      <c r="DG719" s="223"/>
      <c r="DH719" s="223"/>
      <c r="DI719" s="223"/>
      <c r="DJ719" s="223"/>
      <c r="DK719" s="223"/>
      <c r="DL719" s="223"/>
      <c r="DM719" s="223"/>
      <c r="DN719" s="223"/>
      <c r="DO719" s="223"/>
      <c r="DP719" s="223"/>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s="52"/>
      <c r="AAA719" s="192"/>
      <c r="AAD719" s="90"/>
      <c r="AAE719" s="519">
        <f>IF(S.Fee.Involved="Y",1,0)</f>
        <v>0</v>
      </c>
      <c r="AAF719" s="90" t="s">
        <v>0</v>
      </c>
      <c r="AAG719" s="94"/>
      <c r="AAH719" s="73">
        <f>IF(AAE719=0,,S.PostEQC.BANNER.Begin)</f>
        <v>0</v>
      </c>
      <c r="AAI719" s="72"/>
      <c r="AAJ719" s="72"/>
      <c r="AAK719" s="297" t="str">
        <f>IF(S.Fee.DASApprovalRequired="Y","* saves receipts as Rule_Dev.|7-PostEQC|PROOF.DAS.DELIVERY.pdf",IF(S.Fee.Involved="Y","* saves reciepts as Rule_Dev.|7-PostEQC|PROOF.DAS.DELIVERY.pdf","* no DAS involvement"))</f>
        <v>* no DAS involvement</v>
      </c>
      <c r="AAL719" s="90"/>
    </row>
    <row r="720" spans="1:715" s="23" customFormat="1" ht="15" customHeight="1" outlineLevel="1">
      <c r="A720" s="171"/>
      <c r="B720" s="300" t="str">
        <f>AAK720</f>
        <v>Maggie:</v>
      </c>
      <c r="C720" s="409"/>
      <c r="D720" s="430"/>
      <c r="E720" s="350"/>
      <c r="F720" s="350"/>
      <c r="G720" s="346"/>
      <c r="H720" s="346"/>
      <c r="I720" s="244"/>
      <c r="J720" s="199"/>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s="52"/>
      <c r="AAA720" s="192"/>
      <c r="AAD720" s="90"/>
      <c r="AAE720" s="519">
        <v>1</v>
      </c>
      <c r="AAF720" s="190" t="s">
        <v>52</v>
      </c>
      <c r="AAG720" s="60"/>
      <c r="AAH720" s="60"/>
      <c r="AAI720" s="60"/>
      <c r="AAJ720" s="74"/>
      <c r="AAK720" s="299" t="str">
        <f>S.Staff.AgencyRulesCoordinator&amp;":"</f>
        <v>Maggie:</v>
      </c>
      <c r="AAL720" s="90"/>
    </row>
    <row r="721" spans="1:715" ht="15" customHeight="1" outlineLevel="1">
      <c r="A721" s="171"/>
      <c r="B721" s="303" t="s">
        <v>174</v>
      </c>
      <c r="C721" s="787" t="str">
        <f>HYPERLINK("http://arcweb.sos.state.or.us/pages/rules/resources/fileonline.html","i")</f>
        <v>i</v>
      </c>
      <c r="D721" s="511"/>
      <c r="E721"/>
      <c r="F721" s="457">
        <f ca="1">IF(YEAR(H721)&gt;2000,NETWORKDAYS(TODAY(),H721,S.DDL_DEQClosed),0)</f>
        <v>70</v>
      </c>
      <c r="G721"/>
      <c r="H721" s="351">
        <f t="shared" ref="H721:H733" si="610">AAH721</f>
        <v>41719</v>
      </c>
      <c r="I721" s="244"/>
      <c r="J721" s="194"/>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AAA721" s="192"/>
      <c r="AAD721" s="90"/>
      <c r="AAE721" s="519">
        <v>1</v>
      </c>
      <c r="AAF721" s="90"/>
      <c r="AAG721" s="60"/>
      <c r="AAH721" s="73">
        <f>S.PostEQC.FileRuleWithSOS</f>
        <v>41719</v>
      </c>
      <c r="AAI721" s="72"/>
      <c r="AAJ721" s="74"/>
      <c r="AAK721" s="56"/>
      <c r="AAL721" s="90"/>
      <c r="AAM721"/>
    </row>
    <row r="722" spans="1:715" s="23" customFormat="1" ht="15" customHeight="1" outlineLevel="1">
      <c r="A722" s="171"/>
      <c r="B722" s="630" t="s">
        <v>218</v>
      </c>
      <c r="C722" s="420"/>
      <c r="D722" s="434"/>
      <c r="E722" s="350"/>
      <c r="F722" s="350"/>
      <c r="G722" s="420"/>
      <c r="H722" s="420"/>
      <c r="I722" s="244"/>
      <c r="J722" s="194"/>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s="52"/>
      <c r="AAA722" s="192"/>
      <c r="AAD722" s="90"/>
      <c r="AAE722" s="519">
        <v>1</v>
      </c>
      <c r="AAF722" s="190" t="s">
        <v>52</v>
      </c>
      <c r="AAG722" s="84"/>
      <c r="AAH722" s="84"/>
      <c r="AAI722" s="72"/>
      <c r="AAJ722" s="74"/>
      <c r="AAK722" s="53"/>
      <c r="AAL722" s="90"/>
    </row>
    <row r="723" spans="1:715" s="23" customFormat="1" ht="15" customHeight="1" outlineLevel="1">
      <c r="A723" s="171"/>
      <c r="B723" s="630" t="s">
        <v>219</v>
      </c>
      <c r="C723" s="420"/>
      <c r="D723" s="434"/>
      <c r="E723" s="350"/>
      <c r="F723" s="350"/>
      <c r="G723" s="420"/>
      <c r="H723" s="420"/>
      <c r="I723" s="244"/>
      <c r="J723" s="194"/>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s="52"/>
      <c r="AAA723" s="192"/>
      <c r="AAD723" s="90"/>
      <c r="AAE723" s="519">
        <v>1</v>
      </c>
      <c r="AAF723" s="190" t="s">
        <v>52</v>
      </c>
      <c r="AAG723" s="84"/>
      <c r="AAH723" s="84"/>
      <c r="AAI723" s="72"/>
      <c r="AAJ723" s="74"/>
      <c r="AAK723" s="53"/>
      <c r="AAL723" s="90"/>
    </row>
    <row r="724" spans="1:715" s="23" customFormat="1" ht="15" customHeight="1" outlineLevel="1">
      <c r="A724" s="171"/>
      <c r="B724" s="630" t="s">
        <v>221</v>
      </c>
      <c r="C724" s="420"/>
      <c r="D724" s="434"/>
      <c r="E724" s="350"/>
      <c r="F724" s="350"/>
      <c r="G724" s="420"/>
      <c r="H724" s="420"/>
      <c r="I724" s="244"/>
      <c r="J724" s="194"/>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s="52"/>
      <c r="AAA724" s="192"/>
      <c r="AAD724" s="90"/>
      <c r="AAE724" s="519">
        <v>1</v>
      </c>
      <c r="AAF724" s="190" t="s">
        <v>52</v>
      </c>
      <c r="AAG724" s="84"/>
      <c r="AAH724" s="84"/>
      <c r="AAI724" s="72"/>
      <c r="AAJ724" s="74"/>
      <c r="AAK724" s="53"/>
      <c r="AAL724" s="90"/>
    </row>
    <row r="725" spans="1:715" s="23" customFormat="1" ht="15" customHeight="1" outlineLevel="1">
      <c r="A725" s="171"/>
      <c r="B725" s="630" t="s">
        <v>221</v>
      </c>
      <c r="C725" s="420"/>
      <c r="D725" s="434"/>
      <c r="E725" s="350"/>
      <c r="F725" s="350"/>
      <c r="G725" s="420"/>
      <c r="H725" s="420"/>
      <c r="I725" s="244"/>
      <c r="J725" s="194"/>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s="52"/>
      <c r="AAA725" s="192"/>
      <c r="AAD725" s="90"/>
      <c r="AAE725" s="519">
        <v>1</v>
      </c>
      <c r="AAF725" s="190" t="s">
        <v>52</v>
      </c>
      <c r="AAG725" s="84"/>
      <c r="AAH725" s="84"/>
      <c r="AAI725" s="72"/>
      <c r="AAJ725" s="74"/>
      <c r="AAK725" s="53"/>
      <c r="AAL725" s="90"/>
    </row>
    <row r="726" spans="1:715" s="23" customFormat="1" ht="15" customHeight="1" outlineLevel="1">
      <c r="A726" s="171"/>
      <c r="B726" s="630" t="s">
        <v>220</v>
      </c>
      <c r="C726" s="420"/>
      <c r="D726" s="434"/>
      <c r="E726" s="350"/>
      <c r="F726" s="350"/>
      <c r="G726" s="420"/>
      <c r="H726" s="420"/>
      <c r="I726" s="244"/>
      <c r="J726" s="194"/>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s="52"/>
      <c r="AAA726" s="192"/>
      <c r="AAD726" s="90"/>
      <c r="AAE726" s="519">
        <v>1</v>
      </c>
      <c r="AAF726" s="190" t="s">
        <v>52</v>
      </c>
      <c r="AAG726" s="84"/>
      <c r="AAH726" s="84"/>
      <c r="AAI726" s="72"/>
      <c r="AAJ726" s="74"/>
      <c r="AAK726" s="53"/>
      <c r="AAL726" s="90"/>
    </row>
    <row r="727" spans="1:715" s="23" customFormat="1" ht="15" customHeight="1" outlineLevel="1" thickBot="1">
      <c r="A727" s="171"/>
      <c r="B727" s="426" t="s">
        <v>51</v>
      </c>
      <c r="C727" s="375"/>
      <c r="D727"/>
      <c r="E727"/>
      <c r="F727" s="457">
        <f ca="1">IF(YEAR(H727)&gt;2000,NETWORKDAYS(TODAY(),H727,S.DDL_DEQClosed),0)</f>
        <v>70</v>
      </c>
      <c r="G727"/>
      <c r="H727" s="343">
        <f t="shared" si="610"/>
        <v>41719</v>
      </c>
      <c r="I727" s="244"/>
      <c r="J727" s="194"/>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s="52"/>
      <c r="AAA727" s="192"/>
      <c r="AAB727"/>
      <c r="AAC727"/>
      <c r="AAD727" s="90"/>
      <c r="AAE727" s="519">
        <v>1</v>
      </c>
      <c r="AAF727" s="90"/>
      <c r="AAG727" s="84"/>
      <c r="AAH727" s="73">
        <f>S.PostEQC.RuleEffective</f>
        <v>41719</v>
      </c>
      <c r="AAI727" s="72"/>
      <c r="AAJ727" s="72"/>
      <c r="AAK727" s="56"/>
      <c r="AAL727" s="90"/>
    </row>
    <row r="728" spans="1:715" s="23" customFormat="1" ht="15" customHeight="1" outlineLevel="1" thickBot="1">
      <c r="A728" s="171"/>
      <c r="B728" s="303" t="s">
        <v>184</v>
      </c>
      <c r="C728" s="787" t="str">
        <f>HYPERLINK("http://www.lc.state.or.us/arrs.htm","i")</f>
        <v>i</v>
      </c>
      <c r="D728" s="610"/>
      <c r="E728"/>
      <c r="F728" s="457">
        <f ca="1">IF(YEAR(H728)&gt;2000,NETWORKDAYS(TODAY(),H728,S.DDL_DEQClosed),0)</f>
        <v>70</v>
      </c>
      <c r="G728"/>
      <c r="H728" s="347">
        <f t="shared" si="610"/>
        <v>41719</v>
      </c>
      <c r="I728" s="244"/>
      <c r="J728" s="194"/>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s="52"/>
      <c r="AAA728" s="192"/>
      <c r="AAD728" s="90"/>
      <c r="AAE728" s="519">
        <v>1</v>
      </c>
      <c r="AAF728" s="90"/>
      <c r="AAG728" s="84"/>
      <c r="AAH728" s="73">
        <f>S.PostEQC.FileRuleWithSOS</f>
        <v>41719</v>
      </c>
      <c r="AAI728" s="72"/>
      <c r="AAJ728" s="74"/>
      <c r="AAK728" s="56"/>
      <c r="AAL728" s="90"/>
    </row>
    <row r="729" spans="1:715" s="23" customFormat="1" ht="15" customHeight="1" outlineLevel="1">
      <c r="A729" s="171"/>
      <c r="B729" s="630" t="s">
        <v>262</v>
      </c>
      <c r="C729" s="420"/>
      <c r="D729" s="434"/>
      <c r="E729" s="350"/>
      <c r="F729" s="350"/>
      <c r="G729" s="420"/>
      <c r="H729" s="420"/>
      <c r="I729" s="244"/>
      <c r="J729" s="194"/>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s="52"/>
      <c r="AAA729" s="192"/>
      <c r="AAD729" s="90"/>
      <c r="AAE729" s="519">
        <v>1</v>
      </c>
      <c r="AAF729" s="190" t="s">
        <v>52</v>
      </c>
      <c r="AAG729" s="84"/>
      <c r="AAH729" s="84"/>
      <c r="AAI729" s="72"/>
      <c r="AAJ729" s="74"/>
      <c r="AAK729" s="53"/>
      <c r="AAL729" s="90"/>
    </row>
    <row r="730" spans="1:715" s="23" customFormat="1" ht="15" customHeight="1" outlineLevel="1">
      <c r="A730" s="171"/>
      <c r="B730" s="630" t="s">
        <v>222</v>
      </c>
      <c r="C730" s="420"/>
      <c r="D730" s="434"/>
      <c r="E730" s="350"/>
      <c r="F730" s="350"/>
      <c r="G730" s="420"/>
      <c r="H730" s="420"/>
      <c r="I730" s="244"/>
      <c r="J730" s="194"/>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s="52"/>
      <c r="AAA730" s="192"/>
      <c r="AAD730" s="90"/>
      <c r="AAE730" s="519">
        <v>1</v>
      </c>
      <c r="AAF730" s="190" t="s">
        <v>52</v>
      </c>
      <c r="AAG730" s="84"/>
      <c r="AAH730" s="84"/>
      <c r="AAI730" s="72"/>
      <c r="AAJ730" s="74"/>
      <c r="AAK730" s="53"/>
      <c r="AAL730" s="90"/>
    </row>
    <row r="731" spans="1:715" s="23" customFormat="1" ht="15" customHeight="1" outlineLevel="1">
      <c r="A731" s="171"/>
      <c r="B731" s="630" t="s">
        <v>263</v>
      </c>
      <c r="C731" s="420"/>
      <c r="D731" s="434"/>
      <c r="E731" s="350"/>
      <c r="F731" s="350"/>
      <c r="G731" s="420"/>
      <c r="H731" s="420"/>
      <c r="I731" s="244"/>
      <c r="J731" s="194"/>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s="52"/>
      <c r="AAA731" s="192"/>
      <c r="AAD731" s="90"/>
      <c r="AAE731" s="519">
        <v>1</v>
      </c>
      <c r="AAF731" s="190" t="s">
        <v>52</v>
      </c>
      <c r="AAG731" s="84"/>
      <c r="AAH731" s="84"/>
      <c r="AAI731" s="72"/>
      <c r="AAJ731" s="74"/>
      <c r="AAK731" s="53"/>
      <c r="AAL731" s="90"/>
    </row>
    <row r="732" spans="1:715" s="23" customFormat="1" ht="15" customHeight="1" outlineLevel="1" thickBot="1">
      <c r="A732" s="171"/>
      <c r="B732" s="526" t="s">
        <v>264</v>
      </c>
      <c r="C732" s="420"/>
      <c r="D732" s="434"/>
      <c r="E732" s="350"/>
      <c r="F732" s="350"/>
      <c r="G732" s="420"/>
      <c r="H732" s="420"/>
      <c r="I732" s="244"/>
      <c r="J732" s="194"/>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s="52"/>
      <c r="AAA732" s="192"/>
      <c r="AAD732" s="90"/>
      <c r="AAE732" s="519">
        <v>1</v>
      </c>
      <c r="AAF732" s="190" t="s">
        <v>52</v>
      </c>
      <c r="AAG732" s="84"/>
      <c r="AAH732" s="84"/>
      <c r="AAI732" s="72"/>
      <c r="AAJ732" s="74"/>
      <c r="AAK732" s="53"/>
      <c r="AAL732" s="90"/>
    </row>
    <row r="733" spans="1:715" s="23" customFormat="1" ht="15" customHeight="1" outlineLevel="1" thickBot="1">
      <c r="A733" s="171"/>
      <c r="B733" s="304" t="s">
        <v>175</v>
      </c>
      <c r="C733" s="513" t="str">
        <f>HYPERLINK("http://oarnoticefilings.sos.state.or.us","i")</f>
        <v>i</v>
      </c>
      <c r="D733" s="433"/>
      <c r="E733"/>
      <c r="F733" s="457">
        <f ca="1">IF(YEAR(H733)&gt;2000,NETWORKDAYS(TODAY(),H733,S.DDL_DEQClosed),0)</f>
        <v>70</v>
      </c>
      <c r="G733"/>
      <c r="H733" s="343">
        <f t="shared" si="610"/>
        <v>41719</v>
      </c>
      <c r="I733" s="244"/>
      <c r="J733" s="194"/>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s="52"/>
      <c r="AAA733" s="192"/>
      <c r="AAD733" s="90"/>
      <c r="AAE733" s="519">
        <v>1</v>
      </c>
      <c r="AAF733" s="90"/>
      <c r="AAG733" s="84"/>
      <c r="AAH733" s="73">
        <f>S.PostEQC.FileRuleWithSOS</f>
        <v>41719</v>
      </c>
      <c r="AAI733" s="72"/>
      <c r="AAJ733" s="74"/>
      <c r="AAK733" s="56"/>
      <c r="AAL733" s="90"/>
    </row>
    <row r="734" spans="1:715" ht="15" customHeight="1" outlineLevel="1">
      <c r="A734" s="171"/>
      <c r="B734" s="289" t="s">
        <v>176</v>
      </c>
      <c r="C734" s="420"/>
      <c r="D734" s="434"/>
      <c r="E734" s="350"/>
      <c r="F734" s="350"/>
      <c r="G734" s="420"/>
      <c r="H734" s="420"/>
      <c r="I734" s="244"/>
      <c r="J734" s="194"/>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AAA734" s="192"/>
      <c r="AAD734" s="90"/>
      <c r="AAE734" s="519">
        <v>1</v>
      </c>
      <c r="AAF734" s="190" t="s">
        <v>52</v>
      </c>
      <c r="AAG734" s="84"/>
      <c r="AAH734" s="84"/>
      <c r="AAI734" s="72"/>
      <c r="AAJ734" s="74"/>
      <c r="AAK734" s="53"/>
      <c r="AAL734" s="90"/>
      <c r="AAM734"/>
    </row>
    <row r="735" spans="1:715" s="23" customFormat="1" ht="15" customHeight="1" outlineLevel="1">
      <c r="A735" s="171"/>
      <c r="B735" s="289" t="s">
        <v>177</v>
      </c>
      <c r="C735" s="420"/>
      <c r="D735" s="434"/>
      <c r="E735" s="350"/>
      <c r="F735" s="350"/>
      <c r="G735" s="420"/>
      <c r="H735" s="420"/>
      <c r="I735" s="244"/>
      <c r="J735" s="194"/>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s="52"/>
      <c r="AAA735" s="192"/>
      <c r="AAD735" s="90"/>
      <c r="AAE735" s="519">
        <v>1</v>
      </c>
      <c r="AAF735" s="190" t="s">
        <v>52</v>
      </c>
      <c r="AAG735" s="84"/>
      <c r="AAH735" s="84"/>
      <c r="AAI735" s="72"/>
      <c r="AAJ735" s="74"/>
      <c r="AAK735" s="53"/>
      <c r="AAL735" s="90"/>
    </row>
    <row r="736" spans="1:715" s="23" customFormat="1" ht="15" customHeight="1" outlineLevel="1">
      <c r="A736" s="171"/>
      <c r="B736" s="290" t="s">
        <v>178</v>
      </c>
      <c r="C736" s="420"/>
      <c r="D736" s="434"/>
      <c r="E736" s="350"/>
      <c r="F736" s="350"/>
      <c r="G736" s="420"/>
      <c r="H736" s="420"/>
      <c r="I736" s="244"/>
      <c r="J736" s="194"/>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s="52"/>
      <c r="AAA736" s="192"/>
      <c r="AAD736" s="90"/>
      <c r="AAE736" s="519">
        <v>1</v>
      </c>
      <c r="AAF736" s="190" t="s">
        <v>52</v>
      </c>
      <c r="AAG736" s="84"/>
      <c r="AAH736" s="84"/>
      <c r="AAI736" s="72"/>
      <c r="AAJ736" s="74"/>
      <c r="AAK736" s="53"/>
      <c r="AAL736" s="90"/>
    </row>
    <row r="737" spans="1:714" s="23" customFormat="1" ht="15" customHeight="1" outlineLevel="1">
      <c r="A737" s="171"/>
      <c r="B737" s="290" t="s">
        <v>179</v>
      </c>
      <c r="C737" s="420"/>
      <c r="D737" s="434"/>
      <c r="E737" s="350"/>
      <c r="F737" s="350"/>
      <c r="G737" s="420"/>
      <c r="H737" s="420"/>
      <c r="I737" s="244"/>
      <c r="J737" s="194"/>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s="52"/>
      <c r="AAA737" s="192"/>
      <c r="AAD737" s="90"/>
      <c r="AAE737" s="519">
        <v>1</v>
      </c>
      <c r="AAF737" s="190" t="s">
        <v>52</v>
      </c>
      <c r="AAG737" s="84"/>
      <c r="AAH737" s="84"/>
      <c r="AAI737" s="72"/>
      <c r="AAJ737" s="74"/>
      <c r="AAK737" s="53"/>
      <c r="AAL737" s="90"/>
    </row>
    <row r="738" spans="1:714" s="23" customFormat="1" ht="15" customHeight="1" outlineLevel="1">
      <c r="A738" s="171"/>
      <c r="B738" s="289" t="s">
        <v>180</v>
      </c>
      <c r="C738" s="420"/>
      <c r="D738" s="434"/>
      <c r="E738" s="350"/>
      <c r="F738" s="350"/>
      <c r="G738" s="420"/>
      <c r="H738" s="420"/>
      <c r="I738" s="244"/>
      <c r="J738" s="194"/>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s="52"/>
      <c r="AAA738" s="192"/>
      <c r="AAD738" s="90"/>
      <c r="AAE738" s="519">
        <v>1</v>
      </c>
      <c r="AAF738" s="190" t="s">
        <v>52</v>
      </c>
      <c r="AAG738" s="84"/>
      <c r="AAH738" s="84"/>
      <c r="AAI738" s="745"/>
      <c r="AAJ738" s="74"/>
      <c r="AAK738" s="53"/>
      <c r="AAL738" s="90"/>
    </row>
    <row r="739" spans="1:714" s="23" customFormat="1" ht="15" customHeight="1" outlineLevel="1">
      <c r="A739" s="171"/>
      <c r="B739" s="289" t="s">
        <v>181</v>
      </c>
      <c r="C739" s="420"/>
      <c r="D739" s="434"/>
      <c r="E739" s="350"/>
      <c r="F739" s="350"/>
      <c r="G739" s="420"/>
      <c r="H739" s="420"/>
      <c r="I739" s="244"/>
      <c r="J739" s="194"/>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s="52"/>
      <c r="AAA739" s="192"/>
      <c r="AAD739" s="90"/>
      <c r="AAE739" s="519">
        <v>1</v>
      </c>
      <c r="AAF739" s="190" t="s">
        <v>52</v>
      </c>
      <c r="AAG739" s="84"/>
      <c r="AAH739" s="84"/>
      <c r="AAI739" s="72"/>
      <c r="AAJ739" s="74"/>
      <c r="AAK739" s="53"/>
      <c r="AAL739" s="90"/>
    </row>
    <row r="740" spans="1:714" s="23" customFormat="1" ht="15" customHeight="1" outlineLevel="1">
      <c r="A740" s="171"/>
      <c r="B740" s="289" t="s">
        <v>182</v>
      </c>
      <c r="C740" s="420"/>
      <c r="D740" s="434"/>
      <c r="E740" s="350"/>
      <c r="F740" s="350"/>
      <c r="G740" s="420"/>
      <c r="H740" s="420"/>
      <c r="I740" s="244"/>
      <c r="J740" s="194"/>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s="52"/>
      <c r="AAA740" s="192"/>
      <c r="AAD740" s="90"/>
      <c r="AAE740" s="519">
        <v>1</v>
      </c>
      <c r="AAF740" s="190" t="s">
        <v>52</v>
      </c>
      <c r="AAG740" s="84"/>
      <c r="AAH740" s="84"/>
      <c r="AAI740" s="72"/>
      <c r="AAJ740" s="74"/>
      <c r="AAK740" s="53"/>
      <c r="AAL740" s="90"/>
    </row>
    <row r="741" spans="1:714" s="23" customFormat="1" ht="15" customHeight="1" outlineLevel="1">
      <c r="A741" s="171" t="s">
        <v>0</v>
      </c>
      <c r="B741" s="304" t="s">
        <v>489</v>
      </c>
      <c r="C741" s="420"/>
      <c r="D741" s="433"/>
      <c r="E741"/>
      <c r="F741" s="457">
        <f ca="1">IF(YEAR(H741)&gt;2000,NETWORKDAYS(TODAY(),H741,S.DDL_DEQClosed),0)</f>
        <v>70</v>
      </c>
      <c r="G741"/>
      <c r="H741" s="343">
        <f t="shared" ref="H741" si="611">AAH741</f>
        <v>41719</v>
      </c>
      <c r="I741" s="244"/>
      <c r="J741" s="194"/>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ZZ741" s="52"/>
      <c r="AAA741" s="192"/>
      <c r="AAD741" s="90"/>
      <c r="AAE741" s="519">
        <v>1</v>
      </c>
      <c r="AAF741" s="90"/>
      <c r="AAG741" s="94"/>
      <c r="AAH741" s="73">
        <f>S.PostEQC.FileRuleWithSOS</f>
        <v>41719</v>
      </c>
      <c r="AAI741" s="72"/>
      <c r="AAJ741" s="74"/>
      <c r="AAK741" s="53"/>
      <c r="AAL741" s="90"/>
    </row>
    <row r="742" spans="1:714" s="23" customFormat="1" ht="15" customHeight="1" outlineLevel="1">
      <c r="A742" s="171" t="s">
        <v>0</v>
      </c>
      <c r="B742" s="780" t="str">
        <f>AAK742</f>
        <v xml:space="preserve"> that includes version history and coordination with  AndreaRW</v>
      </c>
      <c r="C742" s="420"/>
      <c r="D742" s="421"/>
      <c r="E742" s="350"/>
      <c r="F742" s="350"/>
      <c r="G742" s="420"/>
      <c r="H742" s="420"/>
      <c r="I742" s="244"/>
      <c r="J742" s="194"/>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ZZ742" s="52"/>
      <c r="AAA742" s="192" t="s">
        <v>0</v>
      </c>
      <c r="AAD742" s="90"/>
      <c r="AAE742" s="519">
        <v>1</v>
      </c>
      <c r="AAF742" s="190" t="s">
        <v>52</v>
      </c>
      <c r="AAG742" s="94"/>
      <c r="AAH742" s="94"/>
      <c r="AAI742" s="72"/>
      <c r="AAJ742" s="185"/>
      <c r="AAK742" s="80" t="str">
        <f>" that includes version history and coordination with  "&amp;S.Staff.Lead</f>
        <v xml:space="preserve"> that includes version history and coordination with  AndreaRW</v>
      </c>
      <c r="AAL742" s="90"/>
    </row>
    <row r="743" spans="1:714" s="23" customFormat="1" ht="15" customHeight="1" outlineLevel="1">
      <c r="A743" s="171"/>
      <c r="B743" s="414" t="str">
        <f>AAK743</f>
        <v>AndreaRW:</v>
      </c>
      <c r="C743" s="420"/>
      <c r="D743" s="421"/>
      <c r="E743" s="350"/>
      <c r="F743" s="350"/>
      <c r="G743" s="420"/>
      <c r="H743" s="420"/>
      <c r="I743" s="244"/>
      <c r="J743" s="194"/>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s="52"/>
      <c r="AAA743" s="192" t="s">
        <v>0</v>
      </c>
      <c r="AAD743" s="90"/>
      <c r="AAE743" s="519">
        <v>1</v>
      </c>
      <c r="AAF743" s="190" t="s">
        <v>52</v>
      </c>
      <c r="AAG743" s="94"/>
      <c r="AAH743" s="94"/>
      <c r="AAI743" s="72"/>
      <c r="AAJ743" s="185"/>
      <c r="AAK743" s="80" t="str">
        <f>S.Staff.Lead&amp;":"</f>
        <v>AndreaRW:</v>
      </c>
      <c r="AAL743" s="90"/>
    </row>
    <row r="744" spans="1:714" s="23" customFormat="1" ht="15" customHeight="1" outlineLevel="1">
      <c r="A744" s="171"/>
      <c r="B744" s="363" t="s">
        <v>364</v>
      </c>
      <c r="C744"/>
      <c r="D744" s="380"/>
      <c r="E744" s="432">
        <f>NETWORKDAYS(G744,H744,S.DDL_DEQClosed)</f>
        <v>1</v>
      </c>
      <c r="F744" s="457">
        <f ca="1">IF(YEAR(H744)&gt;2000,NETWORKDAYS(TODAY(),H744,S.DDL_DEQClosed),0)</f>
        <v>70</v>
      </c>
      <c r="G744" s="351">
        <f>AAG744</f>
        <v>41719</v>
      </c>
      <c r="H744" s="351">
        <f>AAH744</f>
        <v>41719</v>
      </c>
      <c r="I744" s="244"/>
      <c r="J744" s="194"/>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s="52"/>
      <c r="AAA744" s="192"/>
      <c r="AAD744" s="90"/>
      <c r="AAE744" s="519">
        <v>1</v>
      </c>
      <c r="AAF744" s="90"/>
      <c r="AAG744" s="73">
        <f>S.PostEQC.FileRuleWithSOS</f>
        <v>41719</v>
      </c>
      <c r="AAH744" s="73">
        <f>G744</f>
        <v>41719</v>
      </c>
      <c r="AAI744" s="72"/>
      <c r="AAJ744" s="72"/>
      <c r="AAK744" s="71" t="s">
        <v>0</v>
      </c>
      <c r="AAL744" s="90"/>
    </row>
    <row r="745" spans="1:714" s="23" customFormat="1" ht="15.75" customHeight="1" outlineLevel="1">
      <c r="A745" s="171"/>
      <c r="B745" s="372" t="s">
        <v>173</v>
      </c>
      <c r="C745" s="362"/>
      <c r="D745" s="373"/>
      <c r="E745" s="350"/>
      <c r="F745" s="350"/>
      <c r="G745" s="346"/>
      <c r="H745" s="346"/>
      <c r="I745" s="244"/>
      <c r="J745" s="194"/>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s="52"/>
      <c r="AAA745" s="192"/>
      <c r="AAD745" s="90"/>
      <c r="AAE745" s="519">
        <v>1</v>
      </c>
      <c r="AAF745" s="190" t="s">
        <v>52</v>
      </c>
      <c r="AAG745" s="71"/>
      <c r="AAH745" s="71"/>
      <c r="AAI745" s="71"/>
      <c r="AAJ745" s="56"/>
      <c r="AAK745" s="71" t="s">
        <v>0</v>
      </c>
      <c r="AAL745" s="90"/>
    </row>
    <row r="746" spans="1:714" s="23" customFormat="1" ht="15" customHeight="1" outlineLevel="1" thickBot="1">
      <c r="A746" s="171"/>
      <c r="B746" s="363" t="s">
        <v>265</v>
      </c>
      <c r="D746" s="380"/>
      <c r="E746" s="432">
        <f>NETWORKDAYS(G746,H746,S.DDL_DEQClosed)</f>
        <v>1</v>
      </c>
      <c r="F746" s="457">
        <f ca="1">IF(YEAR(H746)&gt;2000,NETWORKDAYS(TODAY(),H746,S.DDL_DEQClosed),0)</f>
        <v>81</v>
      </c>
      <c r="G746" s="487">
        <f t="shared" ref="G746:H748" si="612">AAG746</f>
        <v>41736</v>
      </c>
      <c r="H746" s="343">
        <f t="shared" si="612"/>
        <v>41736</v>
      </c>
      <c r="I746" s="244"/>
      <c r="J746" s="194"/>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s="52"/>
      <c r="AAA746" s="192"/>
      <c r="AAD746" s="90"/>
      <c r="AAE746" s="519">
        <v>1</v>
      </c>
      <c r="AAF746" s="90"/>
      <c r="AAG746" s="73">
        <f>AAH746</f>
        <v>41736</v>
      </c>
      <c r="AAH746" s="73">
        <f>WORKDAY(S.PostEQC.FileRuleWithSOS+14,1,S.DDL_DEQClosed)</f>
        <v>41736</v>
      </c>
      <c r="AAI746" s="72"/>
      <c r="AAJ746" s="72"/>
      <c r="AAK746" s="71" t="s">
        <v>0</v>
      </c>
      <c r="AAL746" s="90"/>
    </row>
    <row r="747" spans="1:714" s="23" customFormat="1" ht="15" customHeight="1" outlineLevel="1" thickBot="1">
      <c r="A747" s="171"/>
      <c r="B747" s="483" t="str">
        <f>AAK747</f>
        <v>If errors, AndreaRW works with Maggie to correct and selects 'Y'  &gt;</v>
      </c>
      <c r="C747" s="377" t="s">
        <v>17</v>
      </c>
      <c r="D747" s="511"/>
      <c r="E747" s="342">
        <f>NETWORKDAYS(G747,H747,S.DDL_DEQClosed)</f>
        <v>1</v>
      </c>
      <c r="F747" s="457">
        <f ca="1">IF(YEAR(H747)&gt;2000,NETWORKDAYS(TODAY(),H747,S.DDL_DEQClosed),0)</f>
        <v>81</v>
      </c>
      <c r="G747" s="351">
        <f t="shared" si="612"/>
        <v>41736</v>
      </c>
      <c r="H747" s="351">
        <f t="shared" si="612"/>
        <v>41736</v>
      </c>
      <c r="I747" s="244"/>
      <c r="J747" s="194"/>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s="52"/>
      <c r="AAA747" s="192"/>
      <c r="AAD747" s="90"/>
      <c r="AAE747" s="519">
        <f>IF(C747="Y",1,0)</f>
        <v>1</v>
      </c>
      <c r="AAF747" s="90"/>
      <c r="AAG747" s="73">
        <f>IF(C747="Y",H746,)</f>
        <v>41736</v>
      </c>
      <c r="AAH747" s="73">
        <f>G747</f>
        <v>41736</v>
      </c>
      <c r="AAI747" s="72"/>
      <c r="AAJ747" s="72"/>
      <c r="AAK747" s="92" t="str">
        <f>"If errors, "&amp;S.Staff.Lead&amp;" works with "&amp;S.Staff.AgencyRulesCoordinator&amp;" to correct and selects 'Y'  &gt;"</f>
        <v>If errors, AndreaRW works with Maggie to correct and selects 'Y'  &gt;</v>
      </c>
      <c r="AAL747" s="90"/>
    </row>
    <row r="748" spans="1:714" s="23" customFormat="1" ht="15" customHeight="1" outlineLevel="1">
      <c r="A748" s="171"/>
      <c r="B748" s="361" t="str">
        <f>AAK748</f>
        <v>AndreaSIP submits SIP to EPA within 60 days AFTER adoption</v>
      </c>
      <c r="D748" s="380"/>
      <c r="E748" s="432">
        <f>NETWORKDAYS(G748,H748,S.DDL_DEQClosed)</f>
        <v>34</v>
      </c>
      <c r="F748" s="457">
        <f ca="1">IF(YEAR(H748)&gt;2000,NETWORKDAYS(TODAY(),H748,S.DDL_DEQClosed),0)</f>
        <v>101</v>
      </c>
      <c r="G748" s="351">
        <f t="shared" si="612"/>
        <v>41717</v>
      </c>
      <c r="H748" s="343">
        <f t="shared" si="612"/>
        <v>41764</v>
      </c>
      <c r="I748" s="244"/>
      <c r="J748" s="194"/>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s="52"/>
      <c r="AAA748" s="192" t="s">
        <v>0</v>
      </c>
      <c r="AAD748" s="90"/>
      <c r="AAE748" s="519">
        <v>1</v>
      </c>
      <c r="AAF748" s="90"/>
      <c r="AAG748" s="73">
        <f>S.EQC.Meeting</f>
        <v>41717</v>
      </c>
      <c r="AAH748" s="73">
        <f>WORKDAY(S.EQC.Meeting+44,1,S.DDL_DEQClosed)</f>
        <v>41764</v>
      </c>
      <c r="AAI748" s="72"/>
      <c r="AAJ748" s="72"/>
      <c r="AAK748" s="92" t="str">
        <f>S.Staff.SIPCo&amp;" submits SIP to EPA within 60 days AFTER adoption"</f>
        <v>AndreaSIP submits SIP to EPA within 60 days AFTER adoption</v>
      </c>
      <c r="AAL748" s="90"/>
    </row>
    <row r="749" spans="1:714" s="23" customFormat="1" ht="15" customHeight="1" outlineLevel="1">
      <c r="A749" s="171"/>
      <c r="B749" s="413" t="str">
        <f>AAK749</f>
        <v xml:space="preserve">Maggie moves rulemaking record to Rule_Development|Filed Rules </v>
      </c>
      <c r="C749" s="788" t="str">
        <f>HYPERLINK("\\deqhq1\Rule_Development\Filed Rules","i")</f>
        <v>i</v>
      </c>
      <c r="D749" s="380"/>
      <c r="E749" s="342">
        <f t="shared" ref="E749" si="613">NETWORKDAYS(G749,H749,S.DDL_DEQClosed)</f>
        <v>1</v>
      </c>
      <c r="F749" s="457">
        <f ca="1">IF(YEAR(H749)&gt;2000,NETWORKDAYS(TODAY(),H749,S.DDL_DEQClosed),0)</f>
        <v>70</v>
      </c>
      <c r="G749" s="343">
        <f t="shared" ref="G749" si="614">AAG749</f>
        <v>41719</v>
      </c>
      <c r="H749" s="343">
        <f t="shared" ref="H749" si="615">AAH749</f>
        <v>41719</v>
      </c>
      <c r="I749" s="244"/>
      <c r="J749" s="193"/>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s="52"/>
      <c r="AAA749" s="192"/>
      <c r="AAD749" s="90"/>
      <c r="AAE749" s="519">
        <v>1</v>
      </c>
      <c r="AAF749" s="90" t="s">
        <v>0</v>
      </c>
      <c r="AAG749" s="73">
        <f>S.PostEQC.FileRuleWithSOS</f>
        <v>41719</v>
      </c>
      <c r="AAH749" s="73">
        <f t="shared" ref="AAH749" si="616">G749</f>
        <v>41719</v>
      </c>
      <c r="AAI749" s="72"/>
      <c r="AAJ749" s="55"/>
      <c r="AAK749" s="92" t="str">
        <f>S.Staff.AgencyRulesCoordinator&amp;" moves rulemaking record to Rule_Development|Filed Rules "</f>
        <v xml:space="preserve">Maggie moves rulemaking record to Rule_Development|Filed Rules </v>
      </c>
      <c r="AAL749" s="90"/>
    </row>
    <row r="750" spans="1:714" s="23" customFormat="1" ht="15" customHeight="1" outlineLevel="1">
      <c r="A750" s="171" t="s">
        <v>0</v>
      </c>
      <c r="B750" s="779" t="s">
        <v>497</v>
      </c>
      <c r="C750" s="374"/>
      <c r="D750" s="374"/>
      <c r="E750" s="374"/>
      <c r="F750" s="374"/>
      <c r="G750" s="374"/>
      <c r="H750" s="374"/>
      <c r="I750" s="244"/>
      <c r="J750" s="193"/>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s="52"/>
      <c r="AAA750" s="192"/>
      <c r="AAD750" s="90"/>
      <c r="AAE750" s="519">
        <v>1</v>
      </c>
      <c r="AAF750" s="190" t="s">
        <v>52</v>
      </c>
      <c r="AAG750" s="71"/>
      <c r="AAH750" s="71"/>
      <c r="AAI750" s="72"/>
      <c r="AAJ750" s="55"/>
      <c r="AAK750" s="53"/>
      <c r="AAL750" s="90"/>
    </row>
    <row r="751" spans="1:714" s="23" customFormat="1" ht="15" customHeight="1" outlineLevel="1">
      <c r="A751" s="171" t="s">
        <v>0</v>
      </c>
      <c r="B751" s="632" t="str">
        <f t="shared" ref="B751" si="617">AAK751</f>
        <v>in coordination with  AndreaRW</v>
      </c>
      <c r="C751" s="374"/>
      <c r="D751" s="374"/>
      <c r="E751" s="374"/>
      <c r="F751" s="374"/>
      <c r="G751" s="374"/>
      <c r="H751" s="374"/>
      <c r="I751" s="244"/>
      <c r="J751" s="193"/>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s="52"/>
      <c r="AAA751" s="192"/>
      <c r="AAD751" s="90"/>
      <c r="AAE751" s="519">
        <v>1</v>
      </c>
      <c r="AAF751" s="190" t="s">
        <v>52</v>
      </c>
      <c r="AAG751" s="71"/>
      <c r="AAH751" s="71"/>
      <c r="AAI751" s="72"/>
      <c r="AAJ751" s="55"/>
      <c r="AAK751" s="80" t="str">
        <f>"in coordination with  "&amp;S.Staff.Lead</f>
        <v>in coordination with  AndreaRW</v>
      </c>
      <c r="AAL751" s="90"/>
    </row>
    <row r="752" spans="1:714" s="23" customFormat="1" ht="15" customHeight="1" outlineLevel="1">
      <c r="A752" s="171"/>
      <c r="B752" s="414" t="str">
        <f>AAK752</f>
        <v>AndreaRW:</v>
      </c>
      <c r="C752" s="420"/>
      <c r="D752" s="421"/>
      <c r="E752" s="350"/>
      <c r="F752" s="350"/>
      <c r="G752" s="420"/>
      <c r="H752" s="420"/>
      <c r="I752" s="244"/>
      <c r="J752" s="194"/>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s="52"/>
      <c r="AAA752" s="192" t="s">
        <v>0</v>
      </c>
      <c r="AAD752" s="90"/>
      <c r="AAE752" s="519">
        <v>1</v>
      </c>
      <c r="AAF752" s="190" t="s">
        <v>52</v>
      </c>
      <c r="AAG752" s="94"/>
      <c r="AAH752" s="94"/>
      <c r="AAI752" s="72"/>
      <c r="AAJ752" s="185"/>
      <c r="AAK752" s="80" t="str">
        <f>S.Staff.Lead&amp;":"</f>
        <v>AndreaRW:</v>
      </c>
      <c r="AAL752" s="90"/>
    </row>
    <row r="753" spans="1:715" ht="15" customHeight="1" outlineLevel="1">
      <c r="A753" s="171"/>
      <c r="B753" s="304" t="s">
        <v>487</v>
      </c>
      <c r="C753" s="376"/>
      <c r="D753" s="380"/>
      <c r="E753" s="342">
        <f t="shared" ref="E753" si="618">NETWORKDAYS(G753,H753,S.DDL_DEQClosed)</f>
        <v>62</v>
      </c>
      <c r="F753" s="457">
        <f ca="1">IF(YEAR(H753)&gt;2000,NETWORKDAYS(TODAY(),H753,S.DDL_DEQClosed),0)</f>
        <v>131</v>
      </c>
      <c r="G753" s="408">
        <f t="shared" ref="G753:H753" si="619">AAG753</f>
        <v>41719</v>
      </c>
      <c r="H753" s="408">
        <f t="shared" si="619"/>
        <v>41807</v>
      </c>
      <c r="I753" s="244"/>
      <c r="J753" s="194"/>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AAA753" s="192"/>
      <c r="AAD753" s="90"/>
      <c r="AAE753" s="519">
        <v>1</v>
      </c>
      <c r="AAF753" s="90"/>
      <c r="AAG753" s="73">
        <f>AAH749</f>
        <v>41719</v>
      </c>
      <c r="AAH753" s="73">
        <f>S.PostEQC.BANNER.End</f>
        <v>41807</v>
      </c>
      <c r="AAI753" s="72"/>
      <c r="AAJ753" s="58"/>
      <c r="AAK753" s="53"/>
      <c r="AAL753" s="90"/>
      <c r="AAM753"/>
    </row>
    <row r="754" spans="1:715" s="23" customFormat="1" ht="15" customHeight="1" outlineLevel="1">
      <c r="A754" s="171"/>
      <c r="B754" s="304" t="s">
        <v>469</v>
      </c>
      <c r="C754" s="376"/>
      <c r="D754" s="380"/>
      <c r="E754"/>
      <c r="F754" s="457">
        <f ca="1">IF(YEAR(H754)&gt;2000,NETWORKDAYS(TODAY(),H754,S.DDL_DEQClosed),0)</f>
        <v>131</v>
      </c>
      <c r="G754"/>
      <c r="H754" s="408">
        <f t="shared" ref="H754" si="620">AAH754</f>
        <v>41807</v>
      </c>
      <c r="I754" s="244"/>
      <c r="J754" s="194"/>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s="52"/>
      <c r="AAA754" s="192"/>
      <c r="AAD754" s="90"/>
      <c r="AAE754" s="519">
        <v>1</v>
      </c>
      <c r="AAF754" s="90"/>
      <c r="AAG754" s="73">
        <f>AAH750</f>
        <v>0</v>
      </c>
      <c r="AAH754" s="73">
        <f>S.PostEQC.BANNER.End</f>
        <v>41807</v>
      </c>
      <c r="AAI754" s="72"/>
      <c r="AAJ754" s="58"/>
      <c r="AAK754" s="53"/>
      <c r="AAL754" s="90"/>
    </row>
    <row r="755" spans="1:715" s="23" customFormat="1" ht="15" customHeight="1" outlineLevel="1">
      <c r="A755" s="171"/>
      <c r="B755" s="304" t="str">
        <f>AAK755</f>
        <v>* delivers archival box to Maggie</v>
      </c>
      <c r="C755" s="376"/>
      <c r="D755" s="380"/>
      <c r="E755"/>
      <c r="F755" s="457">
        <f ca="1">IF(YEAR(H755)&gt;2000,NETWORKDAYS(TODAY(),H755,S.DDL_DEQClosed),0)</f>
        <v>131</v>
      </c>
      <c r="G755"/>
      <c r="H755" s="408">
        <f t="shared" ref="H755" si="621">AAH755</f>
        <v>41807</v>
      </c>
      <c r="I755" s="244"/>
      <c r="J755" s="194"/>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s="52"/>
      <c r="AAA755" s="192"/>
      <c r="AAD755" s="90"/>
      <c r="AAE755" s="519">
        <v>1</v>
      </c>
      <c r="AAF755" s="90"/>
      <c r="AAG755" s="73">
        <f>AAH750</f>
        <v>0</v>
      </c>
      <c r="AAH755" s="73">
        <f>S.PostEQC.BANNER.End</f>
        <v>41807</v>
      </c>
      <c r="AAI755" s="72"/>
      <c r="AAJ755" s="58"/>
      <c r="AAK755" s="92" t="str">
        <f>"* delivers archival box to "&amp;S.Staff.AgencyRulesCoordinator</f>
        <v>* delivers archival box to Maggie</v>
      </c>
      <c r="AAL755" s="90"/>
    </row>
    <row r="756" spans="1:715" s="23" customFormat="1" ht="15" customHeight="1" outlineLevel="1">
      <c r="A756" s="171" t="s">
        <v>0</v>
      </c>
      <c r="B756" s="427" t="str">
        <f>AAK756</f>
        <v>AndreaDRC coordinates retiring Q-Time number(s) with RobertB</v>
      </c>
      <c r="C756" s="362" t="s">
        <v>0</v>
      </c>
      <c r="D756" s="380"/>
      <c r="E756" s="342">
        <f>NETWORKDAYS(G756,H756,S.DDL_DEQClosed)</f>
        <v>1</v>
      </c>
      <c r="F756" s="457">
        <f ca="1">IF(YEAR(H756)&gt;2000,NETWORKDAYS(TODAY(),H756,S.DDL_DEQClosed),0)</f>
        <v>70</v>
      </c>
      <c r="G756" s="343">
        <f>AAG756</f>
        <v>41719</v>
      </c>
      <c r="H756" s="343">
        <f>AAH756</f>
        <v>41719</v>
      </c>
      <c r="I756" s="244"/>
      <c r="J756" s="193"/>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s="52"/>
      <c r="AAA756" s="192"/>
      <c r="AAD756" s="90"/>
      <c r="AAE756" s="519">
        <v>1</v>
      </c>
      <c r="AAF756" s="90" t="s">
        <v>0</v>
      </c>
      <c r="AAG756" s="73">
        <f>AAH749</f>
        <v>41719</v>
      </c>
      <c r="AAH756" s="73">
        <f>G756</f>
        <v>41719</v>
      </c>
      <c r="AAI756" s="72"/>
      <c r="AAJ756" s="55"/>
      <c r="AAK756" s="76" t="str">
        <f>S.Staff.DivisionRulesCoordinator&amp;" coordinates retiring Q-Time number(s) with "&amp;S.Staff.TimeAccounting</f>
        <v>AndreaDRC coordinates retiring Q-Time number(s) with RobertB</v>
      </c>
      <c r="AAL756" s="90"/>
    </row>
    <row r="757" spans="1:715" s="23" customFormat="1" ht="15" customHeight="1" outlineLevel="1">
      <c r="A757" s="171"/>
      <c r="B757" s="414" t="str">
        <f>AAK757</f>
        <v>At the close of the rulemaking records, Maggie archives the record</v>
      </c>
      <c r="C757" s="420"/>
      <c r="D757" s="421"/>
      <c r="E757" s="350"/>
      <c r="F757" s="350"/>
      <c r="G757" s="420"/>
      <c r="H757" s="420"/>
      <c r="I757" s="244"/>
      <c r="J757" s="194"/>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ZZ757" s="52"/>
      <c r="AAA757" s="192"/>
      <c r="AAD757" s="90"/>
      <c r="AAE757" s="519">
        <v>1</v>
      </c>
      <c r="AAF757" s="190"/>
      <c r="AAG757" s="94"/>
      <c r="AAH757" s="94"/>
      <c r="AAI757" s="72"/>
      <c r="AAJ757" s="185"/>
      <c r="AAK757" s="80" t="str">
        <f>"At the close of the rulemaking records, "&amp;S.Staff.AgencyRulesCoordinator&amp;" archives the record"</f>
        <v>At the close of the rulemaking records, Maggie archives the record</v>
      </c>
      <c r="AAL757" s="90"/>
    </row>
    <row r="758" spans="1:715" s="23" customFormat="1" ht="15" customHeight="1" outlineLevel="1">
      <c r="A758" s="171"/>
      <c r="B758" s="779" t="s">
        <v>490</v>
      </c>
      <c r="C758" s="789" t="str">
        <f>HYPERLINK("\\deqhq1\Rule_Development\Currrent Plan","i")</f>
        <v>i</v>
      </c>
      <c r="D758" s="421"/>
      <c r="E758" s="350"/>
      <c r="F758" s="350"/>
      <c r="G758" s="420"/>
      <c r="H758" s="420"/>
      <c r="I758" s="244"/>
      <c r="J758" s="194"/>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ZZ758" s="52"/>
      <c r="AAA758" s="192"/>
      <c r="AAD758" s="90"/>
      <c r="AAE758" s="519">
        <v>1</v>
      </c>
      <c r="AAF758" s="190"/>
      <c r="AAG758" s="94"/>
      <c r="AAH758" s="94"/>
      <c r="AAI758" s="72"/>
      <c r="AAJ758" s="185"/>
      <c r="AAK758" s="53"/>
      <c r="AAL758" s="90"/>
    </row>
    <row r="759" spans="1:715" s="23" customFormat="1" ht="15" customHeight="1" outlineLevel="1">
      <c r="A759" s="171"/>
      <c r="B759" s="779" t="s">
        <v>491</v>
      </c>
      <c r="C759" s="420"/>
      <c r="D759" s="421"/>
      <c r="E759" s="350"/>
      <c r="F759" s="350"/>
      <c r="G759" s="420"/>
      <c r="H759" s="420"/>
      <c r="I759" s="244"/>
      <c r="J759" s="194"/>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ZZ759" s="52"/>
      <c r="AAA759" s="192" t="s">
        <v>0</v>
      </c>
      <c r="AAD759" s="90"/>
      <c r="AAE759" s="519">
        <v>1</v>
      </c>
      <c r="AAF759" s="190" t="s">
        <v>52</v>
      </c>
      <c r="AAG759" s="94"/>
      <c r="AAH759" s="94"/>
      <c r="AAI759" s="72"/>
      <c r="AAJ759" s="185"/>
      <c r="AAK759" s="53"/>
      <c r="AAL759" s="90"/>
    </row>
    <row r="760" spans="1:715" s="23" customFormat="1" ht="15" customHeight="1" outlineLevel="1">
      <c r="A760" s="171"/>
      <c r="B760" s="306" t="s">
        <v>183</v>
      </c>
      <c r="C760" s="376"/>
      <c r="D760" s="380"/>
      <c r="E760" s="342">
        <f t="shared" ref="E760" si="622">NETWORKDAYS(G760,H760,S.DDL_DEQClosed)</f>
        <v>62</v>
      </c>
      <c r="F760" s="457">
        <f ca="1">IF(YEAR(H760)&gt;2000,NETWORKDAYS(TODAY(),H760,S.DDL_DEQClosed),0)</f>
        <v>131</v>
      </c>
      <c r="G760" s="408">
        <f t="shared" ref="G760" si="623">AAG760</f>
        <v>41719</v>
      </c>
      <c r="H760" s="408">
        <f t="shared" ref="H760" si="624">AAH760</f>
        <v>41807</v>
      </c>
      <c r="I760" s="244"/>
      <c r="J760" s="194"/>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s="52"/>
      <c r="AAA760" s="192"/>
      <c r="AAD760" s="90"/>
      <c r="AAE760" s="519">
        <v>1</v>
      </c>
      <c r="AAF760" s="90"/>
      <c r="AAG760" s="73">
        <f>AAH749</f>
        <v>41719</v>
      </c>
      <c r="AAH760" s="73">
        <f>S.PostEQC.BANNER.End</f>
        <v>41807</v>
      </c>
      <c r="AAI760" s="72"/>
      <c r="AAJ760" s="58"/>
      <c r="AAK760" s="53"/>
      <c r="AAL760" s="90"/>
    </row>
    <row r="761" spans="1:715" s="23" customFormat="1" ht="15" customHeight="1" outlineLevel="1">
      <c r="A761" s="171"/>
      <c r="B761" s="414" t="str">
        <f>AAK761</f>
        <v>AndreaRW takes a vacation</v>
      </c>
      <c r="C761" s="420"/>
      <c r="D761" s="421"/>
      <c r="E761" s="350"/>
      <c r="F761" s="350"/>
      <c r="G761" s="420"/>
      <c r="H761" s="420"/>
      <c r="I761" s="244"/>
      <c r="J761" s="194"/>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s="52"/>
      <c r="AAA761" s="192" t="s">
        <v>0</v>
      </c>
      <c r="AAD761" s="90"/>
      <c r="AAE761" s="519">
        <v>1</v>
      </c>
      <c r="AAF761" s="190" t="s">
        <v>52</v>
      </c>
      <c r="AAG761" s="94"/>
      <c r="AAH761" s="94"/>
      <c r="AAI761" s="72"/>
      <c r="AAJ761" s="185"/>
      <c r="AAK761" s="80" t="str">
        <f>S.Staff.Lead&amp;" takes a vacation"</f>
        <v>AndreaRW takes a vacation</v>
      </c>
      <c r="AAL761" s="90"/>
    </row>
    <row r="762" spans="1:715" s="23" customFormat="1" ht="15" customHeight="1" outlineLevel="1">
      <c r="A762" s="171"/>
      <c r="B762" s="414"/>
      <c r="C762" s="420"/>
      <c r="D762" s="421"/>
      <c r="E762" s="350"/>
      <c r="F762" s="350"/>
      <c r="G762" s="420"/>
      <c r="H762" s="420"/>
      <c r="I762" s="244"/>
      <c r="J762" s="194"/>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ZZ762" s="52"/>
      <c r="AAA762" s="192"/>
      <c r="AAD762" s="90"/>
      <c r="AAE762" s="519">
        <v>1</v>
      </c>
      <c r="AAF762" s="190"/>
      <c r="AAG762" s="94"/>
      <c r="AAH762" s="94"/>
      <c r="AAI762" s="72"/>
      <c r="AAJ762" s="185"/>
      <c r="AAK762" s="53"/>
      <c r="AAL762" s="90"/>
    </row>
    <row r="763" spans="1:715" ht="15" outlineLevel="1">
      <c r="A763" s="171"/>
      <c r="B763" s="435"/>
      <c r="C763" s="409"/>
      <c r="D763" s="430"/>
      <c r="E763" s="436"/>
      <c r="F763" s="436"/>
      <c r="G763" s="409"/>
      <c r="H763" s="744" t="str">
        <f>"$H"&amp;"$"&amp;ROW(S.General.LastCellSchedule)</f>
        <v>$H$763</v>
      </c>
      <c r="I763" s="244"/>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AAA763" s="192"/>
      <c r="AAD763" s="90"/>
      <c r="AAE763" s="521" t="s">
        <v>0</v>
      </c>
      <c r="AAF763" s="190" t="s">
        <v>52</v>
      </c>
      <c r="AAG763" s="60"/>
      <c r="AAH763" s="60"/>
      <c r="AAI763" s="746" t="s">
        <v>0</v>
      </c>
      <c r="AAJ763" s="58"/>
      <c r="AAK763" s="41"/>
      <c r="AAL763" s="90"/>
      <c r="AAM763"/>
    </row>
    <row r="764" spans="1:715" ht="12.75" customHeight="1">
      <c r="A764" s="171"/>
      <c r="B764" s="214"/>
      <c r="C764" s="225"/>
      <c r="D764" s="242"/>
      <c r="E764" s="226"/>
      <c r="F764" s="226"/>
      <c r="G764" s="225"/>
      <c r="H764" s="225"/>
      <c r="I764" s="246"/>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c r="BI764" s="214"/>
      <c r="BJ764" s="214"/>
      <c r="BK764" s="214"/>
      <c r="BL764" s="214"/>
      <c r="BM764" s="214"/>
      <c r="BN764" s="214"/>
      <c r="BO764" s="214"/>
      <c r="BP764" s="214"/>
      <c r="BQ764" s="214"/>
      <c r="BR764" s="214"/>
      <c r="BS764" s="214"/>
      <c r="BT764" s="214"/>
      <c r="BU764" s="214"/>
      <c r="BV764" s="214"/>
      <c r="BW764" s="214"/>
      <c r="BX764" s="214"/>
      <c r="BY764" s="214"/>
      <c r="BZ764" s="214"/>
      <c r="CA764" s="214"/>
      <c r="CB764" s="214"/>
      <c r="CC764" s="214"/>
      <c r="CD764" s="214"/>
      <c r="CE764" s="214"/>
      <c r="CF764" s="214"/>
      <c r="CG764" s="214"/>
      <c r="CH764" s="214"/>
      <c r="CI764" s="214"/>
      <c r="CJ764" s="214"/>
      <c r="CK764" s="214"/>
      <c r="CL764" s="214"/>
      <c r="CM764" s="214"/>
      <c r="CN764" s="214"/>
      <c r="CO764" s="214"/>
      <c r="CP764" s="214"/>
      <c r="CQ764" s="214"/>
      <c r="CR764" s="214"/>
      <c r="CS764" s="214"/>
      <c r="CT764" s="214"/>
      <c r="CU764" s="214"/>
      <c r="CV764" s="214"/>
      <c r="CW764" s="214"/>
      <c r="CX764" s="214"/>
      <c r="CY764" s="214"/>
      <c r="CZ764" s="214"/>
      <c r="DA764" s="214"/>
      <c r="DB764" s="214"/>
      <c r="DC764" s="214"/>
      <c r="DD764" s="214"/>
      <c r="DE764" s="214"/>
      <c r="DF764" s="214"/>
      <c r="DG764" s="214"/>
      <c r="DH764" s="214"/>
      <c r="DI764" s="214"/>
      <c r="DJ764" s="214"/>
      <c r="DK764" s="214"/>
      <c r="DL764" s="214"/>
      <c r="DM764" s="214"/>
      <c r="DN764" s="214"/>
      <c r="DO764" s="214"/>
      <c r="DP764" s="214"/>
      <c r="AAA764" s="775"/>
      <c r="AAB764" s="214"/>
      <c r="AAC764" s="214"/>
      <c r="AAD764" s="212"/>
      <c r="AAE764" s="522" t="s">
        <v>63</v>
      </c>
      <c r="AAF764" s="213"/>
      <c r="AAG764" s="212"/>
      <c r="AAH764" s="212"/>
      <c r="AAI764" s="212"/>
      <c r="AAJ764" s="212"/>
      <c r="AAK764" s="212"/>
      <c r="AAL764" s="212"/>
      <c r="AAM764"/>
    </row>
  </sheetData>
  <sheetProtection formatRows="0" insertHyperlinks="0"/>
  <mergeCells count="84">
    <mergeCell ref="D229:G229"/>
    <mergeCell ref="D252:G252"/>
    <mergeCell ref="D275:G275"/>
    <mergeCell ref="D321:G321"/>
    <mergeCell ref="E345:G345"/>
    <mergeCell ref="E696:F696"/>
    <mergeCell ref="E501:G501"/>
    <mergeCell ref="E328:F328"/>
    <mergeCell ref="G328:H328"/>
    <mergeCell ref="C369:G369"/>
    <mergeCell ref="E370:F370"/>
    <mergeCell ref="E614:F614"/>
    <mergeCell ref="G614:H614"/>
    <mergeCell ref="D454:G454"/>
    <mergeCell ref="D455:G455"/>
    <mergeCell ref="G696:H696"/>
    <mergeCell ref="E548:F548"/>
    <mergeCell ref="G548:H548"/>
    <mergeCell ref="E364:F364"/>
    <mergeCell ref="G364:H364"/>
    <mergeCell ref="B695:H695"/>
    <mergeCell ref="E598:G598"/>
    <mergeCell ref="B590:G590"/>
    <mergeCell ref="D463:G463"/>
    <mergeCell ref="D459:G459"/>
    <mergeCell ref="D458:G458"/>
    <mergeCell ref="E375:F375"/>
    <mergeCell ref="D523:G523"/>
    <mergeCell ref="D491:G491"/>
    <mergeCell ref="E495:G495"/>
    <mergeCell ref="D456:G456"/>
    <mergeCell ref="D457:G457"/>
    <mergeCell ref="D452:G452"/>
    <mergeCell ref="D453:G453"/>
    <mergeCell ref="E377:F377"/>
    <mergeCell ref="CV3:CW3"/>
    <mergeCell ref="AAE1:AAK2"/>
    <mergeCell ref="E376:F376"/>
    <mergeCell ref="AAI3:AAI4"/>
    <mergeCell ref="AP3:AQ3"/>
    <mergeCell ref="R3:S3"/>
    <mergeCell ref="AM3:AN3"/>
    <mergeCell ref="CP3:CQ3"/>
    <mergeCell ref="CS3:CT3"/>
    <mergeCell ref="O3:P3"/>
    <mergeCell ref="E371:F371"/>
    <mergeCell ref="E372:F372"/>
    <mergeCell ref="E52:F52"/>
    <mergeCell ref="B366:E366"/>
    <mergeCell ref="E5:F5"/>
    <mergeCell ref="G5:H5"/>
    <mergeCell ref="AS3:AT3"/>
    <mergeCell ref="BO3:BP3"/>
    <mergeCell ref="BR3:BS3"/>
    <mergeCell ref="BU3:BV3"/>
    <mergeCell ref="D45:E45"/>
    <mergeCell ref="D10:E10"/>
    <mergeCell ref="D44:E44"/>
    <mergeCell ref="U3:V3"/>
    <mergeCell ref="C2:H3"/>
    <mergeCell ref="AAS7:AAY7"/>
    <mergeCell ref="B169:G169"/>
    <mergeCell ref="E170:F170"/>
    <mergeCell ref="G170:H170"/>
    <mergeCell ref="E53:F53"/>
    <mergeCell ref="G53:H53"/>
    <mergeCell ref="B43:C43"/>
    <mergeCell ref="D34:E34"/>
    <mergeCell ref="B701:H701"/>
    <mergeCell ref="A2:A3"/>
    <mergeCell ref="E4:F4"/>
    <mergeCell ref="B2:B3"/>
    <mergeCell ref="B363:H363"/>
    <mergeCell ref="B327:H327"/>
    <mergeCell ref="G4:H4"/>
    <mergeCell ref="C7:E7"/>
    <mergeCell ref="D298:G298"/>
    <mergeCell ref="C626:H632"/>
    <mergeCell ref="E475:G475"/>
    <mergeCell ref="D411:G411"/>
    <mergeCell ref="E378:F378"/>
    <mergeCell ref="B547:H547"/>
    <mergeCell ref="E373:F373"/>
    <mergeCell ref="E374:F374"/>
  </mergeCells>
  <conditionalFormatting sqref="C747:C748">
    <cfRule type="expression" dxfId="22" priority="13" stopIfTrue="1">
      <formula>IF($AAE746="T",TRUE)</formula>
    </cfRule>
    <cfRule type="expression" dxfId="21" priority="14" stopIfTrue="1">
      <formula>IF($AAE746="B",TRUE)</formula>
    </cfRule>
    <cfRule type="expression" dxfId="20" priority="15" stopIfTrue="1">
      <formula>IF($AAE746="Y",TRUE)</formula>
    </cfRule>
  </conditionalFormatting>
  <conditionalFormatting sqref="J204:DP204 J185:DP185">
    <cfRule type="expression" dxfId="19" priority="4926" stopIfTrue="1">
      <formula>IF($AAF$4="X",TRUE)</formula>
    </cfRule>
  </conditionalFormatting>
  <conditionalFormatting sqref="G16:G20 G671 G715 G720 G722:G726 G729:G732 G734:G740 G742:G753 G756:G763 G98 G100:G105 G673:G702 G391:G669 G22:G95 G108:G153 G156:G381">
    <cfRule type="expression" dxfId="18" priority="4906" stopIfTrue="1">
      <formula>IF(WORKDAY($G16-1,1,S.DDL_DEQClosed)&lt;&gt;$G16,TRUE)</formula>
    </cfRule>
  </conditionalFormatting>
  <conditionalFormatting sqref="H671 H673:H763 H391:H669 H16:H20 H108:H154 H156:H385 H25:H105">
    <cfRule type="expression" dxfId="17" priority="4905" stopIfTrue="1">
      <formula>IF(WORKDAY($G$16-1,1,S.DDL_DEQClosed)&lt;&gt;$G$16,TRUE)</formula>
    </cfRule>
  </conditionalFormatting>
  <conditionalFormatting sqref="B44:C45 C713:C743 D671:H671 B65:H65 G715 E715 G720 E720 G722:G726 E722:E726 G729:G732 E729:E732 G702 E702 E734:E740 G734:G740 D702:D726 B758:B762 B763:H763 C745:C756 D728:D756 E756 E742:E753 F702:F756 H702:H756 G742:G753 G756 C757:H762 C32:E42 C177:C179 C468:C472 C474:C485 B635:H635 B32:B56 D46:E57 C46:C56 C59:C98 B174:H174 B332:H332 B368:H368 B552:H552 B618:H618 B700:H701 E98 G98 E58:E95 F58:F105 D58:D105 E100:E105 H58:H105 G100:G105 G58:G95 D673:H701 D378:D385 B187:H192 D391:H669 B388:B756 C100:C175 E108:E153 D108:D154 F108:F154 H108:H154 B41:H41 G108:G153 H156:H385 B58:B386 F156:F385 D156:D369 E156:E381 G156:G381 C181:C466 C487:C711 F16:H57 B16:C31 D17 D20 D22:D24 D26:D31 E16:E31">
    <cfRule type="expression" dxfId="16" priority="16" stopIfTrue="1">
      <formula>IF($AAE16=0,TRUE)</formula>
    </cfRule>
  </conditionalFormatting>
  <conditionalFormatting sqref="B23">
    <cfRule type="expression" dxfId="15" priority="4904" stopIfTrue="1">
      <formula>IF(ISERROR($H$23)=TRUE,TRUE,)</formula>
    </cfRule>
  </conditionalFormatting>
  <conditionalFormatting sqref="B25:B26">
    <cfRule type="expression" dxfId="14" priority="46">
      <formula>IF(AND(S.General.RuleType="P",S.Notice.HearingInvolved="Y",S.Notice.Involved="N"),TRUE,FALSE)</formula>
    </cfRule>
  </conditionalFormatting>
  <conditionalFormatting sqref="B22">
    <cfRule type="expression" dxfId="13" priority="30">
      <formula>IF(ISERROR($H$22)=TRUE,TRUE,)</formula>
    </cfRule>
  </conditionalFormatting>
  <conditionalFormatting sqref="B21">
    <cfRule type="expression" dxfId="12" priority="12">
      <formula>IF(AND(S.SIP.Involved="Y",OR(S.Notice.Involved="N",S.Hearing.1stInvolve="N")),TRUE,)</formula>
    </cfRule>
  </conditionalFormatting>
  <conditionalFormatting sqref="J16:DP763">
    <cfRule type="expression" dxfId="11" priority="4927" stopIfTrue="1">
      <formula>IF(OR(WEEKDAY(J$7)=1,WEEKDAY(J$7)=7),TRUE)</formula>
    </cfRule>
    <cfRule type="expression" dxfId="10" priority="4928" stopIfTrue="1">
      <formula>IF(ISERROR(VLOOKUP(J$7,S.DDL_DEQClosed,1,FALSE)),0,1)</formula>
    </cfRule>
    <cfRule type="expression" dxfId="9" priority="4929" stopIfTrue="1">
      <formula>AND(#REF!&lt;&gt;"X",$G16&lt;K$7,$H16&gt;=J$7)</formula>
    </cfRule>
  </conditionalFormatting>
  <conditionalFormatting sqref="B757">
    <cfRule type="expression" dxfId="8" priority="4937" stopIfTrue="1">
      <formula>IF($AAE759=0,TRUE)</formula>
    </cfRule>
  </conditionalFormatting>
  <conditionalFormatting sqref="C99">
    <cfRule type="expression" dxfId="7" priority="10" stopIfTrue="1">
      <formula>IF($AAE99=0,TRUE)</formula>
    </cfRule>
  </conditionalFormatting>
  <conditionalFormatting sqref="C180">
    <cfRule type="expression" dxfId="6" priority="9" stopIfTrue="1">
      <formula>IF($AAE180=0,TRUE)</formula>
    </cfRule>
  </conditionalFormatting>
  <conditionalFormatting sqref="C57">
    <cfRule type="expression" dxfId="5" priority="4954" stopIfTrue="1">
      <formula>IF($AAE58=0,TRUE)</formula>
    </cfRule>
  </conditionalFormatting>
  <conditionalFormatting sqref="C332">
    <cfRule type="expression" dxfId="4" priority="7" stopIfTrue="1">
      <formula>IF($AAE333=0,TRUE)</formula>
    </cfRule>
  </conditionalFormatting>
  <conditionalFormatting sqref="C552">
    <cfRule type="expression" dxfId="3" priority="5" stopIfTrue="1">
      <formula>IF($AAE553=0,TRUE)</formula>
    </cfRule>
  </conditionalFormatting>
  <conditionalFormatting sqref="C618">
    <cfRule type="expression" dxfId="2" priority="4" stopIfTrue="1">
      <formula>IF($AAE619=0,TRUE)</formula>
    </cfRule>
  </conditionalFormatting>
  <conditionalFormatting sqref="C700 C174 C368">
    <cfRule type="expression" dxfId="1" priority="4980" stopIfTrue="1">
      <formula>IF(#REF!=0,TRUE)</formula>
    </cfRule>
  </conditionalFormatting>
  <conditionalFormatting sqref="C57">
    <cfRule type="expression" dxfId="0" priority="2" stopIfTrue="1">
      <formula>IF($AAE57=0,TRUE)</formula>
    </cfRule>
  </conditionalFormatting>
  <dataValidations xWindow="986" yWindow="604" count="24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6">
      <formula1>H351</formula1>
      <formula2>S.Fee.BANNER.End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716:H719 H334">
      <formula1>G334</formula1>
      <formula2>S.Fee.BANNER.End</formula2>
    </dataValidation>
    <dataValidation type="date" allowBlank="1" showInputMessage="1" showErrorMessage="1" errorTitle="OUT OF DATE RANGE" error="Enter a date between the date to the left and theLAST hearing date." promptTitle="TASK END" prompt="DEFUALT          The LAST hearing date_x000a__x000a_OVERWRITE      Yes, to a date between the date to the left and the default._x000a__x000a__x000a_" sqref="H379">
      <formula1>G379</formula1>
      <formula2>S.Notice.LastHearingDate</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351 H353">
      <formula1>G351</formula1>
      <formula2>S.Fee.BANNER.End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340:H344">
      <formula1>G340</formula1>
      <formula2>S.Fee.BANNER.End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85 H204">
      <formula1>G185</formula1>
      <formula2>S.AC.BANNER.End</formula2>
    </dataValidation>
    <dataValidation type="date" allowBlank="1" showErrorMessage="1" errorTitle="INVALID DATE" error="If you need a differenct date, change the Submit notice to SOS under Key dates." sqref="H543 H533 H539:H541 H524:H528">
      <formula1>G524</formula1>
      <formula2>G524</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592 H604:H608 H567:H568 H597 H599 H587:H589">
      <formula1>G567</formula1>
      <formula2>S.Hearing.BANNER.End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336:H339">
      <formula1>G336</formula1>
      <formula2>S.Fee.BANNER.End</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354">
      <formula1>H352</formula1>
      <formula2>S.Fee.BANNER.End</formula2>
    </dataValidation>
    <dataValidation type="date" allowBlank="1" showInputMessage="1" showErrorMessage="1" errorTitle="DATE RANGE ERROR" error="The date entered must be between the START and END date on the Planning section heade." sqref="G59">
      <formula1>G29</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6">
      <formula1>G16</formula1>
      <formula2>S.Overview.BANNER.End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352">
      <formula1>AAE352</formula1>
      <formula2>S.Fee.BANNER.End</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118:H121 H111 H159 H749 H161:H163 H148:H151 H756 H93 H87:H91 H166 H113:H116 H123 H132 H154">
      <formula1>G87</formula1>
      <formula2>S.Planning.BANNER.End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4 H356">
      <formula1>G354</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5">
      <formula1>G355</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7">
      <formula1>G357</formula1>
      <formula2>S.Fee.BANNER.End</formula2>
    </dataValidation>
    <dataValidation type="date" allowBlank="1" showInputMessage="1" showErrorMessage="1" errorTitle="OUT OF RANGE" error="Enter a date between the date to the left and the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34 H638:H643 H645 H619:H625">
      <formula1>G619</formula1>
      <formula2>S.EQC.SubmitStaffRpt</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658">
      <formula1>H647</formula1>
      <formula2>S.EQC.SubmitStaffRpt</formula2>
    </dataValidation>
    <dataValidation type="date" allowBlank="1" showInputMessage="1" showErrorMessage="1" errorTitle="OUT OF RANGE" error="Enter a date between date in cell to left and SUBMIT EQC PACKET below. Make adjustment to submittal date under Oveview of Key Dates banner at top of worksheet." promptTitle="ENTER DATE" prompt="DEFAULT   Date entered in cell to left_x000a__x000a_OVERWRITE   Yes, to a date between the date in cell to left and SUBMIT EQC PACKET below" sqref="H658 H662 H666 H428 H432 H436">
      <formula1>G428</formula1>
      <formula2>S.EQC.SubmitStaffRpt</formula2>
    </dataValidation>
    <dataValidation type="date" allowBlank="1" showInputMessage="1" showErrorMessage="1" errorTitle="OUT OF RANGE" error="Enter a date between the date on Practice presentation row above and EQC meeting date" promptTitle="ENTER DATE" prompt="DEFAULT   START TASK date on Practice presentation row above._x000a__x000a_OVERWRITE   Yes, to a date between the default and EQC meeting date" sqref="G690">
      <formula1>G689</formula1>
      <formula2>S.EQC.BANNER.End</formula2>
    </dataValidation>
    <dataValidation type="date" allowBlank="1" showInputMessage="1" showErrorMessage="1" errorTitle="OUT OF RANGE" error="Enter a date between the date to the left and the EQC meeting date." promptTitle="ENTER DATE" prompt="DEFAULT  One day before the EQC meeting date_x000a__x000a_OVERWRITE  Yes, to a date between default and the EQC meeting date" sqref="H690">
      <formula1>G690</formula1>
      <formula2>S.EQC.BANNER.End</formula2>
    </dataValidation>
    <dataValidation type="date" allowBlank="1" showInputMessage="1" showErrorMessage="1" errorTitle="OUT OF RANGE" error="Enter a date between the date to the left and the EQC meeting date." promptTitle="ENTER DATE" prompt="DEFAULT   One day before EQC meeting date_x000a__x000a_OVERWRITE  Yes, to a date between default and the EQC meeting date" sqref="H689">
      <formula1>G689</formula1>
      <formula2>S.EQC.BANNER.End</formula2>
    </dataValidation>
    <dataValidation type="date" allowBlank="1" showInputMessage="1" showErrorMessage="1" errorTitle="OUT OF RANGE" error="Enter a date between the latest of the 3 End Task dates in column H directly above and the End Task dates on the Planning banner" promptTitle="ENTER START DATE" prompt="DEFAULT  The latest of the 3 End Task dates in column H directly above for completion of the initial drafts_x000a__x000a_OVERWRITE   Yes, to a date between the default and the End Task date on the Planning banner" sqref="G91">
      <formula1>MAX(H87:H89)</formula1>
      <formula2>S.Planning.BANNER.End</formula2>
    </dataValidation>
    <dataValidation type="date" allowBlank="1" showInputMessage="1" showErrorMessage="1" errorTitle="OUT OF RANGE" error="Enter a date between the date in the active cell above and End Task dates on the Planning banner" promptTitle="ENTER START DATE" prompt="DEFAULT  The date entered into the active cell above_x000a__x000a_OVERWRITE   Yes, to a date between the default and the End Task date on the Planning banner" sqref="G93">
      <formula1>G91</formula1>
      <formula2>S.Planning.BANNER.End</formula2>
    </dataValidation>
    <dataValidation type="date" allowBlank="1" showInputMessage="1" showErrorMessage="1" errorTitle="DATE RANGE ERROR" error="Enter a date between the date in the active cell above and the End Task date on the Planning banner" promptTitle="END DATE" prompt="DEFAULT           5 workdays after date in active cell above_x000a__x000a_OVERWRITE      Yes, to  a date between the date in the active cell above and the End Task date on the Planning banner." sqref="H70">
      <formula1>H68</formula1>
      <formula2>S.Planning.BANNER.End</formula2>
    </dataValidation>
    <dataValidation type="date" allowBlank="1" showInputMessage="1" showErrorMessage="1" errorTitle="OUT OF RANGE" error="Enter a date between completing the 3 initial drafts above and the End Task dates on the Planning banner" promptTitle="ENTER START DATE" prompt="DEFAULT  The latest date for completing the three initial drafts above_x000a__x000a_OVERWRITE   Yes, to a date between the default and the End Task date on the Planning banner" sqref="G90">
      <formula1>MAX(H88:H89)</formula1>
      <formula2>S.Planning.BANNER.End</formula2>
    </dataValidation>
    <dataValidation type="date" allowBlank="1" showInputMessage="1" showErrorMessage="1" errorTitle="OUTSIDE VALID DATE RANGE" error="Enter a date between the dateto the left and the End Task date on the Advisory Committee banner_x000a_" promptTitle="TASK END" prompt="DEFAULT              The date to the left_x000a__x000a_OVERWRITE          Yes, to a date that is between the date to the left and the End Task date on the Advisory committee banner._x000a__x000a_" sqref="H176:H184">
      <formula1>G176</formula1>
      <formula2>S.AC.BANNER.End</formula2>
    </dataValidation>
    <dataValidation type="date" allowBlank="1" showInputMessage="1" showErrorMessage="1" errorTitle="OUTSIDE VALID DATE RANGE" error="_x000a_The date is not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77">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8">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9">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3">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4">
      <formula1>G176</formula1>
      <formula2>S.AC.BANNER.End</formula2>
    </dataValidation>
    <dataValidation type="date" allowBlank="1" showInputMessage="1" showErrorMessage="1" errorTitle="OUSIDE VALID DATE RANGE" error="Enter a date between the date to the left and  the End Task date on the Advisory Committee banner" promptTitle="ENTER END TASK DATE" prompt="DEFAULT              The date to the left_x000a__x000a_OVERWRITE          Yes, to a date that is between the date to the left and the End Task date on the Advisory committee banner._x000a__x000a_" sqref="H202:H203 H197:H198 H200">
      <formula1>G197</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date to the left_x000a__x000a_OVERWRITE          Yes, to a date that is between the date to the left and the End Task date on the Advisory committee banner._x000a__x000a_" sqref="H205 H306:H307 H282:H284 H237:H238 H260:H261 H215">
      <formula1>G205</formula1>
      <formula2>S.AC.BANNER.End</formula2>
    </dataValidation>
    <dataValidation type="date" allowBlank="1" showInputMessage="1" showErrorMessage="1" errorTitle="OUTSIDE VALID DATE RANGE" error="Enter a date between the date to the left and the End Task date on the Advisory Committee banner." promptTitle="ENTER END TASK DATE" prompt="DEFAULT              The date to the left_x000a__x000a_OVERWRITE          Yes, to a date that is between the date to the left and the END date on the Advisory committee banner._x000a__x000a_" sqref="H207">
      <formula1>G207</formula1>
      <formula2>S.AC.BANNER.End</formula2>
    </dataValidation>
    <dataValidation type="date" allowBlank="1" showInputMessage="1" showErrorMessage="1" errorTitle="OUTSIDE VALID DATE RANGE" error="Enter a date between the date the team finalized the roster and the End Task date on the Advisory Committee banner." promptTitle="TASK START" prompt="DEFAULT   The date the team finalized the committee roster_x000a__x000a_OVERWRITE       Yes, to a date between the default and the End Task date on the Advisory Committee banner.   _x000a_" sqref="G207">
      <formula1>H203</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End Task dateon the Advisory Committee banner_x000a__x000a_OVERWRITE          Yes, to a date that is between the date to the left and the End Task date on the Advisory committee banner._x000a__x000a_" sqref="H206 H208">
      <formula1>G206</formula1>
      <formula2>S.AC.BANNER.End</formula2>
    </dataValidation>
    <dataValidation type="date" allowBlank="1" showInputMessage="1" showErrorMessage="1" errorTitle="OUTSIDE VALID DATE RANGE" error="Enter a date between the date to the left and the End Task ate on the Advisory Committee banner." promptTitle="TASK END" prompt="DEFAULT              The date to the left_x000a__x000a_OVERWRITE          Yes, to a date that is between the date to the left and the End Task date on the Advisory committee banner._x000a__x000a_" sqref="H210 H222 H216:H219 H212:H214 H224:H228 H230:H231 H233 H281 H239:H242 H291 H304:H305 H256 H247:H251 H262:H265 H235:H236 H253:H254 H276:H277 H279 H245 H268 H285:H288 H258:H259 H270:H274 H302 H293:H297 H299:H300 H308:H311 H314 H316:H320 H322:H324">
      <formula1>G210</formula1>
      <formula2>S.AC.BANNER.End</formula2>
    </dataValidation>
    <dataValidation type="date" allowBlank="1" showInputMessage="1" showErrorMessage="1" errorTitle="NOT IN VALID DATE RANGE" error="Enter a date between the date to the left and the End Task date on the 5-Public Comment and Testimony banner" promptTitle="ENTER DATE" prompt="DEFAULT  The Etart Task date on 5-Public Comment and Testimony banner_x000a__x000a_OVERWRITE   Yes, to a date between the date to the left and the default_x000a_" sqref="H561">
      <formula1>G561</formula1>
      <formula2>S.Hearing.BANNER.End</formula2>
    </dataValidation>
    <dataValidation type="date" allowBlank="1" showInputMessage="1" showErrorMessage="1" errorTitle="OUTSIDE VALID DATE RANGE" error="Enter a date between the latest End Task date in 5 rows above and close of public comment" promptTitle="ENTER DATE" prompt="DEFAULT  The latest date End Task date in 5 rows above _x000a__x000a_OVERWRITE   Yes, to a date between the default and the close of public comment" sqref="G561">
      <formula1>MAX(H556:H560)</formula1>
      <formula2>S.Notice.LastHearingDate</formula2>
    </dataValidation>
    <dataValidation type="date" allowBlank="1" showInputMessage="1" showErrorMessage="1" errorTitle="OUTSIDE VALID DATE RANGE" error="Enter a date between the date to the left and the End Task date on the 5-Public Comment and Testimony banner" promptTitle="ENTER DATE" prompt="DEFAULT  The date to the left_x000a__x000a_OVERWRITE   Yes, to a date between the date to the left and the default_x000a_" sqref="H556:H560">
      <formula1>G556</formula1>
      <formula2>S.Hearing.BANNER.End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727">
      <formula1>G721</formula1>
    </dataValidation>
    <dataValidation type="date" allowBlank="1" showInputMessage="1" showErrorMessage="1" errorTitle="OUTSIDE VALID DATE RANGE" error="Enter a date between the date on the left and the End Task date on 5-Public Comment and Testimony banner. _x000a_" promptTitle="ENTER DATE" prompt="DEFAULT  The date to the left_x000a__x000a_OVERWRITE   Yes, to a date between the default_x000a_ and End Task date on 5-Public Comment and Testimony banner. " sqref="H594:H596">
      <formula1>G594</formula1>
      <formula2>S.Hearing.BANNER.End</formula2>
    </dataValidation>
    <dataValidation type="date" allowBlank="1" showInputMessage="1" showErrorMessage="1" errorTitle="OUT OF RANGE" error="Enter a date between the date to the left and the 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47:H649 H437:H439 H659:H661 H663:H665 H667:H669 H674:H675 H651:H657 H429:H431 H433:H435 H671">
      <formula1>G429</formula1>
      <formula2>S.EQC.SubmitStaffRpt</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3">
      <formula1>H202</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0">
      <formula1>H197</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9:G141">
      <formula1>G138</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The start preview period date_x000a__x000a_OVERWRITE      Yes, to a date between the date to the left and the default._x000a__x000a__x000a_" sqref="H445:H448">
      <formula1>G445</formula1>
      <formula2>S.Notice.PreviewBegin</formula2>
    </dataValidation>
    <dataValidation type="date" allowBlank="1" showInputMessage="1" showErrorMessage="1" errorTitle="OUTSIDE VALSI DATE RANGE" error="Enter a date between the date to the left and the notice submittal date to Secretary of State.." promptTitle="TASK END" prompt="DEFUALT           The open public comment date entered under Overview of Key Dates_x000a__x000a_OVERWRITE      Yes, to a date between the date to the left and the End Task date on the 4-Public Notice banner._x000a__x000a_" sqref="H131 H135 H137:H141 H143:H145">
      <formula1>G131</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2 workdays before the start preview period date_x000a__x000a_OVERWRITE     Yes, to a date between the date to the left and the start preview period._x000a__x000a__x000a_" sqref="H467 H444 H442 H414:H425">
      <formula1>G414</formula1>
      <formula2>S.Notice.PreviewBegin</formula2>
    </dataValidation>
    <dataValidation type="date" allowBlank="1" showErrorMessage="1" errorTitle="INVALID DATE" error="If you need a differenct date, change the Submit notice to SOS under Key dates." sqref="H523">
      <formula1>F523</formula1>
      <formula2>F523</formula2>
    </dataValidation>
    <dataValidation type="date" allowBlank="1" showInputMessage="1" showErrorMessage="1" errorTitle="OUTSIDE VALID DATE RANGE" error="Enter a date between the date to the left and the later of the Open Comment or Submit notice to SOS dates_x000a_" promptTitle="TASK END" prompt="DEFUALT         2 workdays before the later of the Open Comment or Submit notice to SOS dates_x000a__x000a_OVERWRITE      Yes, to a date between the date to the left and the later of the Open Comment or Submit notice to SOS dates_x000a__x000a__x000a_" sqref="H449:H450">
      <formula1>G449</formula1>
      <formula2>WORKDAY(MAX(S.Notice.OpenComment,S.Notice.SubmitToSOS),-2,S.DDL_DEQClosed)</formula2>
    </dataValidation>
    <dataValidation type="date" allowBlank="1" showInputMessage="1" showErrorMessage="1" errorTitle="OUTSIDE VALID DATE RANGE" error="Enter a date between the date to the left and the Open comment date" promptTitle="TASK END" prompt="DEFUALT         2 workdays before the Open Comment date_x000a__x000a_OVERWRITE      Yes, to a date between the date to the left and the Open comment date_x000a__x000a__x000a_" sqref="H470:H473">
      <formula1>G470</formula1>
      <formula2>S.Notice.OpenComment</formula2>
    </dataValidation>
    <dataValidation type="date" allowBlank="1" showInputMessage="1" showErrorMessage="1" errorTitle="OUTSIDE VALID DATE RANGE" error="Enter a date between date to the left and notice submittal to SOS date" promptTitle="END TASK" prompt="DEFAULT  Notice submittal to SOS_x000a__x000a_OVERWRITE  Yes to a date between the date to left and default" sqref="H676">
      <formula1>G676</formula1>
      <formula2>S.Notice.SubmitToSOS</formula2>
    </dataValidation>
    <dataValidation type="date" allowBlank="1" showInputMessage="1" showErrorMessage="1" errorTitle="OUTSIDE VALID DATE RANGE" error="Enter a date between the date to the left and the End Task date on the Notice banner" promptTitle="TASK END" prompt="DEFAULT  End Task date on Notice banner_x000a__x000a_OVEWRITE   Yes, to a date between the date to the left and End Task dates on the Notice banner" sqref="H544">
      <formula1>G544</formula1>
      <formula2>S.Notice.BANNER.End</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5:H408 H392:H393">
      <formula1>G392</formula1>
      <formula2>S.Notice.PreviewBegin</formula2>
    </dataValidation>
    <dataValidation type="date" allowBlank="1" showInputMessage="1" showErrorMessage="1" errorTitle="LOCKED" error="Change DA briefiing date below" promptTitle="TASK END" prompt="DEFUALT         2 workdays before the start preview period date_x000a__x000a_OVERWRITE     Yes, to a date between the date to the left and the start preview period._x000a__x000a__x000a_" sqref="H443">
      <formula1>G443</formula1>
      <formula2>S.Notice.PreviewBegin</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1">
      <formula1>G391</formula1>
      <formula2>S.Notice.DABriefing</formula2>
    </dataValidation>
    <dataValidation type="date" allowBlank="1" showInputMessage="1" showErrorMessage="1" errorTitle="OUTSIDE VALID DATE RANGE" error="Enter a date between the date to the left and 1 workday before the DA briefing meeting" promptTitle="TASK END" prompt="DEFAULT       1 workdays before the DA briefing meeting_x000a__x000a_OVERWRITE    Yes, to a date between the date to the left and the default_x000a__x000a__x000a_" sqref="H413">
      <formula1>G413</formula1>
      <formula2>WORKDAY(S.Notice.DABriefing,-1,S.DDL_DEQClosed)</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98 H345">
      <formula1>G345</formula1>
    </dataValidation>
    <dataValidation type="date" allowBlank="1" showInputMessage="1" showErrorMessage="1" errorTitle="OUTSIDE VALID DATE RANGE" error="Enter a date between the date the manager 'chats' with rules coordinators and the End Task date on the Planning banner" promptTitle="ENTER END DATE" prompt="DEFAULT  The date the manager 'chats' with rules coordinators_x000a__x000a_OVERWRITE   Yes, to a date between the default and the End Task date on the Planning banner" sqref="H67:H68">
      <formula1>H63</formula1>
      <formula2>S.Planning.BANNER.End</formula2>
    </dataValidation>
    <dataValidation type="date" allowBlank="1" showInputMessage="1" showErrorMessage="1" errorTitle="OUTSIDE VALID DATE RANGE" error="Enter a date between the date to the left and the End Task date on the Advisory Committee banner_x000a_" promptTitle="TASK END" prompt="DEFAULT              The date to the left_x000a__x000a_OVERWRITE          Yes, to a date that is between the date to the left and the End Task date on the Advisory committee banner._x000a__x000a_" sqref="H133:H134 H193:H196 H186:H187">
      <formula1>G133</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1">
      <formula1>G134</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8">
      <formula1>G135</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43:G145">
      <formula1>G141</formula1>
      <formula2>S.Notice.BANNER.End</formula2>
    </dataValidation>
    <dataValidation type="date" allowBlank="1" showInputMessage="1" showErrorMessage="1" errorTitle="OUTSIDE VALID DATE RANGE" error="Enter a date between the date the team finalized Notice Packe and ubmittal to Rule Publication_x000a_" promptTitle="TASK START" prompt="DEFAULT  The date the team finalized Notice Packet  _x000a__x000a_OVERWRITE  Yes to a date between the default submittal to Rule Publication_x000a_" sqref="G493">
      <formula1>H489</formula1>
      <formula2>S.Notice.EMAIL.RulePublication</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428">
      <formula1>H419</formula1>
      <formula2>S.EQC.SubmitStaffRpt</formula2>
    </dataValidation>
    <dataValidation type="date" allowBlank="1" showInputMessage="1" showErrorMessage="1" errorTitle="OUTSIDE VALID DATE RANGE" error="Enter a date between the date to the left and the 1st hearing date_x000a_" promptTitle="TASK END" prompt="DEFUALT         2 workdays before the Open Comment date_x000a__x000a_OVERWRITE      Yes, to a date between the date to the left and the 1st hearing date. WARNING! It is up to you to maintain all deadlines for advertisements!_x000a__x000a__x000a_" sqref="H460:H466 H451">
      <formula1>G451</formula1>
      <formula2>S.Hearing.1stDate</formula2>
    </dataValidation>
    <dataValidation type="date" operator="greaterThanOrEqual" allowBlank="1" showInputMessage="1" showErrorMessage="1" errorTitle="OUTSIDE VALID DATE RANGE" error="Enter a date that is later than the End Task dates above and no later than the Open public comment entered under Overview of Key Dates banner" promptTitle="TASK START" prompt="DEFUALT           The lastest date in the End Task dates above_x000a__x000a_OVERWRITE      Yes, to a date between the default and Open public comment entered under Overview of Key Dates banner_x000a__x000a__x000a_" sqref="G445">
      <formula1>MAX(AAH391:AAH473)</formula1>
    </dataValidation>
    <dataValidation type="date" allowBlank="1" showInputMessage="1" showErrorMessage="1" errorTitle="OUTSIDE VALID DATE RANGE" error="Enter a date between the Start Task date on the Public Notice banner and the last hearing date." promptTitle="TASK END" prompt="DEFUALT          The LAST hearing date_x000a__x000a_OVERWRITE      Yes, to a date between the Start Task date on the Public Notice banner and the last hearing date._x000a__x000a__x000a_" sqref="H382:H385">
      <formula1>G366</formula1>
      <formula2>S.Notice.LastHearingDate</formula2>
    </dataValidation>
    <dataValidation type="date" allowBlank="1" showInputMessage="1" showErrorMessage="1" errorTitle="OUTSIDE VALID DATE RANGE" error="Enter a date between the date to the left and the End Task dates on the Planning banner" promptTitle="ENTER END DATE" prompt="DEFAULT  the date to the left_x000a__x000a_OVERWRITE   Yes, to a date between default and the End Task date on the Planning banner" sqref="H61:H65">
      <formula1>G61</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ACTION DATE" prompt="DEFAULT  5 workdays after DA started reviewing the workbooks_x000a__x000a_OVERWRITE   Yes, to a date between the default and the End Task date on the Planning banner" sqref="H96:H97">
      <formula1>H$95</formula1>
      <formula2>S.Planning.BANNER.End</formula2>
    </dataValidation>
    <dataValidation type="date" allowBlank="1" showInputMessage="1" showErrorMessage="1" errorTitle="OUT OF RANGE" error="Enter a date between the date to the left and the End Task dates on the Planning banner" promptTitle="ENTER DATE DA SENDS EMAIL" prompt="DEFAULT  The date to the left_x000a__x000a_OVERWRITE   Yes, to a date between the date to the left and the End Task date on the Planning banner" sqref="H102">
      <formula1>G102</formula1>
      <formula2>S.Planning.BANNER.End</formula2>
    </dataValidation>
    <dataValidation type="date" allowBlank="1" showInputMessage="1" showErrorMessage="1" errorTitle="OUT OF RANGE" error="Enter a date between the date in the active cell above and End Task dates on the Planning banner" promptTitle="ENTER START REVIEW DATE" prompt="DEFAULT  The date entered into the active cell above_x000a__x000a_OVERWRITE   Yes, to a date between the default and the End Task date on the Planning banner" sqref="G95">
      <formula1>G93</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END REVIEW DATE" prompt="DEFAULT  5 workdays after DA started reviewing the workbooks_x000a__x000a_OVERWRITE   Yes, to a date between the default and the End Task date on the Planning banner" sqref="H95">
      <formula1>H$95</formula1>
      <formula2>S.Planning.BANNER.End</formula2>
    </dataValidation>
    <dataValidation type="date" allowBlank="1" showInputMessage="1" showErrorMessage="1" errorTitle="OUT OF RANGE" error="Enter a date between the date to the left and the End Task dates on the Planning banner" promptTitle="ENTER ACTION DATE" prompt="DEFAULT  The date to the left_x000a__x000a_OVERWRITE   Yes, to a date between the date to the left and the End Task date on the Planning banner" sqref="H99">
      <formula1>G99</formula1>
      <formula2>S.Planning.BANNER.End</formula2>
    </dataValidation>
    <dataValidation type="date" operator="greaterThanOrEqual" allowBlank="1" showInputMessage="1" showErrorMessage="1" errorTitle="BEFORE FILING WITH SOS" error="Select a later date" promptTitle="ENTER DATE" prompt="DEFAULT  5 working days after filing with SOS_x000a__x000a_OVERWRITE  Yes, to a date greater than or equal to the filing date with Secretary of State" sqref="H741 H727:H728 H733">
      <formula1>S.PostEQC.FileRuleWithSOS</formula1>
    </dataValidation>
    <dataValidation allowBlank="1" showInputMessage="1" showErrorMessage="1" promptTitle="TEAM DISCRETION" prompt="The team may place an &quot;X&quot; in this location to indicate the task has been completed." sqref="D744 D148:D151 D161:D163 D113:D121 D159 D165:D166 D178 D181:D184 D334 D336:D345 D348 D351:D358 D360 D276:D279 D238:D242 D230:D233 D299:D302 D202:D203 D205:D208 D210 D215:D219 D253:D256 D284:D288 D261:D265 D322:D324 D307:D311 D244:D251 D221:D228 D267:D274 D313:D320 D200 D290:D297 D193:D198 D130:D145 D60:D70 D123 D58 D125:D127 D87:D91 D102 D93:D99 D111 D154 D432 D428 D436 D395:D399 D392 D538:D544 D475 D481 D483:D489 D464:D467 D493 D495 D444:D451 D460:D462 D470:D473 D478 D498 D501 D512:D515 D520:D522 D524:D536 D379 D382:D385 D553 D555:D556 D558:D568 D604:D610 D591:D592 D587:D589 D594:D599 D684:D690 D692 D760 D728 D713:D714 D716:D719 D721 D710:D711 D746:D749 D753:D756 D676 D645 D638:D643 D662 D658 D666"/>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756 G159 G132 G148:G151 G161:G163">
      <formula1>S.Planning.BANNER.Begin</formula1>
      <formula2>S.Planning.BANNER.End</formula2>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760 G753">
      <formula1>S.PostEQC.BANNER.Begin</formula1>
      <formula2>S.PostEQC.BANNER.End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753:H755 H760">
      <formula1>S.PostEQC.BANNER.Begin</formula1>
      <formula2>S.PostEQC.BANNER.End</formula2>
    </dataValidation>
    <dataValidation type="date" allowBlank="1" showInputMessage="1" showErrorMessage="1" errorTitle="OUTSIDE VALID DATE RANGE" error="Enter a date between filing with SOS and team celebration." promptTitle="ENTER START DATE" prompt="DEFAULT  SOS filing date_x000a__x000a_OVERWRITE   Yes, to a date between the default and the team ccelebration date" sqref="G749">
      <formula1>S.PostEQC.FileRuleWithSOS</formula1>
      <formula2>S.PostEQC.BANNER.End</formula2>
    </dataValidation>
    <dataValidation type="list" allowBlank="1" showInputMessage="1" showErrorMessage="1" sqref="C747 C342:C344 C355:C357 C278 C289 C232 C243 C220 C209 C266 C255 C301 C312 C195:C196 C49 C25 C21 C18:C19 C16 C111 C34 C125:C128 C139:C141 C38:C40 C432 C428 C436 C450 C493 C446:C448 C370:C377 C563:C565 C606:C608 C710 C662 C658 C666 C671">
      <formula1>"Y,N"</formula1>
    </dataValidation>
    <dataValidation type="date" allowBlank="1" showInputMessage="1" showErrorMessage="1" errorTitle="LOCKED" error="Modify under Overview of Key Dates - cell H28" promptTitle="LOCKED" prompt="This is a key date. Modify under Overview of Key Dates - cell H28." sqref="H744 H165 H610 H692 H747">
      <formula1>S.Notice.SubmitToEPA</formula1>
      <formula2>S.Notice.SubmitToEPA</formula2>
    </dataValidation>
    <dataValidation type="date" allowBlank="1" showInputMessage="1" showErrorMessage="1" errorTitle="LOCKED" error="Modify under Overview of Key Dates - cell G19" promptTitle="LOCKED" prompt="This is a key date. Modify under Overview of Key Dates in cell G19." sqref="G747 G165 G610">
      <formula1>S.SIP.Start</formula1>
      <formula2>S.SIP.Start</formula2>
    </dataValidation>
    <dataValidation type="date" allowBlank="1" showInputMessage="1" showErrorMessage="1" errorTitle="LOCKED" error="Modify under Overview of Key Dates - cell G19" promptTitle="LOCKED" prompt="This is a key date. Modify under Overview of Key Dates in cell G19." sqref="G746">
      <formula1>S.PostEQC.FileRuleWithSOS</formula1>
      <formula2>S.PostEQC.FileRuleWithSOS+45</formula2>
    </dataValidation>
    <dataValidation type="date" allowBlank="1" showInputMessage="1" showErrorMessage="1" errorTitle="LOCKED" error="Modify under Overview of Key Dates - cell G19" promptTitle="ENTER DATE" prompt="DEFAULT  15 days after filing with SOS_x000a__x000a_OVERWRITE  Yes, to a date between filihg with SOS and 45 days after filing with SOS" sqref="H746">
      <formula1>S.PostEQC.FileRuleWithSOS</formula1>
      <formula2>S.PostEQC.FileRuleWithSOS+45</formula2>
    </dataValidation>
    <dataValidation type="date" operator="greaterThan" allowBlank="1" showInputMessage="1" showErrorMessage="1" errorTitle="LOCKED" error="Modify under Overview of Key Dates - cell G19" promptTitle="LOCKED" prompt="This is a key date. Modify under Overview of Key Dates in cell G19." sqref="G744">
      <formula1>S.PostEQC.FileRuleWithSOS</formula1>
    </dataValidation>
    <dataValidation allowBlank="1" showInputMessage="1" showErrorMessage="1" errorTitle="LOCKED" error="Modify under Overview of Key Dates." promptTitle="LOCKED" prompt="The EQC meeting date. Modify under Overview of Key Dates." sqref="G748"/>
    <dataValidation type="date" allowBlank="1" showInputMessage="1" showErrorMessage="1" errorTitle="OUTSIDE VALID DATE RANGE" error="Enter a date within 60 days of rule adoption" promptTitle="ENTER DATE" prompt="DEFAULT  45 days after rule adoption_x000a__x000a_OVERWRITE  Yes, to a date within 60 days of rule adoption" sqref="H748">
      <formula1>S.EQC.Meeting</formula1>
      <formula2>WORKDAY(S.EQC.Meeting+58,1,S.DDL_DEQClosed)</formula2>
    </dataValidation>
    <dataValidation allowBlank="1" showErrorMessage="1" sqref="AAK710:AAK714 AAK707:AAK708 B710:B71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733"/>
    <dataValidation allowBlank="1" showErrorMessage="1" promptTitle="RULE - SHOW INSERTIONS/DELETIONS" sqref="B722"/>
    <dataValidation allowBlank="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736"/>
    <dataValidation allowBlank="1" showInputMessage="1" showErrorMessage="1" promptTitle="ADDRESS" prompt="SHUTTLE LABLELS stored with Agency rules coordinator_x000a__x000a_Legislative Counsel_x000a_900 Court St NE S101_x000a_Salem, OR 97301_x000a_142000 " sqref="B728"/>
    <dataValidation type="date" allowBlank="1" showInputMessage="1" showErrorMessage="1" sqref="H703:H709">
      <formula1>S.EQC.Meeting</formula1>
      <formula2>S.PostEQC.BANNER.End</formula2>
    </dataValidation>
    <dataValidation type="date" operator="greaterThanOrEqual" allowBlank="1" showInputMessage="1" showErrorMessage="1" errorTitle="OUTSIDE VALID DATE RANGE" error="Select a date greater than or equal to the EQC meeting date" promptTitle="ENTER DATE" prompt="DEFAULT  the SOS submittal date entered under the Overview of Key Dates banner_x000a__x000a_OVERWRITE  Yes, to a date greater than or equal to the EQC meeting date" sqref="H721">
      <formula1>S.EQC.Meeting</formula1>
    </dataValidation>
    <dataValidation operator="greaterThanOrEqual" allowBlank="1" showInputMessage="1" showErrorMessage="1" sqref="AAG701 AAG460:AAG462 AAG442 AAG444:AAG451 AAG464:AAG467 AAG470:AAG473 AAG484:AAG486 AAG488:AAG489 AAG428:AAG439 AAG412:AAG425 AAG379 AAG391:AAG393 AAG395:AAG408 AAG670:AAH670 AAG672:AAH673"/>
    <dataValidation type="date" allowBlank="1" showInputMessage="1" showErrorMessage="1" errorTitle="OUTSIDE VALID DATE RANGE" error="Enter a date between the date to the left and 90 days after the date to the left_x000a_" promptTitle="Rulemaking Complete" prompt="DEFAULT   About 90 days after the date to the left_x000a__x000a_OVERWRITE  Yes, to a date between the date to the left and the default or request an override from rules coordinators for a later date" sqref="H698">
      <formula1>S.PostEQC.BANNER.Begin</formula1>
      <formula2>WORKDAY(S.PostEQC.BANNER.Begin+89,1,S.DDL_DEQClosed)</formula2>
    </dataValidation>
    <dataValidation type="date" allowBlank="1" showInputMessage="1" showErrorMessage="1" errorTitle="LOCKED" error="This cell is locked._x000a_" promptTitle="START TASK" prompt="DEFAULT  EQC meeting date_x000a__x000a_OVERWRITE   No." sqref="G698">
      <formula1>S.EQC.Meeting</formula1>
      <formula2>S.PostEQC.BANNER.End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696:E697 E170:E171 E364:E365 E328:E329 E5 E53:E54 E548:E549 E614:E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696:G697 G170:G171 G364:G365 G328:G329 G5:G6 G53:G54 G548:G549 G614:G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697 H171 H365 H329 H6 H54 H549 H615"/>
    <dataValidation allowBlank="1" sqref="AAG689"/>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690 AAG556:AAG560">
      <formula1>S.Notice.BANNER.Begin</formula1>
      <formula2>S.Notice.CloseComment</formula2>
    </dataValidation>
    <dataValidation type="date" allowBlank="1" showInputMessage="1" showErrorMessage="1" errorTitle="OUT OF RANGE" error="Enter a date between the date on Develop EQC presentation row aboveand EQC meeting date" promptTitle="ENTER DATE" prompt="DEFAULT   START TASK date on Develop EQC presentation row above._x000a__x000a_OVERWRITE   Yes, to a date between the default and EQC meeting date" sqref="G689">
      <formula1>G689</formula1>
      <formula2>S.EQC.BANNER.End</formula2>
    </dataValidation>
    <dataValidation type="date" allowBlank="1" showInputMessage="1" showErrorMessage="1" errorTitle="OUT OF RANGE" error="Enter a date between the START TASK and END TASK dates on the  6-EQC banner" promptTitle="ENTER DATE" prompt="DEFAULT   START TASK date on 6-EQC Preparation banner_x000a__x000a_OVERWRITE  Yes, to a date between the START TASK and END TASK dates on the 6-EQC Preparation banner" sqref="G684:G688">
      <formula1>S.EQC.BANNER.Begin</formula1>
      <formula2>S.EQC.BANNER.End</formula2>
    </dataValidation>
    <dataValidation type="date" allowBlank="1" showInputMessage="1" showErrorMessage="1" errorTitle="OUT OF RANGE" error="Enter a date between the START TASK and END TASK dates on the 6-EQC banner" promptTitle="ENTER DATE" prompt="DEFAULT   One day before the EQC meeting_x000a__x000a_OVERWRITE  Yes, to a date between the START TASK and END TASK dates on the 6-EQC Preparation banner" sqref="H684:H688">
      <formula1>S.EQC.BANNER.Begin</formula1>
      <formula2>S.EQC.BANNER.End</formula2>
    </dataValidation>
    <dataValidation type="date" allowBlank="1" showInputMessage="1" showErrorMessage="1" errorTitle="LOCKED" error="Modify under Overview of Key Dates - cell G19" promptTitle="LOCKED" prompt="This is a key date. Modify under Overview of Key Dates in cell G19." sqref="G692">
      <formula1>S.EQC.Meeting</formula1>
      <formula2>S.Overview.BANNER.End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START TASK and END TASK dates on the 6-EQC Preparation banner" sqref="G674:G675 G437:G439 G433:G435 G429:G431 G619:G625 G647:G649 G634 G638:G643 G659:G661 G651:G657 G645 G667:G669 G663:G665">
      <formula1>S.EQC.BANNER.Begin</formula1>
      <formula2>S.EQC.BANNER.End</formula2>
    </dataValidation>
    <dataValidation allowBlank="1" showErrorMessage="1" promptTitle="OUTCOME BASED MEASURE" prompt="The number of loops is a reportable measure for outcome-based measures. Please track the start and end date for each loop. Ask the PE to add more loop lines if needed." sqref="B673 B138:B141 B436 B432 B428 B444:B448 B605:B608 B658 B666 B662"/>
    <dataValidation type="date" allowBlank="1" showInputMessage="1" showErrorMessage="1" errorTitle="OUT OF RANGE" error="Enter a date between the Start Task and END Task on the 6-EQC banner" promptTitle="ENTER DATE" prompt="DEFAULT   The latest for review date listed in the 19 rows above under column H _x000a__x000a_OVERWRITE  Yes, to a date between the START TASK and END TASK dates on the 6-EQC Preparation banner" sqref="G671">
      <formula1>S.EQC.BANNER.Begin</formula1>
      <formula2>S.EQC.BANNER.End</formula2>
    </dataValidation>
    <dataValidation type="date" allowBlank="1" showInputMessage="1" showErrorMessage="1" errorTitle="OUT OF RANGE" error="Enter a date between the END TASK date for the last loop and the SUBMIT EQC PACKET date below. Make any adjustments to the packet submittal date under Overview of Key Dates banner at top of workbook" promptTitle="ENTER DATE" prompt="DEFAULT   END TASK date for the last loop_x000a__x000a_OVERWRITE  Yes, to a date between the default and SUBMIT EQC PACKET date" sqref="G662 G436 G432 G666">
      <formula1>#REF!</formula1>
      <formula2>S.EQC.SubmitStaffRpt</formula2>
    </dataValidation>
    <dataValidation allowBlank="1" showErrorMessage="1" promptTitle="TEAM DISCRETION" prompt="The team may place an &quot;X&quot; in this location to indicate the task has been completed." sqref="C634 C154 AAL180 D233 D210 D256 D302 D279 C132 C102 C395"/>
    <dataValidation type="date" allowBlank="1" showInputMessage="1" showErrorMessage="1" promptTitle="LOCKED" prompt="DEFAULT   EQC Meeting date selected in cell G10" sqref="H616">
      <formula1>S.EQC.BANNER.Begin</formula1>
      <formula2>S.EQC.SubmitStaffRpt</formula2>
    </dataValidation>
    <dataValidation allowBlank="1" showInputMessage="1" showErrorMessage="1" promptTitle="ENTER DATE" prompt="DEFAULT  _x000a_For Permanent - date notice submitted to the Secretary of State_x000a_For Temporary - START TASK date on Overview of Key Dates banner_x000a__x000a_Overwrite   No" sqref="G616"/>
    <dataValidation allowBlank="1" showInputMessage="1" showErrorMessage="1" errorTitle="LOCKED" error="Change under Overview of Key Dates" promptTitle="LOCKED" prompt="Change under Overview of Key Dates" sqref="H590"/>
    <dataValidation type="date" allowBlank="1" showInputMessage="1" showErrorMessage="1" errorTitle="OUTSIDE VALID DATE RANGE" error="Enter a date between the close of public comment and the sumittal of date the team posted notice to the Rules Registry and staff report submittal date " promptTitle="ENTER DATE" prompt="DEFAULT  The comment close date_x000a__x000a_OVERWRITE   Yes, to a date between the default and the EQC staff report submittal date. " sqref="G597">
      <formula1>S.Notice.CloseComment</formula1>
      <formula2>S.Notice.BANNER.End</formula2>
    </dataValidation>
    <dataValidation type="date" allowBlank="1" showInputMessage="1" showErrorMessage="1" errorTitle="OUTSIDE VALID DATE RANGE" error="Enter a date between the End Task date on the row above_x000a_and the End Task date on the 5-Public comment and testimony banner" promptTitle="ENTER DATE" prompt="DEFAULT  The End Task date on the row above_x000a__x000a_OVERWRITE   Yes, to a date between the default and the End Task date on the 5-Public comment and testimony banner" sqref="G599 G604:G608">
      <formula1>S.Notice.CloseComment</formula1>
      <formula2>S.Notice.BANNER.End</formula2>
    </dataValidation>
    <dataValidation allowBlank="1" showInputMessage="1" showErrorMessage="1" errorTitle="LOCKED:CHANGE UNDER NOTICE" sqref="AAK572 AAK574 AAK576 AAK578 AAK580 AAK582 AAK584"/>
    <dataValidation allowBlank="1" showInputMessage="1" showErrorMessage="1" errorTitle="LOCKED:CHANGE UNDER NOTICE" error="Change the city name under 4-Notice banner" sqref="AAK570 B584 B582 B580 B578 B576 B574 B572 B570"/>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567:G568 G589">
      <formula1>S.PostNoticeToRegistry</formula1>
      <formula2>S.EQC.SubmitStaffRpt</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592 G587:G588">
      <formula1>S.HearingFirst</formula1>
      <formula2>S.Hearing.BANNER.End</formula2>
    </dataValidation>
    <dataValidation allowBlank="1" showInputMessage="1" showErrorMessage="1" promptTitle="LOCKED: CANNOT CHANGE DATE HERE" prompt="Change the hearing dates under Public notice section." sqref="H572 H584 AAH582 H570 H582 AAH580 AAH578 H580 H578 AAH576 AAH574 H576 H574 AAH572 AAH570 AAH584"/>
    <dataValidation type="date" allowBlank="1" showInputMessage="1" showErrorMessage="1" errorTitle="OUTSIDE VALID DATE RANGE" error="Enter a date between the 1st Punlic hearing date and the End Task date on the 5-Public Comment and Testimony banner" promptTitle="ENTER TASK START DATE" prompt="DEFAULT   1st public hearing date_x000a__x000a_OVERWRITE   Yes, to a date between the default and the End Task Date on the 5-Public Comment and Testimony banner" sqref="G594:G596">
      <formula1>S.Hearing.1stDate</formula1>
      <formula2>S.Hearing.BANNER.End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48"/>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562:H565 H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62:G565 G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56:G560">
      <formula1>S.Hearing.BANNER.Begin</formula1>
      <formula2>S.Hearing.BANNER.End</formula2>
    </dataValidation>
    <dataValidation allowBlank="1" showInputMessage="1" sqref="AAG561:AAG565"/>
    <dataValidation type="date" allowBlank="1" showInputMessage="1" showErrorMessage="1" errorTitle="OUTSIDE VLKID DATE RANGE" error="Enter a date betweenthe DA briefing meeting and 7 days before emailing to RulePublication date" promptTitle="TASK DEQDLINE" prompt="DEFUALT          The day after the DA briefing meeting_x000a__x000a_OVERWRITE      Yes, to a date that provides a 7-day preview period before emailing RulePublication_x000a_" sqref="H478">
      <formula1>S.Notice.DABriefing</formula1>
      <formula2>WORKDAY(S.Notice.EMAIL.RulePublication-6,-1,S.DDL_DEQClosed)</formula2>
    </dataValidation>
    <dataValidation type="date" allowBlank="1" showInputMessage="1" showErrorMessage="1" errorTitle="OUTSIDE VALID DATE RANGE" error="Enter a date between the STARTS preview period and Rules Publication date" promptTitle="TASK END" prompt="DEFUALT         7 workdays after opening preview period_x000a__x000a_OVERWRITE      Yes, to a date between STARTS preview period and submitting Notice Packet to Rule publication_x000a__x000a_" sqref="H481">
      <formula1>S.Notice.PreviewBegin</formula1>
      <formula2>S.Notice.EMAIL.RulePublication</formula2>
    </dataValidation>
    <dataValidation type="date" allowBlank="1" showInputMessage="1" showErrorMessage="1" errorTitle="INVALID DATE" error="Enter a date between the STARTS preview period above and the Rule publication date below" promptTitle="TASK END" prompt="DEFUALT           The start of the preview period listed above_x000a__x000a_OVERWRITE      Yes, to a date between the default and the Rule publication date below_x000a__x000a_" sqref="H483">
      <formula1>S.Notice.PreviewBegin</formula1>
      <formula2>S.Notice.EMAIL.RulePublication</formula2>
    </dataValidation>
    <dataValidation allowBlank="1" showInputMessage="1" showErrorMessage="1" errorTitle="OUT OF RANGE" error="Enter a date that is between the 20th work day before the SOS notice submittal date and the staff report due date." promptTitle="START TASK DATE" prompt="DEFAULT   About 20 days before submitting notice to SOS_x000a__x000a_OVERWRITE  No." sqref="G550"/>
    <dataValidation type="date" allowBlank="1" showInputMessage="1" showErrorMessage="1" errorTitle="DATE OUT OF RANGE" error="Enter a date between the date to the left and the staff report submittal date" promptTitle="END TASK DATE" prompt="DEFAULT  The final EQC Packet review date_x000a__x000a_OVERTWRITE  Yes, to a date between the date to the left and the staff report submittal date." sqref="H550">
      <formula1>S.Hearing.BANNER.Begin</formula1>
      <formula2>S.EQC.SubmitStaffRpt</formula2>
    </dataValidation>
    <dataValidation type="date" allowBlank="1" showErrorMessage="1" errorTitle="LOCKED" error="Enter a date between submittal to SOS and  the notice publication in the Bulletin." promptTitle="ENTER DATE" prompt="Enter a date between the notice submittal to Secretary of State and publication of the notice in the Bulletin." sqref="G543">
      <formula1>S.Notice.OpenComment</formula1>
      <formula2>S.Notice.BANNER.Begin</formula2>
    </dataValidation>
    <dataValidation type="date" allowBlank="1" showInputMessage="1" showErrorMessage="1" errorTitle="OUTSIDE VALID DATE RANGE" error="Enter a date between the notice submittal to SOS and the Open public comment dates" promptTitle="TASK DATE" prompt="DEAFULT  Date notice submitted to SOS_x000a__x000a_OVERWRITE  Yes to a date between the default and the Open public comment" sqref="G533 G524:G528">
      <formula1>S.Notice.SubmitToSOS</formula1>
      <formula2>S.Notice.OpenComment</formula2>
    </dataValidation>
    <dataValidation type="date" allowBlank="1" showInputMessage="1" showErrorMessage="1" errorTitle="OUTSIDE VALID DATE RANGE" error="Enter a date between submittal to SOS and  the Open public comment date" promptTitle="START TASK" prompt="DEFAULT  notice submittal to Secretary of State_x000a__x000a_OVERWRITE   Yes, to a date between the default and the Open public comment date" sqref="G539:G541">
      <formula1>S.Notice.SubmitToSOS</formula1>
      <formula2>S.Notice.OpenComment</formula2>
    </dataValidation>
    <dataValidation type="date" allowBlank="1" showInputMessage="1" showErrorMessage="1" errorTitle="OUTSIDE VALID DATE RANGE" error="Enter a date between the date to the Start Task and End Task dates on the Notice banner" promptTitle="TASK START" prompt="DEFAULT   Start Task date on Notice banner_x000a__x000a_OVEWRITE   Yes, to a date between the default and End Task dates on the Notice banner" sqref="G544">
      <formula1>S.Notice.BANNER.Begin</formula1>
      <formula2>S.Notice.BANNER.End</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450:B451 B462:B465"/>
    <dataValidation type="date" allowBlank="1" showInputMessage="1" showErrorMessage="1" errorTitle="OUTSIDE VALID DATE RANGE" error="Enter a date between the Start Task date on the 4-Public Notice banner and the and Open public comment entered under Overview of Key Dates banner" promptTitle="TASK START" prompt="DEFUALT           Start Task date on 4-Public Notice banner_x000a__x000a_OVERWRITE      Yes, to a date between the default and Open public comment entered under Overview of Key Dates banner_x000a__x000a__x000a_" sqref="G470:G473 G413:G425 G464:G467 G460:G462 G442 G444 G446:G451">
      <formula1>S.Notice.BANNER.Begin</formula1>
      <formula2>S.Notice.OpenComment</formula2>
    </dataValidation>
    <dataValidation allowBlank="1" showInputMessage="1" showErrorMessage="1" promptTitle="ADD PUBLICATION" prompt="After &quot;NOTICE.AD##.&quot; enter the name of the publication." sqref="B452:B459"/>
    <dataValidation type="date" allowBlank="1" showInputMessage="1" showErrorMessage="1" errorTitle="OUTSIDE VALID DATE RANGE" error="Enter a date between the Start Task on the Notice banner and 7 full days before emailing RulePublication. _x000a__x000a_" promptTitle="TASK START" prompt="DEFUALT           About 21 days before the emailing RulePublication_x000a__x000a_OVERWRITE      Yes, to an earlier date or a date that provides at least 7 days in preview and 5 days with RulePublications" sqref="H475">
      <formula1>S.Notice.BANNER.Begin</formula1>
      <formula2>WORKDAY(S.Notice.EMAIL.RulePublication-12,-1,S.DDL_DEQClosed)</formula2>
    </dataValidation>
    <dataValidation allowBlank="1" showInputMessage="1" showErrorMessage="1" promptTitle="MANDATORY" prompt="Really!  R E L A X" sqref="D502 D346"/>
    <dataValidation allowBlank="1" showInputMessage="1" showErrorMessage="1" promptTitle="TASK COMPLETED" prompt="DEFAULT  The earliest date between the Submit to SOS or Open Comment dates_x000a__x000a_OVERWRITE  Yes, to the date " sqref="H520"/>
    <dataValidation allowBlank="1" showInputMessage="1" showErrorMessage="1" errorTitle="LOCKED" error="To make changes" sqref="H491"/>
    <dataValidation type="date" operator="lessThan" allowBlank="1" showInputMessage="1" showErrorMessage="1" errorTitle="OUTSIDE VALID DATE RANGE" error="Enter a date before the 1st hearing date_x000a_" promptTitle="TASK END" prompt="DEFUALT         2 workdays before the Open Comment date_x000a__x000a_OVERWRITE      Yes, to a date earlier than the 1st hearing. WARNING! It is up to you to maintain all deadlines for advertisements!_x000a__x000a__x000a_" sqref="H452:H459">
      <formula1>S.Hearing.1stDate</formula1>
    </dataValidation>
    <dataValidation type="date" allowBlank="1" showInputMessage="1" showErrorMessage="1" errorTitle="OUTSIDE VALID DATE RANGE" error="Enter a date between the start of the preview period for Notice Packet and the Rule publication date below_x000a_" promptTitle="START TASK DATE" prompt="DEFUALT          The start of the preview period listed above _x000a__x000a_OVERWRITE     Yes, to a date between the default and the Rule publication date_x000a_" sqref="G484:G486 G488:G489">
      <formula1>S.Notice.PreviewBegin</formula1>
      <formula2>S.Notice.EMAIL.RulePublication</formula2>
    </dataValidation>
    <dataValidation type="date" allowBlank="1" showInputMessage="1" showErrorMessage="1" errorTitle="OUTSIDE VALID DATE RANGE" error="Enter a date between the end of the preview period and the email date to Rule publication._x000a_" promptTitle="TASK END" prompt="DEFUALT           One workday before emailing Rule publication_x000a__x000a_OVERWRITE      Yes, to a date between the end of the preview period and the email date to Rule publication._x000a__x000a__x000a_" sqref="H484:H489 H493 H495 H498">
      <formula1>S.Notice.PreviewEnd</formula1>
      <formula2>S.Notice.EMAIL.RulePublication</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01">
      <formula1>WORKDAY(MIN(S.Notice.SubmitToSOS,S.Notice.OpenComment),-5,S.DDL_DEQClosed)</formula1>
    </dataValidation>
    <dataValidation type="date" allowBlank="1" showInputMessage="1" showErrorMessage="1" errorTitle="OUTSIDE VALID DATE RANGE" error="Enter a date between Start Task date on the 4-Public Notice banner and 10 workdays before start preview date." promptTitle="TASK END" prompt="DEFUALT         The Start Task date on the 4-Public Noticet banner_x000a__x000a_OVERWRITE     Yes, to a date between the default and 10 workdays before start preview period date._x000a__x000a__x000a_" sqref="H410">
      <formula1>S.Notice.BANNER.Begin</formula1>
      <formula2>WORKDAY(S.Notice.PreviewBegin-9,-1,S.DDL_DEQClosed)</formula2>
    </dataValidation>
    <dataValidation allowBlank="1" showInputMessage="1" showErrorMessage="1" errorTitle="LOCKED" error="Change DA briefing date below. CANNOT be changed to a later date." sqref="H411"/>
    <dataValidation allowBlank="1" showInputMessage="1" showErrorMessage="1" errorTitle="LOCKED" error="Change Start Preview date below" sqref="G412"/>
    <dataValidation allowBlank="1" showInputMessage="1" showErrorMessage="1" errorTitle="LOCKED" error="Change under End Preview period" sqref="H412"/>
    <dataValidation type="date" allowBlank="1" showInputMessage="1" showErrorMessage="1" errorTitle="OUTSIDE VALID DATE RANGE" error="Enter a date between the Start Task date on the 4-Public Notice banner and the start preview period" promptTitle="TASK START" prompt="DEFUALT           Start Task date on 4-Public Notice banner_x000a__x000a_OVERWRITE      Yes, to a date between the default and start preview period._x000a__x000a__x000a_" sqref="G391:G393 G395:G408">
      <formula1>S.Notice.BANNER.Begin</formula1>
      <formula2>S.Notice.PreviewBegin</formula2>
    </dataValidation>
    <dataValidation type="date" allowBlank="1" showInputMessage="1" showErrorMessage="1" errorTitle="OUTSIDE VALID DATE RANGE" error="Enter a date between the START TASK date on the 4-Public Notice banner and the date of the LAST hearing." promptTitle="START LINE TASK" prompt="DEFUALT           Start Task date on 4-Public Notice banner_x000a__x000a_OVERWRITE      Yes, to a date between the default and the date of the LAST hearing (If only 1 hearing, defaults to FIRST hearing date.)_x000a__x000a__x000a_" sqref="G379">
      <formula1>S.Notice.BANNER.Begin</formula1>
      <formula2>S.Notice.LastHearingDate</formula2>
    </dataValidation>
    <dataValidation allowBlank="1" showInputMessage="1" showErrorMessage="1" promptTitle="LOCKED CELL" prompt="Change first hearing date under Overview of Key Dates banner." sqref="G370"/>
    <dataValidation type="date" allowBlank="1" showInputMessage="1" showErrorMessage="1" errorTitle="OUTIDE VALID DATE RANGE" error="Enter a date between the date in the cell above and the Close of Comment." promptTitle="ENTER DATE AS MM/DD/YY" prompt="DEFAULT  Date of hearing in cell above_x000a__x000a_OVERWRITE   Yes, to a date between the default and the Close of Comment date._x000a_" sqref="G371:G377">
      <formula1>S.Hearing.1stDate</formula1>
      <formula2>S.Notice.CloseComment</formula2>
    </dataValidation>
    <dataValidation allowBlank="1" showInputMessage="1" showErrorMessage="1" promptTitle="ENTER TIME" prompt="Enter the time of this hearing as hh_x000a_ followed by a.m. or p.m._x000a__x000a_EXAMPLE: 6 p.m._x000a__x000a__x000a_" sqref="H370:H37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381 B180"/>
    <dataValidation allowBlank="1" showInputMessage="1" showErrorMessage="1" promptTitle="LOCKED CELL" prompt="Change first hearing date under Overview of Key Dates banner." sqref="G378"/>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358">
      <formula1>#REF!</formula1>
      <formula2>#REF!</formula2>
    </dataValidation>
    <dataValidation type="date" operator="greaterThanOrEqual" allowBlank="1" showInputMessage="1" showErrorMessage="1" errorTitle="OUTSIDE VALID DATE RANGE" error="The date must be between the Start Task date on the Overview of Key Dates banner and the Close of Comment shown in the cell to the right. " promptTitle="TASK START" prompt="DEFAULT          If this rulemaking involves a Notice, the Start Task date on Overview of Key Dates banner._x000a__x000a_OVERWRITE        Yes, to a date between the Start Task date on the Overview of Key Dates banner and the Close of Comment date in cell to right " sqref="G366">
      <formula1>S.Overview.BANNER.Start</formula1>
    </dataValidation>
    <dataValidation type="date" allowBlank="1" showInputMessage="1" showErrorMessage="1" errorTitle="LOCKED" error="To change, adjust Close of Comment under Overview of Key Dates." promptTitle="LOCKED CELL" prompt="Change Close of Comment under Overview of Key Dates banner." sqref="H366">
      <formula1>S.Notice.CloseComment</formula1>
      <formula2>S.Notice.CloseComment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7 G340:G344 G355">
      <formula1>#REF!</formula1>
      <formula2>S.Fee.BANNER.End</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351">
      <formula1>S.Fee.BANNER.Begin</formula1>
      <formula2>S.Fee.SubmitToDAS</formula2>
    </dataValidation>
    <dataValidation type="date" allowBlank="1" showInputMessage="1" showErrorMessage="1" errorTitle="LOCKED" error="Change under notice section of OVerview of Key Dates" promptTitle="LOCKED" prompt="Change under notice section of Overview of Key Dates_x000a__x000a__x000a_" sqref="G348">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2">
      <formula1>S.Fee.BANNER.Begin</formula1>
      <formula2>S.Fee.BANNER.End</formula2>
    </dataValidation>
    <dataValidation type="date" allowBlank="1" showInputMessage="1" showErrorMessage="1" errorTitle="OUTSIDE DATES BANNERE" error="Enter a date that is between the date in the cell above and the END date on the Fee Approval banner." promptTitle="TASK START" prompt="DEFUALT          The default equals about 10 days after of DAS' response _x000a__x000a_OVERWRITE       Yes, to a date between the date above and the END date on the Fee Approval banner._x000a__x000a__x000a__x000a_" sqref="G353">
      <formula1>S.Fee.BANNER.Begin</formula1>
      <formula2>S.Fee.SubmitToDAS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334">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336:G339">
      <formula1>S.Fee.BANNER.Begin</formula1>
      <formula2>S.Fee.BANNER.End</formula2>
    </dataValidation>
    <dataValidation type="date" allowBlank="1" showInputMessage="1" showErrorMessage="1" errorTitle="OUTSIDE VALID DATE RANGE" error="Enter a date between the date to the left and 3 workdays before Oregon Bulletin publication date." promptTitle="END TASK" prompt="DEFAULT   If there is Public Notice - the submittal date to Secretary of State. If no Public Notice, 30 workdays days after the date to left_x000a__x000a_OVERWRITE   Yes, to a date between the date to the left and 3 workdays before Oregon Bulletin publication date." sqref="H330">
      <formula1>S.Fee.BANNER.Begin</formula1>
      <formula2>WORKDAY(S.Notice.InOregonBulletin-2,-1,S.DDL_DEQClosed)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2 G197">
      <formula1>#REF!</formula1>
      <formula2>S.AC.BANNER.End</formula2>
    </dataValidation>
    <dataValidation type="date" allowBlank="1" showInputMessage="1" showErrorMessage="1" errorTitle="LOCKED" promptTitle="LOCKED" prompt="Entered under Overview of Key Dates" sqref="G330">
      <formula1>S.Planning.BANNER.Begin</formula1>
      <formula2>S.Fee.SubmitToDAS</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204 G185">
      <formula1>S.AC.BANNER.Begin</formula1>
      <formula2>S.AC.BANNER.End</formula2>
    </dataValidation>
    <dataValidation allowBlank="1" showErrorMessage="1" errorTitle="LOCKED" error="Change the date to the right of &quot;Meeting #&quot; title" promptTitle="TASK END" prompt="DEFAULT              The date to the left_x000a__x000a_OVERWRITE          Yes, to a date that is between the date to the left and the End Task date on the Advisory committee banner._x000a__x000a_" sqref="H252 H321 H275 H229 H298"/>
    <dataValidation allowBlank="1" showErrorMessage="1" promptTitle="OPTIONAL TASK COMPLETED" prompt="The team may place an &quot;X&quot; in this location to indicate the task has been completed." sqref="D303 D280 D234 D211 D257"/>
    <dataValidation allowBlank="1" showInputMessage="1" showErrorMessage="1" promptTitle="ENTER TIME" prompt="Enter the time of the advisory committee meeting as hh:mm followed by a.m. or p.m._x000a__x000a__x000a_" sqref="H301 H278 H232 H209 H255"/>
    <dataValidation allowBlank="1" showInputMessage="1" showErrorMessage="1" promptTitle="ENTER LOCATION" prompt="Enter location of advisory committee meeting." sqref="E301:F301 E278:F278 E232:F232 E255:F255"/>
    <dataValidation type="date" allowBlank="1" showInputMessage="1" showErrorMessage="1" errorTitle="OUT OF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33 G279 G302 G256">
      <formula1>S.AC.SendInvitation</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301">
      <formula1>S.AC.DateMeeting4</formula1>
      <formula2>S.AC.BANNER.End</formula2>
    </dataValidation>
    <dataValidation type="date" allowBlank="1" showInputMessage="1" showErrorMessage="1" errorTitle="OUTSIDE VALID DATE RANGE" error="Enter a date between the date of this meeting and End Task date on the Advisory Committee banner." promptTitle="ENTER START TASK DATE" prompt="DEFAULT           The date of this meeting_x000a__x000a_OVERWRITE       Yes, to a date between the default and End Task date on the Advisory Committee banner.   _x000a_" sqref="G253:G254 G322:G323 G276:G277 G299:G300">
      <formula1>S.AC.DateMeeting1</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78">
      <formula1>S.AC.DateMeeting3</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55">
      <formula1>S.AC.DateMeeting2</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32">
      <formula1>S.AC.DateMeeting1</formula1>
      <formula2>S.AC.BANNER.End</formula2>
    </dataValidation>
    <dataValidation type="date" allowBlank="1" showInputMessage="1" showErrorMessage="1" errorTitle="OUTSIDE VALID DATE RANGE" error="Enter a date between the Start Task and End Task datees on the Advisory Committee banner." promptTitle="TASK START" prompt="DEFAULT         The Start Task date on the Advisory Committee banner _x000a__x000a_OVERWRITE       Yes, to a date between the default and the End task date on the Advisory Committee banner.   _x000a_" sqref="G208 G205:G206">
      <formula1>S.AC.BANNER.Begin</formula1>
      <formula2>S.AC.BANNER.End</formula2>
    </dataValidation>
    <dataValidation type="date" allowBlank="1" showInputMessage="1" showErrorMessage="1" errorTitle="OUTSIDE VALID DATE RANGE" error="Yes, to a date between the date DEQ sent the committtee inviation and  the End Task date on the Advisory Committee banner" promptTitle="ENTER MEETING DATE" prompt="Enter the date of the advisory committee meeting as mm/dd/yy._x000a__x000a_DEFAULT   14 workdays after sending the invitation. _x000a__x000a_OVERWRITE   Yes, to a date between the date DEQ sent the committtee inviation and  the End Task date on the Advisory Committee banner_x000a__x000a_" sqref="G209">
      <formula1>S.AC.SendInvitation</formula1>
      <formula2>S.AC.BANNER.End</formula2>
    </dataValidation>
    <dataValidation type="date" allowBlank="1" showInputMessage="1" showErrorMessage="1" errorTitle="OUTSIDE VALID DATE RANGE" error="Enter a date between themeeting date and the  End Task date on the Advisory Committee banner.   _x000a_" promptTitle="ENTER START TASK DATE" prompt="DEFAULT          The day of the meeting _x000a__x000a_OVERWRITE       Yes, to a date between the default and End Task date on the Advisory Committee banner.   _x000a_" sqref="G230:G231">
      <formula1>S.AC.DateMeeting1</formula1>
      <formula2>S.AC.BANNER.End</formula2>
    </dataValidation>
    <dataValidation type="date" allowBlank="1" showInputMessage="1" showErrorMessage="1" errorTitle="OUTSIDE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10">
      <formula1>S.AC.SendInvitation</formula1>
      <formula2>S.AC.BANNER.End</formula2>
    </dataValidation>
    <dataValidation type="date" allowBlank="1" showInputMessage="1" showErrorMessage="1" errorTitle="OUTSIDE VALID DATE RANGE" error="Enter a date between the date the team sent the invitation and End Task date on the Advisory Committee banner.   _x000a_" promptTitle="ENTER START TASK DATE" prompt="DEFAULT          The date in the cell above_x000a__x000a_OVERWRITE       Yes, to a date between the date the team sent the invitation and End Task date on the Advisory Committee banner.   _x000a_" sqref="G212:G219 G222 G224:G228 G235:G242 G245 G247:G251 G258:G265 G268 G270:G274 G281:G288 G291 G293:G297 G304:G311 G314 G316:G320">
      <formula1>S.AC.SendInvitation</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198">
      <formula1>#REF!</formula1>
      <formula2>S.AC.BANNER.End</formula2>
    </dataValidation>
    <dataValidation allowBlank="1" showInputMessage="1" showErrorMessage="1" promptTitle="ENTER TASK END DATE" prompt="DEFAULT" sqref="AAH330"/>
    <dataValidation type="date" allowBlank="1" showInputMessage="1" showErrorMessage="1" errorTitle="OUTSIDE VALID DATE RAMGE" error="Enter a date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93:G196 G186:G187 G133:G134">
      <formula1>S.AC.BANNER.Begin</formula1>
      <formula2>S.AC.BANNER.End</formula2>
    </dataValidation>
    <dataValidation allowBlank="1" showInputMessage="1" showErrorMessage="1" promptTitle="ADVISORY COMMITTEE CHARTER" prompt="The Considerations workbook helps the team  identify what is in- and out- of the advisory committee's scope." sqref="B196"/>
    <dataValidation allowBlank="1" showInputMessage="1" showErrorMessage="1" promptTitle="OPTIONAL - COMMITTEE WEBSITE" prompt="The Design Team may decide to develop an advisory committee website." sqref="B195"/>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0:G182">
      <formula1>S.AC.BANNER.Begin</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Task and End Task dates on the advisory committee banner.   _x000a_" sqref="G176">
      <formula1>S.AC.BANNER.Begin</formula1>
      <formula2>S.AC.BANNER.End</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172">
      <formula1>S.AC.BANNER.Begin</formula1>
      <formula2>S.AC.BANNER.Begin</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172">
      <formula1>S.AC.BANNER.End</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5 G137">
      <formula1>#REF!</formula1>
      <formula2>S.Notice.BANNER.End</formula2>
    </dataValidation>
    <dataValidation allowBlank="1" showInputMessage="1" showErrorMessage="1" errorTitle="DATE RANGE ERROR" error="The date entered must be between the START and END date on the Planning section heade." promptTitle="LOCKED" prompt="This is the Task Start date entered on the Overview of Key Dates banner." sqref="H59"/>
    <dataValidation type="list" allowBlank="1" showInputMessage="1" showErrorMessage="1" sqref="C100">
      <formula1>"A,P,R"</formula1>
    </dataValidation>
    <dataValidation type="date" allowBlank="1" showInputMessage="1" showErrorMessage="1" errorTitle="OUTSIDE VALID DATE RANGE" error="Enter a date between the Start Task and End Task dates on the Planning banner" promptTitle="ENTER START DATE" prompt="DEFAULT  The team training date in column H of the active date row above_x000a__x000a_OVERWRITE   Yes, to a date between the Start Task and  End Task dates on the Planning banner" sqref="G87:G89">
      <formula1>S.Planning.BANNER.Begin</formula1>
      <formula2>S.Planning.BANNER.End</formula2>
    </dataValidation>
    <dataValidation type="date" allowBlank="1" showInputMessage="1" showErrorMessage="1" errorTitle="OUTSIDE VALIS DATE RANGE" error="Enter a date between the Start and End Task dates on the Planning banner" promptTitle="ENTER START DATE" prompt="DEFAULT  Start Task date on the Planning banner_x000a_ _x000a_OVERWRITE   Yes, to a date between the default and the end Task date on the Planning banner" sqref="G61:G65">
      <formula1>S.Planning.BANNER.Begin</formula1>
      <formula2>S.Planning.BANNER.End</formula2>
    </dataValidation>
    <dataValidation type="date" allowBlank="1" showInputMessage="1" showErrorMessage="1" errorTitle="OUT OF DATE RANGE" error="Enter a date betweem the START date on the Overview of Key Dates banner and _x000a__x000a_IF DAS approval required - about 30 days before Open public comment_x000a__x000a_IF DAS email notification - Close public commentl" promptTitle="BEST PRACTICE" prompt="DEFAULT   _x000a_DAS approval required - about 30 days before Open public comment_x000a_DAS email notification - date of submittal to SOS _x000a__x000a_OVERWRITE   Yes, to a date between Start Task date on Overview of Key Dates banner and the default" sqref="H31">
      <formula1>S.Overview.BANNER.Start</formula1>
      <formula2>S.Notice.InOregonBulletin</formula2>
    </dataValidation>
    <dataValidation type="date" allowBlank="1" showInputMessage="1" showErrorMessage="1" errorTitle="OUTSIDE VALID DATE RANGE" error="Enter a date between the date to the left and the Start Task date on the 6- EQC preparation banner" promptTitle="TASK END" prompt="DEFAULT        Start Task date on Notice banner for permanent rules, Start Task date on EQC preparation banner for temporary rules_x000a__x000a_OVERWRITE    Yes, to  a date between the cell to the left and the Start Task date on the 6-EQCpreparation banner_x000a__x000a_" sqref="H55">
      <formula1>S.Planning.BANNER.Begin</formula1>
      <formula2>S.EQC.BANNER.Begin</formula2>
    </dataValidation>
    <dataValidation allowBlank="1" showInputMessage="1" showErrorMessage="1" promptTitle="LOCKED" prompt="This is the Task Start date entered on the Overview of Key Dates banner." sqref="G55"/>
    <dataValidation type="date" allowBlank="1" showInputMessage="1" showErrorMessage="1" errorTitle="OUTSIDE VALID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9">
      <formula1>S.EQC.Meeting</formula1>
      <formula2>S.Overview.BANNER.End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8">
      <formula1>S.EQC.Meeting</formula1>
      <formula2>WORKDAY(S.EQC.Meeting+10,0,S.DDL_EQCMeeting)</formula2>
    </dataValidation>
    <dataValidation type="list" allowBlank="1" showInputMessage="1" showErrorMessage="1" errorTitle="SELECT DATE FROM LIST" error="Select a date from the dropdown list of EQC dates." promptTitle="DROPDOWN LIST" prompt="DEFAULT   Calculated using the number of days added to the schedule through the choices above._x000a__x000a_OVERWRITE  Yes, by selecting EQC date from dropdown list. Dates in current year are exact. Dates in future years are approximate._x000a__x000a_" sqref="H43">
      <formula1>S.DDL_EQCMeeting</formula1>
    </dataValidation>
    <dataValidation type="date" operator="greaterThan" allowBlank="1" showInputMessage="1" showErrorMessage="1" errorTitle="OUT OF DATE RANGE" error="Enter date between the EQC meeting and the EndTask date on the Overview of Key Dates banner" promptTitle="ENTER DATE" prompt="DEFAULT   60 days after EQC adoption_x000a__x000a_OVERWRITE   Yes, to a date greater than the EQC meeting date " sqref="H50">
      <formula1>S.EQC.Meeting</formula1>
    </dataValidation>
    <dataValidation type="date" allowBlank="1" showInputMessage="1" showErrorMessage="1" errorTitle="OUT OF DATE RANGE" error="Enter date between the EQC meeting and the EndTask date on the Overview of Key Dates banner" promptTitle="ENTER DATE" prompt="DEFAULT   2 workdays after EQC meeting_x000a__x000a_OVERWRITE   Yes, to a date between the EQC meeting and the End Task date on the Overview of Key Dates banner. APA and Model rules don't have a deadline for filing rules after adoption." sqref="H47">
      <formula1>S.EQC.Meeting</formula1>
      <formula2>S.Overview.BANNER.End</formula2>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38 G39:H40">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38">
      <formula1>S.DDL_EQCMeeting</formula1>
    </dataValidation>
    <dataValidation type="date" allowBlank="1" showInputMessage="1" showErrorMessage="1" errorTitle="DATE OUT OF RANGE" error="Enter a date between the Last Hearing date and Staff report due to EQC assistant date below._x000a__x000a_The Last Hearing is equal to the First Hearing unless set to a later date under 4-Notice section below." promptTitle="ENTER DATE" prompt="DEFAULT   3 workdays after First Hearing above. _x000a__x000a_OVERWRITE   Yes, to a date between the Last Hearing and Staff report due tp EQC assistant date. Additional hearing dates are set under 4-Public Notice section._x000a_ " sqref="H35">
      <formula1>S.Notice.LastHearingDate</formula1>
      <formula2>S.EQC.SubmitStaffRpt</formula2>
    </dataValidation>
    <dataValidation type="date" allowBlank="1" showInputMessage="1" showErrorMessage="1" errorTitle="OUTSIDE VALID DATE RANGE" error="If SIP involved, enter the first workday that is at least 30 days after Open public comment. If not, enter the first workday on or after 15th of  month following Oregon Bulletin publication" promptTitle="ENTER DATE" prompt="DEFAULT   If SIP involved, first workday that is at least 30 days after Open public comment. If not, first workday on or after 15th of  month following Oregon Bulletin publication_x000a__x000a_OVERWRITE  Yes to a date between the default and Close of public comment." sqref="H34">
      <formula1>IF(S.SIP.Involved="N",WORKDAY(S.Notice.InOregonBulletin+13,1,S.DDL_DEQClosed),WORKDAY(S.Notice.OpenComment+29,1,S.DDL_DEQClosed))</formula1>
      <formula2>S.Notice.CloseComment</formula2>
    </dataValidation>
    <dataValidation type="list" allowBlank="1" showInputMessage="1" promptTitle="SELECT FROM DROP DOWN LIST" prompt="DEFAULT    If complexity =1, 60+ days before EQC meeting, otherwise 90+ before EQC meeeting. _x000a__x000a_OVERWRITE  Yes, select the Oregon Bulletin publication date. Bulletin always publishes on the 1st of the month regardless of holidays/ weekends/furloughs_x000a__x000a_" sqref="H30">
      <formula1>S.DDL_Bulletin</formula1>
    </dataValidation>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DEFAULT  The 15th of the month, earlier if the 15th is an office closure date, before the Oregon Bulletin publication month_x000a__x000a_OVERWRITE   Yes, to a date between the Start Task date on the Overview of Key Dates banner and the default" sqref="H29">
      <formula1>S.Overview.BANNER.Start</formula1>
      <formula2>VLOOKUP(S.Notice.InOregonBulletin,VL_Bulletin,2,FALSE)</formula2>
    </dataValidation>
    <dataValidation type="date" allowBlank="1" showInputMessage="1" showErrorMessage="1" errorTitle="OUTSIDE VALID DATE RANGE" error="Enter a date between the Start Task date on the on the Overview of Key dates banner and 14 DAYS days before the 1st hearing date" promptTitle="ENTER DATE" prompt="DEFAULT   Submit notice to SOS_x000a__x000a_OVERWRITE   Yes, to date at least 14 days before 1st hearing, not counting hearing date. This is usually the earlier date between the Oregon Bulletin publication or notiication to agency rulemaking list " sqref="H33">
      <formula1>S.Overview.BANNER.Start</formula1>
      <formula2>S.Hearing.1stDate-15</formula2>
    </dataValidation>
    <dataValidation allowBlank="1" showInputMessage="1" showErrorMessage="1" errorTitle="LOCKED" error="Set under the Notice section as the date the lead emailed Rule Publications for final review and publication." sqref="G28"/>
    <dataValidation allowBlank="1" showInputMessage="1" showErrorMessage="1" errorTitle="LOCKED" error="5 work days before the earlier of Submit notice to SOS date or Open public comment date_x000a__x000a_Set under Notice section" promptTitle="Locked" prompt="5 work days before the earlier of Submit notice to SOS date or Open public comment date_x000a__x000a_Set under Notice section" sqref="H28"/>
    <dataValidation type="date" operator="lessThanOrEqual" allowBlank="1" showInputMessage="1" showErrorMessage="1" error="Enter a date earlier than or equal to the staff report due date for the EQC meeting date below." promptTitle="ENTE" prompt="DEFAULT  Lookup from table of EQC meeting dates and associated staff report submittal dates_x000a__x000a_OVERWRITE   Yes, to an earlier date" sqref="H42">
      <formula1>VLOOKUP(S.EQC.Meeting,VL_EQCActivities,2,FALSE)</formula1>
    </dataValidation>
    <dataValidation type="whole" operator="notEqual" allowBlank="1" showInputMessage="1" showErrorMessage="1" promptTitle="ENTER NUMBER" prompt="DEFAULT   0_x000a__x000a_OVERWRITE  Yes, to a negative or positive whole numbe." sqref="D44:E44">
      <formula1>S.General.DaysRecommended</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4">
      <formula1>S.StartRulemaking</formula1>
      <formula2>S.Notice.SubmitToEPA</formula2>
    </dataValidation>
    <dataValidation type="date" operator="lessThanOrEqual" allowBlank="1" showInputMessage="1" showErrorMessage="1" errorTitle="OUTSIDE VALID DATE RANGE" error="Enter a date that is at least 45 days before Open public comment date_x000a_" promptTitle="ENTER START DATE" prompt="DEFAULT  45 days before Open public comment date_x000a__x000a_OVERWRITE  Yes, to a date earlier than the default_x000a_" sqref="H23">
      <formula1>S.Notice.OpenComment</formula1>
    </dataValidation>
    <dataValidation type="date" operator="lessThanOrEqual" allowBlank="1" showInputMessage="1" showErrorMessage="1" errorTitle="OUTSIDE VALID DATE RANGE" error="Enter a date that is at least 6 months before Open public comment date_x000a_" promptTitle="ENTER START DATE" prompt="DEFAULT  6 months before Open public comment date_x000a__x000a_OVERWRITE  Yes, to a date earlier than the default_x000a_" sqref="H22">
      <formula1>WORKDAY(DATE(YEAR(S.Notice.OpenComment),MONTH(S.Notice.OpenComment)-6,DAY(S.Notice.OpenComment+1)),-1,S.DDL_DEQClosed)</formula1>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17 H20"/>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7 G20">
      <formula1>S.StartRulemaking</formula1>
      <formula2>S.EQC.Meeting</formula2>
    </dataValidation>
    <dataValidation allowBlank="1" showInputMessage="1" showErrorMessage="1" errorTitle="LOCKED" error="Change this date under on the Fee banner - End Task date " promptTitle="LOCKED" prompt="DEFAULT   Task End a Date on Fee banner_x000a_ _x000a__x000a_" sqref="H18"/>
    <dataValidation type="date" allowBlank="1" showInputMessage="1" showErrorMessage="1" errorTitle="OUTSIDE VALID DATE RANGE" error="Enter a date between the PREPARE TO DRAFT RULES date under the Planning bannerand either the SOS notice submittal date for permanent rules - OR - EQC staff report submittal date for temporary rules" promptTitle="ENTER START DATE" prompt="DEFAULT  The PREPARE TO DRAFT RULES date under the Planning banner_x000a__x000a_OVERWRITE  Yes, to a date between the default and either the SOS notice submittal date for permanent rules - OR - EQC staff report submittal date for temporary rules" sqref="G16 G18">
      <formula1>S.PrepareToDraftRules</formula1>
      <formula2>IF(S.General.RuleType=1,S.Notice.SubmitToSOS,S.EQC.SubmitStaffRpt)</formula2>
    </dataValidation>
    <dataValidation type="list" allowBlank="1" showInputMessage="1" showErrorMessage="1" sqref="C14">
      <formula1>"1,2,3"</formula1>
    </dataValidation>
    <dataValidation type="list" allowBlank="1" showInputMessage="1" showErrorMessage="1" sqref="C12">
      <formula1>"P,T"</formula1>
    </dataValidation>
    <dataValidation allowBlank="1" showInputMessage="1" showErrorMessage="1" errorTitle=" " error=" " promptTitle="ENTER DA APPROVAL DATE" prompt="Enter the date the Division Administrator approved work to develop the concept for this potential rulemaking." sqref="G7"/>
    <dataValidation allowBlank="1" showInputMessage="1" showErrorMessage="1" errorTitle="LOCKED" error="System generated to 60 days plus the number of Processing days to provide time for post-EQC activities such as closing the rulemaking record." promptTitle="LOCKED" prompt="System generated to 60 days plus the number of Processing days to provide time for post-EQC activities such as closing the rulemaking record." sqref="H7"/>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operator="equal" allowBlank="1" showInputMessage="1" showErrorMessage="1" promptTitle="ADJUST L8" prompt="_x000a_ENTER        A positive or negative whole number to adjust the date in L8._x000a__x000a_DEFAULT     Today" sqref="AAF3"/>
    <dataValidation allowBlank="1" showInputMessage="1" showErrorMessage="1" promptTitle="DAYS ADDED TO SCHEDULE" prompt="CALCULATION   For this section only, this colum represents the number of days addded to the schedule based on the selection made to the left _x000a_" sqref="E6"/>
    <dataValidation allowBlank="1" showInputMessage="1" showErrorMessage="1" errorTitle="LOCKED" error="Set under the Notice section." promptTitle="LOCKED" prompt="DEFAULT  21 work days before the earlier date between SOS submittal or Open public comment_x000a__x000a_OVERWRITE   No, change under Notice section" sqref="G26"/>
    <dataValidation allowBlank="1" showInputMessage="1" showErrorMessage="1" errorTitle="LOCKED" error="Set under Notice section" promptTitle="Locked" prompt="DEFAULT  7 workdays after start of preview period_x000a__x000a_OVERSWRITE  No, set under Notice section" sqref="H26"/>
    <dataValidation type="date" allowBlank="1" showInputMessage="1" showErrorMessage="1" errorTitle="OUT OF RANGE" error="Enter a date between the Start Task and End Task dates on the Planning banner" promptTitle="ENTER START DRAFT DATE" prompt="DEFAULT  The date the DA emailed approval_x000a__x000a_OVERWRITE   Yes, to a date between the default and the End Task date on the Planning banner" sqref="G102">
      <formula1>S.Planning.BANNER.Begin</formula1>
      <formula2>S.Planning.BANNER.End</formula2>
    </dataValidation>
    <dataValidation type="date" allowBlank="1" showInputMessage="1" showErrorMessage="1" errorTitle="OUT OF RANGE" error="Enter a date between the Start Task and End Task dates on the Planning banner" promptTitle="ENTER START DATE" prompt="DEFAULT  The date the manager sent email that approved adding the rulemaking to the plan._x000a__x000a_OVERWRITE   Yes, to a date between the default and the End Task date on the Planning banner" sqref="G111 G113:G116 G118:G121 G123">
      <formula1>S.Planning.BANNER.Begin</formula1>
      <formula2>S.Planning.BANNER.End</formula2>
    </dataValidation>
    <dataValidation type="date" allowBlank="1" showInputMessage="1" showErrorMessage="1" errorTitle="OUTSIDE VALID DATE RANGE" error="Enter a date between the Start and End Task dates on the Overview of Key Dates banner" promptTitle="ENTER START TASK DATE" prompt="DEFAULT  The Start Task date on the Planning banner_x000a__x000a_OVERWRITE   Yes, to a date between the Start and End Task dates on the Overview of Key Dates banner" sqref="G166">
      <formula1>S.Planning.BANNER.Begin</formula1>
      <formula2>S.Planning.BANNER.End</formula2>
    </dataValidation>
    <dataValidation type="date" allowBlank="1" showInputMessage="1" showErrorMessage="1" errorTitle="OUTSIDE VALID DATE RANGE" error="Enter a date between the START and END date on the Advisory Committee banner." promptTitle="TASK START" prompt="DEFAULT           Equals Start Task date on the Advisory Committee banner _x000a__x000a_OVERWRITE       Yes, to a date between the START and END dates on the advisory committee banner.   _x000a_" sqref="G324">
      <formula1>S.AC.BANNER.Begin</formula1>
      <formula2>S.AC.BANNER.End</formula2>
    </dataValidation>
  </dataValidations>
  <hyperlinks>
    <hyperlink ref="C230" r:id="rId1" display="i"/>
    <hyperlink ref="C133" r:id="rId2" display="i"/>
    <hyperlink ref="C553" r:id="rId3" display="Q"/>
    <hyperlink ref="C179" r:id="rId4" display="i"/>
    <hyperlink ref="C214" r:id="rId5" display="i"/>
    <hyperlink ref="AAL180" r:id="rId6"/>
    <hyperlink ref="C222" r:id="rId7" display="i"/>
    <hyperlink ref="C535" r:id="rId8" location="receipt"/>
    <hyperlink ref="C59" r:id="rId9" display="i"/>
    <hyperlink ref="C154" r:id="rId10" display="i"/>
    <hyperlink ref="C721" r:id="rId11" display="i"/>
    <hyperlink ref="C80" r:id="rId12" display="i"/>
    <hyperlink ref="C728" r:id="rId13" display="i"/>
    <hyperlink ref="C512" r:id="rId14"/>
    <hyperlink ref="C470" r:id="rId15" display=" i"/>
    <hyperlink ref="C568" r:id="rId16" display="Q"/>
    <hyperlink ref="C205" r:id="rId17" display="i"/>
    <hyperlink ref="C226" r:id="rId18" display="i"/>
    <hyperlink ref="C495" r:id="rId19"/>
    <hyperlink ref="C514" r:id="rId20"/>
    <hyperlink ref="C464" location="HearingAndAdDates!A1" display="i"/>
    <hyperlink ref="C520" r:id="rId21"/>
    <hyperlink ref="C676" r:id="rId22"/>
    <hyperlink ref="C132" r:id="rId23" display="i"/>
    <hyperlink ref="C557" r:id="rId24" display="Q"/>
    <hyperlink ref="C621" r:id="rId25" display="i"/>
    <hyperlink ref="C528" r:id="rId26"/>
    <hyperlink ref="C461" r:id="rId27" display="i"/>
    <hyperlink ref="C501" r:id="rId28"/>
    <hyperlink ref="C345" r:id="rId29" display="i"/>
    <hyperlink ref="C598" r:id="rId30"/>
    <hyperlink ref="D38" r:id="rId31" display="i"/>
    <hyperlink ref="C151" r:id="rId32" display="i"/>
    <hyperlink ref="C381" r:id="rId33" display="i"/>
    <hyperlink ref="C73" r:id="rId34" display="i"/>
    <hyperlink ref="C99" r:id="rId35" display="i"/>
    <hyperlink ref="D39" r:id="rId36" display="i"/>
    <hyperlink ref="C212" r:id="rId37" display="i"/>
    <hyperlink ref="C235" r:id="rId38" display="i"/>
    <hyperlink ref="C258" r:id="rId39" display="i"/>
    <hyperlink ref="C281" r:id="rId40" display="i"/>
    <hyperlink ref="C304" r:id="rId41" display="i"/>
    <hyperlink ref="C237" r:id="rId42" display="i"/>
    <hyperlink ref="C260" r:id="rId43" display="i"/>
    <hyperlink ref="C283" r:id="rId44" display="i"/>
    <hyperlink ref="C306" r:id="rId45" display="i"/>
    <hyperlink ref="C245" r:id="rId46" display="i"/>
    <hyperlink ref="C268" r:id="rId47" display="i"/>
    <hyperlink ref="C291" r:id="rId48" display="i"/>
    <hyperlink ref="C314" r:id="rId49" display="i"/>
    <hyperlink ref="C249" r:id="rId50" display="i"/>
    <hyperlink ref="C272" r:id="rId51" display="i"/>
    <hyperlink ref="C295" r:id="rId52" display="i"/>
    <hyperlink ref="C318" r:id="rId53" display="i"/>
    <hyperlink ref="C253" r:id="rId54" display="i"/>
    <hyperlink ref="C276" r:id="rId55" display="i"/>
    <hyperlink ref="C299" r:id="rId56" display="i"/>
    <hyperlink ref="C322" r:id="rId57" display="i"/>
    <hyperlink ref="C395" r:id="rId58" display="i"/>
    <hyperlink ref="C634" r:id="rId59" display="i"/>
    <hyperlink ref="B386" r:id="rId60"/>
    <hyperlink ref="B387" r:id="rId61" display="mailto:JoKRanch@hotmail.com"/>
    <hyperlink ref="B388" r:id="rId62"/>
    <hyperlink ref="B389" r:id="rId63"/>
    <hyperlink ref="B390" r:id="rId64"/>
    <hyperlink ref="C177" r:id="rId65" display="i"/>
    <hyperlink ref="B188" r:id="rId66"/>
    <hyperlink ref="B189" r:id="rId67" display="mailto:JoKRanch@hotmail.com"/>
    <hyperlink ref="B190" r:id="rId68"/>
    <hyperlink ref="B191" r:id="rId69"/>
    <hyperlink ref="B192" r:id="rId70"/>
  </hyperlinks>
  <pageMargins left="0.32" right="0.25" top="0.36" bottom="0.36" header="0.3" footer="0.3"/>
  <pageSetup orientation="portrait" horizontalDpi="4294967293" r:id="rId71"/>
  <rowBreaks count="8" manualBreakCount="8">
    <brk id="51" min="1" max="7" man="1"/>
    <brk id="168" min="1" max="7" man="1"/>
    <brk id="231" min="1" max="7" man="1"/>
    <brk id="277" min="1" max="7" man="1"/>
    <brk id="326" min="1" max="7" man="1"/>
    <brk id="362" min="1" max="7" man="1"/>
    <brk id="546" min="1" max="7" man="1"/>
    <brk id="694" min="1" max="7" man="1"/>
  </rowBreaks>
  <ignoredErrors>
    <ignoredError sqref="G553:H553 G562:H565 H351:H352 G340:H344 G352 H703 H712:H713 G753:H753 H336 H710 G355:G357 H714" unlockedFormula="1"/>
  </ignoredErrors>
  <drawing r:id="rId72"/>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4" sqref="E4"/>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88"/>
      <c r="B1" s="170"/>
      <c r="C1" s="88"/>
      <c r="D1" s="38" t="s">
        <v>43</v>
      </c>
      <c r="E1" s="38" t="s">
        <v>46</v>
      </c>
      <c r="F1" s="38" t="s">
        <v>36</v>
      </c>
      <c r="G1" s="148" t="s">
        <v>66</v>
      </c>
    </row>
    <row r="2" spans="1:7" s="23" customFormat="1" ht="25.5" customHeight="1">
      <c r="A2" s="88"/>
      <c r="B2" s="908" t="s">
        <v>44</v>
      </c>
      <c r="C2" s="908"/>
      <c r="D2" s="88"/>
      <c r="E2" s="88"/>
      <c r="F2" s="88"/>
      <c r="G2" s="88"/>
    </row>
    <row r="3" spans="1:7" s="23" customFormat="1">
      <c r="A3" s="88"/>
      <c r="B3" s="170" t="s">
        <v>22</v>
      </c>
      <c r="C3" s="88" t="s">
        <v>48</v>
      </c>
      <c r="D3" s="172" t="s">
        <v>32</v>
      </c>
      <c r="E3" s="173" t="s">
        <v>88</v>
      </c>
      <c r="F3" s="173" t="s">
        <v>86</v>
      </c>
      <c r="G3" s="88"/>
    </row>
    <row r="4" spans="1:7" s="23" customFormat="1">
      <c r="A4" s="88"/>
      <c r="B4" s="170" t="s">
        <v>17</v>
      </c>
      <c r="C4" s="88" t="s">
        <v>78</v>
      </c>
      <c r="D4" s="174" t="s">
        <v>37</v>
      </c>
      <c r="E4" s="173" t="s">
        <v>87</v>
      </c>
      <c r="F4" s="227" t="s">
        <v>47</v>
      </c>
      <c r="G4" s="88"/>
    </row>
    <row r="5" spans="1:7" s="23" customFormat="1">
      <c r="A5" s="88"/>
      <c r="B5" s="170" t="s">
        <v>21</v>
      </c>
      <c r="C5" s="88"/>
      <c r="D5" s="169" t="s">
        <v>77</v>
      </c>
      <c r="E5" s="173" t="s">
        <v>89</v>
      </c>
      <c r="F5" s="227" t="s">
        <v>47</v>
      </c>
      <c r="G5" s="88"/>
    </row>
    <row r="6" spans="1:7" s="23" customFormat="1">
      <c r="A6" s="88"/>
      <c r="B6" s="170" t="s">
        <v>75</v>
      </c>
      <c r="C6" s="88" t="s">
        <v>76</v>
      </c>
      <c r="D6" s="169" t="s">
        <v>77</v>
      </c>
      <c r="E6" s="176" t="s">
        <v>90</v>
      </c>
      <c r="F6" s="227" t="s">
        <v>47</v>
      </c>
      <c r="G6" s="88"/>
    </row>
    <row r="7" spans="1:7" s="23" customFormat="1">
      <c r="A7" s="88"/>
      <c r="B7" s="170"/>
      <c r="C7" s="88"/>
      <c r="D7" s="168"/>
      <c r="E7" s="176"/>
      <c r="F7" s="175"/>
      <c r="G7" s="88"/>
    </row>
    <row r="8" spans="1:7" s="23" customFormat="1">
      <c r="A8" s="88"/>
      <c r="B8" s="170"/>
      <c r="C8" s="88"/>
      <c r="D8" s="168"/>
      <c r="E8" s="176"/>
      <c r="F8" s="175"/>
      <c r="G8" s="88"/>
    </row>
    <row r="9" spans="1:7" ht="18">
      <c r="A9" s="88"/>
      <c r="B9" s="908" t="s">
        <v>45</v>
      </c>
      <c r="C9" s="908"/>
      <c r="D9" s="180" t="s">
        <v>49</v>
      </c>
      <c r="E9" s="181" t="s">
        <v>50</v>
      </c>
      <c r="F9" s="88"/>
      <c r="G9" s="88"/>
    </row>
    <row r="10" spans="1:7">
      <c r="A10" s="88"/>
      <c r="B10" s="170"/>
      <c r="C10" s="171"/>
      <c r="D10" s="182" t="s">
        <v>41</v>
      </c>
      <c r="E10" s="173" t="s">
        <v>81</v>
      </c>
      <c r="F10" s="88" t="s">
        <v>82</v>
      </c>
      <c r="G10" s="88"/>
    </row>
    <row r="11" spans="1:7">
      <c r="A11" s="88"/>
      <c r="B11" s="170"/>
      <c r="C11" s="171"/>
      <c r="D11" s="182" t="s">
        <v>41</v>
      </c>
      <c r="E11" s="173" t="s">
        <v>84</v>
      </c>
      <c r="F11" s="88" t="s">
        <v>83</v>
      </c>
      <c r="G11" s="88"/>
    </row>
    <row r="12" spans="1:7" s="23" customFormat="1">
      <c r="A12" s="88"/>
      <c r="B12" s="170"/>
      <c r="C12" s="88"/>
      <c r="D12" s="179" t="s">
        <v>34</v>
      </c>
      <c r="E12" s="173" t="s">
        <v>42</v>
      </c>
      <c r="F12" s="88" t="s">
        <v>79</v>
      </c>
      <c r="G12" s="88"/>
    </row>
    <row r="13" spans="1:7" s="23" customFormat="1">
      <c r="A13" s="88"/>
      <c r="B13" s="170"/>
      <c r="C13" s="88"/>
      <c r="D13" s="178" t="s">
        <v>47</v>
      </c>
      <c r="E13" s="173" t="s">
        <v>40</v>
      </c>
      <c r="F13" s="88" t="s">
        <v>80</v>
      </c>
      <c r="G13" s="88"/>
    </row>
    <row r="14" spans="1:7" ht="18">
      <c r="A14" s="88"/>
      <c r="B14" s="908" t="s">
        <v>56</v>
      </c>
      <c r="C14" s="908"/>
      <c r="D14" s="88"/>
      <c r="E14" s="88"/>
      <c r="F14" s="88"/>
      <c r="G14" s="88"/>
    </row>
    <row r="15" spans="1:7">
      <c r="A15" s="88"/>
      <c r="B15" s="170"/>
      <c r="C15" s="88" t="s">
        <v>67</v>
      </c>
      <c r="D15" s="177" t="s">
        <v>29</v>
      </c>
      <c r="E15" s="173" t="s">
        <v>55</v>
      </c>
      <c r="F15" s="88" t="s">
        <v>58</v>
      </c>
      <c r="G15" s="88"/>
    </row>
    <row r="16" spans="1:7">
      <c r="A16" s="88"/>
      <c r="B16" s="170"/>
      <c r="C16" s="88"/>
      <c r="D16" s="25" t="s">
        <v>28</v>
      </c>
      <c r="E16" s="176" t="s">
        <v>57</v>
      </c>
      <c r="F16" s="88" t="s">
        <v>58</v>
      </c>
      <c r="G16" s="88"/>
    </row>
    <row r="17" spans="1:7">
      <c r="A17" s="88"/>
      <c r="B17" s="170"/>
      <c r="C17" s="88"/>
      <c r="D17" s="24" t="s">
        <v>27</v>
      </c>
      <c r="E17" s="176" t="s">
        <v>59</v>
      </c>
      <c r="F17" s="88" t="s">
        <v>58</v>
      </c>
      <c r="G17" s="88"/>
    </row>
    <row r="18" spans="1:7">
      <c r="A18" s="88"/>
      <c r="B18" s="170"/>
      <c r="C18" s="88"/>
      <c r="D18" s="88"/>
      <c r="E18" s="88"/>
      <c r="F18" s="88"/>
      <c r="G18" s="88"/>
    </row>
    <row r="19" spans="1:7">
      <c r="A19" s="88"/>
      <c r="B19" s="170"/>
      <c r="C19" s="88"/>
      <c r="D19" s="88"/>
      <c r="E19" s="88"/>
      <c r="F19" s="88"/>
      <c r="G19" s="88"/>
    </row>
    <row r="20" spans="1:7">
      <c r="A20" s="88"/>
      <c r="B20" s="170"/>
      <c r="C20" s="88"/>
      <c r="D20" s="88"/>
      <c r="E20" s="88"/>
      <c r="F20" s="88"/>
      <c r="G20" s="88"/>
    </row>
    <row r="21" spans="1:7">
      <c r="A21" s="88"/>
      <c r="B21" s="170"/>
      <c r="C21" s="88"/>
      <c r="D21" s="88"/>
      <c r="E21" s="88" t="s">
        <v>68</v>
      </c>
      <c r="F21" s="88" t="s">
        <v>0</v>
      </c>
      <c r="G21" s="88"/>
    </row>
    <row r="22" spans="1:7">
      <c r="A22" s="88"/>
      <c r="B22" s="170"/>
      <c r="C22" s="88"/>
      <c r="D22" s="88"/>
      <c r="E22" s="88" t="s">
        <v>69</v>
      </c>
      <c r="F22" s="88" t="s">
        <v>0</v>
      </c>
      <c r="G22" s="88"/>
    </row>
    <row r="23" spans="1:7">
      <c r="A23" s="88"/>
      <c r="B23" s="170"/>
      <c r="C23" s="88"/>
      <c r="D23" s="88"/>
      <c r="E23" s="88"/>
      <c r="F23" s="88"/>
      <c r="G23" s="88"/>
    </row>
    <row r="24" spans="1:7">
      <c r="A24" s="88"/>
      <c r="B24" s="170"/>
      <c r="C24" s="88"/>
      <c r="D24" s="88"/>
      <c r="E24" s="88"/>
      <c r="F24" s="88"/>
      <c r="G24" s="88"/>
    </row>
    <row r="25" spans="1:7">
      <c r="A25" s="88"/>
      <c r="B25" s="170"/>
      <c r="C25" s="88"/>
      <c r="D25" s="88"/>
      <c r="E25" s="88"/>
      <c r="F25" s="88"/>
      <c r="G25" s="88"/>
    </row>
    <row r="26" spans="1:7">
      <c r="A26" s="88"/>
      <c r="B26" s="170"/>
      <c r="C26" s="88"/>
      <c r="D26" s="88"/>
      <c r="E26" s="88"/>
      <c r="F26" s="88"/>
      <c r="G26" s="88"/>
    </row>
    <row r="27" spans="1:7">
      <c r="A27" s="88"/>
      <c r="B27" s="170"/>
      <c r="C27" s="88"/>
      <c r="D27" s="88"/>
      <c r="E27" s="88"/>
      <c r="F27" s="88"/>
      <c r="G27" s="88"/>
    </row>
    <row r="28" spans="1:7">
      <c r="A28" s="88"/>
      <c r="B28" s="170"/>
      <c r="C28" s="88"/>
      <c r="D28" s="88"/>
      <c r="E28" s="88"/>
      <c r="F28" s="88"/>
      <c r="G28" s="88"/>
    </row>
    <row r="29" spans="1:7">
      <c r="D29" s="88"/>
      <c r="E29" s="88"/>
      <c r="F29" s="88"/>
      <c r="G29" s="88"/>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21"/>
  <sheetViews>
    <sheetView zoomScale="90" zoomScaleNormal="90" workbookViewId="0">
      <selection activeCell="E4" sqref="E4"/>
    </sheetView>
  </sheetViews>
  <sheetFormatPr defaultRowHeight="14.25"/>
  <cols>
    <col min="1" max="1" width="4.375" style="23" customWidth="1"/>
    <col min="2" max="2" width="15.625" customWidth="1"/>
    <col min="3" max="3" width="17.625" customWidth="1"/>
    <col min="4" max="4" width="3.625" customWidth="1"/>
    <col min="5" max="5" width="17.625" customWidth="1"/>
    <col min="6" max="6" width="2.625" customWidth="1"/>
    <col min="7" max="7" width="17.625" customWidth="1"/>
    <col min="8" max="8" width="2.625" customWidth="1"/>
    <col min="9" max="9" width="17.625" customWidth="1"/>
    <col min="10" max="10" width="2.625" customWidth="1"/>
    <col min="11" max="11" width="17.625" customWidth="1"/>
    <col min="12" max="12" width="2.625" customWidth="1"/>
    <col min="13" max="13" width="17.625" customWidth="1"/>
    <col min="14" max="14" width="2.625" customWidth="1"/>
    <col min="15" max="15" width="17.625" customWidth="1"/>
    <col min="16" max="16" width="1.625" customWidth="1"/>
    <col min="19" max="19" width="38.875" customWidth="1"/>
  </cols>
  <sheetData>
    <row r="1" spans="1:19" s="23" customFormat="1">
      <c r="B1" s="88"/>
      <c r="C1" s="88"/>
      <c r="D1" s="88"/>
      <c r="E1" s="88"/>
      <c r="F1" s="88"/>
      <c r="G1" s="88"/>
      <c r="H1" s="88"/>
      <c r="I1" s="88"/>
      <c r="J1" s="88"/>
      <c r="K1" s="88"/>
      <c r="L1" s="88"/>
      <c r="M1" s="88"/>
      <c r="N1" s="88"/>
      <c r="O1" s="88"/>
    </row>
    <row r="2" spans="1:19" ht="26.25" thickBot="1">
      <c r="A2" s="88"/>
      <c r="B2" s="909" t="s">
        <v>185</v>
      </c>
      <c r="C2" s="909"/>
      <c r="D2" s="909"/>
      <c r="E2" s="909"/>
      <c r="F2" s="909"/>
      <c r="G2" s="909"/>
      <c r="H2" s="909"/>
      <c r="I2" s="909"/>
      <c r="J2" s="909"/>
      <c r="K2" s="909"/>
      <c r="L2" s="909"/>
      <c r="M2" s="909"/>
      <c r="N2" s="909"/>
      <c r="O2" s="909"/>
      <c r="P2" s="592"/>
      <c r="Q2" s="88"/>
      <c r="R2" s="88"/>
      <c r="S2" s="88"/>
    </row>
    <row r="3" spans="1:19" ht="20.25">
      <c r="A3" s="88"/>
      <c r="B3" s="248"/>
      <c r="C3" s="323" t="s">
        <v>61</v>
      </c>
      <c r="D3" s="324"/>
      <c r="E3" s="325" t="s">
        <v>99</v>
      </c>
      <c r="F3" s="324"/>
      <c r="G3" s="326" t="s">
        <v>100</v>
      </c>
      <c r="H3" s="324"/>
      <c r="I3" s="327" t="s">
        <v>95</v>
      </c>
      <c r="J3" s="328"/>
      <c r="K3" s="327" t="s">
        <v>103</v>
      </c>
      <c r="L3" s="328"/>
      <c r="M3" s="327" t="s">
        <v>105</v>
      </c>
      <c r="N3" s="328"/>
      <c r="O3" s="591" t="s">
        <v>104</v>
      </c>
      <c r="P3" s="171"/>
      <c r="Q3" s="88"/>
      <c r="R3" s="88"/>
      <c r="S3" s="88"/>
    </row>
    <row r="4" spans="1:19" ht="90.75" customHeight="1">
      <c r="A4" s="88"/>
      <c r="B4" s="599" t="s">
        <v>212</v>
      </c>
      <c r="C4" s="910" t="s">
        <v>186</v>
      </c>
      <c r="D4" s="910"/>
      <c r="E4" s="251" t="s">
        <v>187</v>
      </c>
      <c r="F4" s="250"/>
      <c r="G4" s="251" t="s">
        <v>188</v>
      </c>
      <c r="H4" s="88"/>
      <c r="I4" s="251" t="s">
        <v>98</v>
      </c>
      <c r="J4" s="88"/>
      <c r="K4" s="251" t="s">
        <v>189</v>
      </c>
      <c r="L4" s="88"/>
      <c r="M4" s="251" t="s">
        <v>106</v>
      </c>
      <c r="N4" s="88"/>
      <c r="O4" s="251" t="s">
        <v>190</v>
      </c>
      <c r="P4" s="88"/>
      <c r="Q4" s="88"/>
      <c r="R4" s="88"/>
      <c r="S4" s="88"/>
    </row>
    <row r="5" spans="1:19" ht="17.25" customHeight="1" thickBot="1">
      <c r="A5" s="88"/>
      <c r="B5" s="322"/>
      <c r="C5" s="584" t="s">
        <v>92</v>
      </c>
      <c r="D5" s="311"/>
      <c r="E5" s="312"/>
      <c r="F5" s="250"/>
      <c r="G5" s="313" t="s">
        <v>93</v>
      </c>
      <c r="H5" s="88"/>
      <c r="I5" s="313" t="s">
        <v>94</v>
      </c>
      <c r="J5" s="88"/>
      <c r="K5" s="88"/>
      <c r="L5" s="88"/>
      <c r="M5" s="88"/>
      <c r="N5" s="88"/>
      <c r="O5" s="88"/>
      <c r="P5" s="88"/>
      <c r="Q5" s="88"/>
      <c r="R5" s="88"/>
      <c r="S5" s="88"/>
    </row>
    <row r="6" spans="1:19" ht="29.25" customHeight="1">
      <c r="A6" s="88"/>
      <c r="B6" s="322"/>
      <c r="C6" s="88"/>
      <c r="D6" s="88"/>
      <c r="E6" s="88"/>
      <c r="F6" s="88"/>
      <c r="G6" s="314" t="s">
        <v>0</v>
      </c>
      <c r="H6" s="88"/>
      <c r="I6" s="309" t="s">
        <v>102</v>
      </c>
      <c r="J6" s="88"/>
      <c r="K6" s="88"/>
      <c r="L6" s="88"/>
      <c r="M6" s="309" t="s">
        <v>102</v>
      </c>
      <c r="N6" s="88"/>
      <c r="O6" s="88"/>
      <c r="P6" s="88"/>
      <c r="Q6" s="88"/>
      <c r="R6" s="88"/>
      <c r="S6" s="88"/>
    </row>
    <row r="7" spans="1:19" ht="60" customHeight="1">
      <c r="A7" s="88"/>
      <c r="B7" s="321" t="s">
        <v>97</v>
      </c>
      <c r="C7" s="253" t="s">
        <v>0</v>
      </c>
      <c r="D7" s="315"/>
      <c r="E7" s="316"/>
      <c r="F7" s="315"/>
      <c r="G7" s="252" t="s">
        <v>96</v>
      </c>
      <c r="H7" s="315"/>
      <c r="I7" s="307" t="s">
        <v>191</v>
      </c>
      <c r="J7" s="315"/>
      <c r="K7" s="88"/>
      <c r="L7" s="319"/>
      <c r="M7" s="307" t="s">
        <v>192</v>
      </c>
      <c r="N7" s="319"/>
      <c r="O7" s="88"/>
      <c r="P7" s="88"/>
      <c r="Q7" s="88"/>
      <c r="R7" s="88"/>
      <c r="S7" s="88"/>
    </row>
    <row r="8" spans="1:19" ht="11.25" customHeight="1">
      <c r="A8" s="88"/>
      <c r="B8" s="598"/>
      <c r="C8" s="595" t="s">
        <v>0</v>
      </c>
      <c r="D8" s="587"/>
      <c r="E8" s="587"/>
      <c r="F8" s="587"/>
      <c r="G8" s="587"/>
      <c r="H8" s="587"/>
      <c r="I8" s="600"/>
      <c r="J8" s="587"/>
      <c r="K8" s="587"/>
      <c r="L8" s="588"/>
      <c r="M8" s="602"/>
      <c r="N8" s="588"/>
      <c r="O8" s="588"/>
      <c r="P8" s="589"/>
      <c r="Q8" s="88"/>
      <c r="R8" s="88"/>
      <c r="S8" s="88"/>
    </row>
    <row r="9" spans="1:19" ht="60" customHeight="1">
      <c r="A9" s="88"/>
      <c r="B9" s="585" t="s">
        <v>91</v>
      </c>
      <c r="C9" s="252" t="s">
        <v>193</v>
      </c>
      <c r="D9" s="586" t="s">
        <v>0</v>
      </c>
      <c r="E9" s="252" t="s">
        <v>194</v>
      </c>
      <c r="F9" s="586"/>
      <c r="G9" s="252" t="s">
        <v>96</v>
      </c>
      <c r="H9" s="586"/>
      <c r="I9" s="307" t="s">
        <v>101</v>
      </c>
      <c r="J9" s="587"/>
      <c r="K9" s="249" t="s">
        <v>211</v>
      </c>
      <c r="L9" s="588"/>
      <c r="M9" s="307" t="s">
        <v>195</v>
      </c>
      <c r="N9" s="588"/>
      <c r="O9" s="588"/>
      <c r="P9" s="589"/>
      <c r="Q9" s="88"/>
      <c r="R9" s="88"/>
      <c r="S9" s="88"/>
    </row>
    <row r="10" spans="1:19" ht="12" customHeight="1">
      <c r="A10" s="88"/>
      <c r="B10" s="590"/>
      <c r="C10" s="589"/>
      <c r="D10" s="589"/>
      <c r="E10" s="589"/>
      <c r="F10" s="589"/>
      <c r="G10" s="589"/>
      <c r="H10" s="589"/>
      <c r="I10" s="601"/>
      <c r="J10" s="589"/>
      <c r="K10" s="589"/>
      <c r="L10" s="589"/>
      <c r="M10" s="603"/>
      <c r="N10" s="589"/>
      <c r="O10" s="589"/>
      <c r="P10" s="589"/>
      <c r="Q10" s="88"/>
      <c r="R10" s="88"/>
      <c r="S10" s="88"/>
    </row>
    <row r="11" spans="1:19" ht="60" customHeight="1">
      <c r="A11" s="88"/>
      <c r="B11" s="320" t="s">
        <v>196</v>
      </c>
      <c r="C11" s="318"/>
      <c r="D11" s="315"/>
      <c r="E11" s="310" t="s">
        <v>197</v>
      </c>
      <c r="F11" s="315"/>
      <c r="G11" s="249" t="s">
        <v>198</v>
      </c>
      <c r="H11" s="315"/>
      <c r="I11" s="308" t="s">
        <v>199</v>
      </c>
      <c r="J11" s="315"/>
      <c r="K11" s="88"/>
      <c r="L11" s="319"/>
      <c r="M11" s="307" t="s">
        <v>200</v>
      </c>
      <c r="N11" s="319"/>
      <c r="O11" s="319"/>
      <c r="P11" s="88"/>
      <c r="Q11" s="88"/>
      <c r="R11" s="88"/>
      <c r="S11" s="88"/>
    </row>
    <row r="12" spans="1:19" ht="12" customHeight="1" thickBot="1">
      <c r="A12" s="88"/>
      <c r="B12" s="596"/>
      <c r="C12" s="597"/>
      <c r="D12" s="587"/>
      <c r="E12" s="594" t="s">
        <v>0</v>
      </c>
      <c r="F12" s="587"/>
      <c r="G12" s="587"/>
      <c r="H12" s="587"/>
      <c r="I12" s="604"/>
      <c r="J12" s="587"/>
      <c r="K12" s="587"/>
      <c r="L12" s="588"/>
      <c r="M12" s="605"/>
      <c r="N12" s="588"/>
      <c r="O12" s="588"/>
      <c r="P12" s="589"/>
      <c r="Q12" s="88"/>
      <c r="R12" s="88"/>
      <c r="S12" s="88"/>
    </row>
    <row r="13" spans="1:19" ht="60" customHeight="1">
      <c r="A13" s="88"/>
      <c r="B13" s="585" t="s">
        <v>201</v>
      </c>
      <c r="C13" s="249" t="s">
        <v>202</v>
      </c>
      <c r="D13" s="586" t="s">
        <v>0</v>
      </c>
      <c r="E13" s="249" t="s">
        <v>203</v>
      </c>
      <c r="F13" s="587"/>
      <c r="G13" s="587"/>
      <c r="H13" s="587"/>
      <c r="I13" s="587"/>
      <c r="J13" s="587"/>
      <c r="K13" s="249" t="s">
        <v>204</v>
      </c>
      <c r="L13" s="588"/>
      <c r="M13" s="589"/>
      <c r="N13" s="588"/>
      <c r="O13" s="249" t="s">
        <v>205</v>
      </c>
      <c r="P13" s="589"/>
      <c r="Q13" s="88"/>
      <c r="R13" s="88"/>
      <c r="S13" s="88"/>
    </row>
    <row r="14" spans="1:19" ht="11.25" customHeight="1">
      <c r="A14" s="88"/>
      <c r="B14" s="590"/>
      <c r="C14" s="593"/>
      <c r="D14" s="587"/>
      <c r="E14" s="594" t="s">
        <v>0</v>
      </c>
      <c r="F14" s="587"/>
      <c r="G14" s="587"/>
      <c r="H14" s="587"/>
      <c r="I14" s="595"/>
      <c r="J14" s="587"/>
      <c r="K14" s="587"/>
      <c r="L14" s="588"/>
      <c r="M14" s="588"/>
      <c r="N14" s="588"/>
      <c r="O14" s="588"/>
      <c r="P14" s="589"/>
      <c r="Q14" s="88"/>
      <c r="R14" s="88"/>
      <c r="S14" s="88"/>
    </row>
    <row r="15" spans="1:19" ht="60" customHeight="1">
      <c r="A15" s="88"/>
      <c r="B15" s="320" t="s">
        <v>206</v>
      </c>
      <c r="C15" s="249" t="s">
        <v>207</v>
      </c>
      <c r="D15" s="317" t="s">
        <v>0</v>
      </c>
      <c r="E15" s="88"/>
      <c r="F15" s="315"/>
      <c r="G15" s="315"/>
      <c r="H15" s="315"/>
      <c r="I15" s="315"/>
      <c r="J15" s="315"/>
      <c r="K15" s="88"/>
      <c r="L15" s="319"/>
      <c r="M15" s="88"/>
      <c r="N15" s="319"/>
      <c r="O15" s="249" t="s">
        <v>208</v>
      </c>
      <c r="P15" s="88"/>
      <c r="Q15" s="88"/>
      <c r="R15" s="88"/>
      <c r="S15" s="88"/>
    </row>
    <row r="16" spans="1:19" ht="12" customHeight="1">
      <c r="A16" s="88"/>
      <c r="B16" s="590"/>
      <c r="C16" s="593"/>
      <c r="D16" s="587"/>
      <c r="E16" s="594" t="s">
        <v>0</v>
      </c>
      <c r="F16" s="587"/>
      <c r="G16" s="587"/>
      <c r="H16" s="587"/>
      <c r="I16" s="595"/>
      <c r="J16" s="587"/>
      <c r="K16" s="587"/>
      <c r="L16" s="588"/>
      <c r="M16" s="588"/>
      <c r="N16" s="588"/>
      <c r="O16" s="588"/>
      <c r="P16" s="589"/>
      <c r="Q16" s="88"/>
      <c r="R16" s="88"/>
      <c r="S16" s="88"/>
    </row>
    <row r="17" spans="1:19" ht="60" customHeight="1">
      <c r="A17" s="88"/>
      <c r="B17" s="585" t="s">
        <v>209</v>
      </c>
      <c r="C17" s="589"/>
      <c r="D17" s="586" t="s">
        <v>0</v>
      </c>
      <c r="E17" s="589"/>
      <c r="F17" s="587"/>
      <c r="G17" s="587"/>
      <c r="H17" s="587"/>
      <c r="I17" s="587"/>
      <c r="J17" s="587"/>
      <c r="K17" s="589"/>
      <c r="L17" s="588"/>
      <c r="M17" s="589"/>
      <c r="N17" s="588"/>
      <c r="O17" s="249" t="s">
        <v>210</v>
      </c>
      <c r="P17" s="589"/>
      <c r="Q17" s="88"/>
      <c r="R17" s="88"/>
      <c r="S17" s="88"/>
    </row>
    <row r="18" spans="1:19" ht="9.75" customHeight="1">
      <c r="A18" s="88"/>
      <c r="B18" s="589"/>
      <c r="C18" s="589"/>
      <c r="D18" s="589"/>
      <c r="E18" s="589"/>
      <c r="F18" s="589"/>
      <c r="G18" s="589"/>
      <c r="H18" s="589"/>
      <c r="I18" s="589"/>
      <c r="J18" s="589"/>
      <c r="K18" s="589"/>
      <c r="L18" s="589"/>
      <c r="M18" s="589"/>
      <c r="N18" s="589"/>
      <c r="O18" s="589"/>
      <c r="P18" s="589"/>
      <c r="Q18" s="88"/>
      <c r="R18" s="88"/>
      <c r="S18" s="88"/>
    </row>
    <row r="19" spans="1:19">
      <c r="A19" s="88"/>
      <c r="B19" s="88"/>
      <c r="C19" s="88"/>
      <c r="D19" s="88"/>
      <c r="E19" s="88"/>
      <c r="F19" s="88"/>
      <c r="G19" s="88"/>
      <c r="H19" s="88"/>
      <c r="I19" s="88"/>
      <c r="J19" s="88"/>
      <c r="K19" s="88"/>
      <c r="L19" s="88"/>
      <c r="M19" s="88"/>
      <c r="N19" s="88"/>
      <c r="O19" s="88"/>
      <c r="P19" s="88"/>
      <c r="Q19" s="88"/>
      <c r="R19" s="88"/>
      <c r="S19" s="88"/>
    </row>
    <row r="20" spans="1:19" ht="84" customHeight="1">
      <c r="A20" s="88"/>
      <c r="B20" s="88"/>
      <c r="C20" s="88"/>
      <c r="D20" s="88"/>
      <c r="E20" s="88"/>
      <c r="F20" s="88"/>
      <c r="G20" s="88"/>
      <c r="H20" s="88"/>
      <c r="I20" s="88"/>
      <c r="J20" s="88"/>
      <c r="K20" s="88"/>
      <c r="L20" s="88"/>
      <c r="M20" s="88"/>
      <c r="N20" s="88"/>
      <c r="O20" s="88"/>
      <c r="P20" s="88"/>
      <c r="Q20" s="88"/>
      <c r="R20" s="88"/>
      <c r="S20" s="88"/>
    </row>
    <row r="21" spans="1:19">
      <c r="B21" s="88"/>
      <c r="C21" s="88"/>
      <c r="D21" s="88"/>
      <c r="E21" s="88"/>
      <c r="F21" s="88"/>
      <c r="G21" s="88"/>
      <c r="H21" s="88"/>
      <c r="I21" s="88"/>
      <c r="J21" s="88"/>
      <c r="K21" s="88"/>
      <c r="L21" s="88"/>
      <c r="M21" s="88"/>
      <c r="N21" s="88"/>
      <c r="O21" s="88"/>
      <c r="P21" s="88"/>
      <c r="Q21" s="88"/>
      <c r="R21" s="88"/>
      <c r="S21" s="88"/>
    </row>
  </sheetData>
  <mergeCells count="2">
    <mergeCell ref="B2:O2"/>
    <mergeCell ref="C4:D4"/>
  </mergeCells>
  <hyperlinks>
    <hyperlink ref="E11" r:id="rId1" display="http://deqsps/programs/rulemaking/default.aspx"/>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4"/>
  <dimension ref="A1:L28"/>
  <sheetViews>
    <sheetView topLeftCell="C1" workbookViewId="0">
      <selection activeCell="G12" sqref="G12"/>
    </sheetView>
  </sheetViews>
  <sheetFormatPr defaultRowHeight="14.25"/>
  <cols>
    <col min="2" max="2" width="38.875" customWidth="1"/>
    <col min="3" max="3" width="18.375" customWidth="1"/>
    <col min="5" max="5" width="17.875" customWidth="1"/>
    <col min="6" max="6" width="2.75" customWidth="1"/>
    <col min="7" max="7" width="69.875" customWidth="1"/>
    <col min="8" max="8" width="2.75" customWidth="1"/>
  </cols>
  <sheetData>
    <row r="1" spans="1:12">
      <c r="A1" s="88"/>
      <c r="B1" s="88"/>
      <c r="C1" s="88"/>
      <c r="D1" s="88"/>
      <c r="E1" s="88"/>
      <c r="F1" s="88"/>
      <c r="G1" s="88"/>
      <c r="H1" s="88"/>
      <c r="I1" s="88"/>
      <c r="J1" s="88"/>
      <c r="K1" s="88"/>
      <c r="L1" s="88"/>
    </row>
    <row r="2" spans="1:12" s="23" customFormat="1" ht="54.75" customHeight="1">
      <c r="A2" s="88"/>
      <c r="B2" s="912" t="s">
        <v>524</v>
      </c>
      <c r="C2" s="912"/>
      <c r="D2" s="912"/>
      <c r="E2" s="912"/>
      <c r="F2" s="912"/>
      <c r="G2" s="912"/>
      <c r="H2" s="912"/>
      <c r="I2" s="88"/>
      <c r="J2" s="88"/>
      <c r="K2" s="88"/>
      <c r="L2" s="88"/>
    </row>
    <row r="3" spans="1:12" ht="36" customHeight="1">
      <c r="A3" s="88"/>
      <c r="B3" s="88"/>
      <c r="C3" s="295" t="s">
        <v>122</v>
      </c>
      <c r="D3" s="88"/>
      <c r="E3" s="295" t="s">
        <v>349</v>
      </c>
      <c r="F3" s="88"/>
      <c r="G3" s="759" t="s">
        <v>479</v>
      </c>
      <c r="H3" s="88"/>
      <c r="I3" s="88"/>
      <c r="J3" s="88"/>
      <c r="K3" s="88"/>
      <c r="L3" s="88"/>
    </row>
    <row r="4" spans="1:12" ht="18.75">
      <c r="A4" s="88"/>
      <c r="B4" s="294" t="s">
        <v>97</v>
      </c>
      <c r="C4" s="293" t="s">
        <v>516</v>
      </c>
      <c r="D4" s="88"/>
      <c r="E4" s="293" t="s">
        <v>527</v>
      </c>
      <c r="F4" s="88"/>
      <c r="G4" s="293" t="s">
        <v>528</v>
      </c>
      <c r="H4" s="822" t="str">
        <f>HYPERLINK("\\deqhq1\Rule_Resources\i\4-Caption.pdf","i")</f>
        <v>i</v>
      </c>
      <c r="I4" s="88"/>
      <c r="J4" s="88"/>
      <c r="K4" s="88"/>
      <c r="L4" s="88"/>
    </row>
    <row r="5" spans="1:12" ht="18.75">
      <c r="A5" s="88"/>
      <c r="B5" s="294" t="s">
        <v>126</v>
      </c>
      <c r="C5" s="293" t="s">
        <v>519</v>
      </c>
      <c r="D5" s="88"/>
      <c r="E5" s="88"/>
      <c r="F5" s="88"/>
      <c r="G5" s="88"/>
      <c r="H5" s="88"/>
      <c r="I5" s="88"/>
      <c r="J5" s="88"/>
      <c r="K5" s="88"/>
      <c r="L5" s="88"/>
    </row>
    <row r="6" spans="1:12" s="23" customFormat="1" ht="18.75">
      <c r="A6" s="88"/>
      <c r="B6" s="294" t="s">
        <v>110</v>
      </c>
      <c r="C6" s="293" t="s">
        <v>515</v>
      </c>
      <c r="D6" s="88"/>
      <c r="E6" s="88"/>
      <c r="F6" s="88"/>
      <c r="G6" s="841" t="s">
        <v>531</v>
      </c>
      <c r="H6" s="88"/>
      <c r="I6" s="88"/>
      <c r="J6" s="88"/>
      <c r="K6" s="88"/>
      <c r="L6" s="88"/>
    </row>
    <row r="7" spans="1:12" ht="18.75">
      <c r="A7" s="88"/>
      <c r="B7" s="294" t="s">
        <v>123</v>
      </c>
      <c r="C7" s="293" t="s">
        <v>281</v>
      </c>
      <c r="D7" s="88"/>
      <c r="E7" s="88"/>
      <c r="F7" s="88"/>
      <c r="G7" s="88"/>
      <c r="H7" s="88"/>
      <c r="I7" s="88"/>
      <c r="J7" s="88"/>
      <c r="K7" s="88"/>
      <c r="L7" s="88"/>
    </row>
    <row r="8" spans="1:12" ht="18.75">
      <c r="A8" s="88"/>
      <c r="B8" s="294" t="s">
        <v>124</v>
      </c>
      <c r="C8" s="293" t="s">
        <v>517</v>
      </c>
      <c r="D8" s="88"/>
      <c r="E8" s="88"/>
      <c r="F8" s="88"/>
      <c r="G8" s="88"/>
      <c r="H8" s="88"/>
      <c r="I8" s="88"/>
      <c r="J8" s="88"/>
      <c r="K8" s="88"/>
      <c r="L8" s="88"/>
    </row>
    <row r="9" spans="1:12" ht="18.75">
      <c r="A9" s="88"/>
      <c r="B9" s="294" t="s">
        <v>125</v>
      </c>
      <c r="C9" s="293" t="s">
        <v>111</v>
      </c>
      <c r="D9" s="88"/>
      <c r="E9" s="88"/>
      <c r="F9" s="88"/>
      <c r="G9" s="88"/>
      <c r="H9" s="88"/>
      <c r="I9" s="88"/>
      <c r="J9" s="88"/>
      <c r="K9" s="88"/>
      <c r="L9" s="88"/>
    </row>
    <row r="10" spans="1:12" ht="18.75">
      <c r="A10" s="88"/>
      <c r="B10" s="294" t="s">
        <v>109</v>
      </c>
      <c r="C10" s="293" t="s">
        <v>112</v>
      </c>
      <c r="D10" s="88"/>
      <c r="E10" s="88"/>
      <c r="F10" s="88"/>
      <c r="G10" s="88"/>
      <c r="H10" s="88"/>
      <c r="I10" s="88"/>
      <c r="J10" s="88"/>
      <c r="K10" s="88"/>
      <c r="L10" s="88"/>
    </row>
    <row r="11" spans="1:12" ht="18.75">
      <c r="A11" s="88"/>
      <c r="B11" s="294" t="s">
        <v>525</v>
      </c>
      <c r="C11" s="293" t="s">
        <v>518</v>
      </c>
      <c r="D11" s="88"/>
      <c r="E11" s="88"/>
      <c r="F11" s="88"/>
      <c r="G11" s="88"/>
      <c r="H11" s="88"/>
      <c r="I11" s="88"/>
      <c r="J11" s="88"/>
      <c r="K11" s="88"/>
      <c r="L11" s="88"/>
    </row>
    <row r="12" spans="1:12" ht="18.75">
      <c r="A12" s="88"/>
      <c r="B12" s="294" t="s">
        <v>108</v>
      </c>
      <c r="C12" s="293" t="s">
        <v>502</v>
      </c>
      <c r="D12" s="88"/>
      <c r="E12" s="88"/>
      <c r="F12" s="88"/>
      <c r="G12" s="88"/>
      <c r="H12" s="88"/>
      <c r="I12" s="88"/>
      <c r="J12" s="88"/>
      <c r="K12" s="88"/>
      <c r="L12" s="88"/>
    </row>
    <row r="13" spans="1:12" ht="18.75">
      <c r="A13" s="88"/>
      <c r="B13" s="294" t="s">
        <v>30</v>
      </c>
      <c r="C13" s="293" t="s">
        <v>346</v>
      </c>
      <c r="D13" s="88"/>
      <c r="E13" s="88"/>
      <c r="F13" s="88"/>
      <c r="G13" s="88"/>
      <c r="H13" s="88"/>
      <c r="I13" s="88"/>
      <c r="J13" s="88"/>
      <c r="K13" s="88"/>
      <c r="L13" s="88"/>
    </row>
    <row r="14" spans="1:12" s="23" customFormat="1" ht="18.75">
      <c r="A14" s="88"/>
      <c r="B14" s="294" t="s">
        <v>229</v>
      </c>
      <c r="C14" s="293" t="s">
        <v>520</v>
      </c>
      <c r="D14" s="88"/>
      <c r="E14" s="88"/>
      <c r="F14" s="88"/>
      <c r="G14" s="88"/>
      <c r="H14" s="88"/>
      <c r="I14" s="88"/>
      <c r="J14" s="88"/>
      <c r="K14" s="88"/>
      <c r="L14" s="88"/>
    </row>
    <row r="15" spans="1:12" ht="18.75">
      <c r="A15" s="88"/>
      <c r="B15" s="294" t="s">
        <v>120</v>
      </c>
      <c r="C15" s="293" t="s">
        <v>505</v>
      </c>
      <c r="D15" s="88"/>
      <c r="E15" s="88"/>
      <c r="F15" s="88"/>
      <c r="G15" s="88"/>
      <c r="H15" s="88"/>
      <c r="I15" s="88"/>
      <c r="J15" s="88"/>
      <c r="K15" s="88"/>
      <c r="L15" s="88"/>
    </row>
    <row r="16" spans="1:12" ht="18.75">
      <c r="A16" s="88"/>
      <c r="B16" s="294" t="s">
        <v>526</v>
      </c>
      <c r="C16" s="293" t="s">
        <v>521</v>
      </c>
      <c r="D16" s="88"/>
      <c r="E16" s="88"/>
      <c r="F16" s="88"/>
      <c r="G16" s="88"/>
      <c r="H16" s="88"/>
      <c r="I16" s="88"/>
      <c r="J16" s="88"/>
      <c r="K16" s="88"/>
      <c r="L16" s="88"/>
    </row>
    <row r="17" spans="1:12" ht="18.75">
      <c r="A17" s="88"/>
      <c r="B17" s="294" t="s">
        <v>127</v>
      </c>
      <c r="C17" s="293" t="s">
        <v>128</v>
      </c>
      <c r="D17" s="88" t="s">
        <v>480</v>
      </c>
      <c r="E17" s="911" t="s">
        <v>481</v>
      </c>
      <c r="F17" s="88"/>
      <c r="G17" s="88"/>
      <c r="H17" s="88"/>
      <c r="I17" s="88"/>
      <c r="J17" s="88"/>
      <c r="K17" s="88"/>
      <c r="L17" s="88"/>
    </row>
    <row r="18" spans="1:12" s="23" customFormat="1" ht="18.75">
      <c r="A18" s="88"/>
      <c r="B18" s="294" t="s">
        <v>129</v>
      </c>
      <c r="C18" s="293" t="s">
        <v>164</v>
      </c>
      <c r="D18" s="88"/>
      <c r="E18" s="911"/>
      <c r="F18" s="88"/>
      <c r="G18" s="88"/>
      <c r="H18" s="88"/>
      <c r="I18" s="88"/>
      <c r="J18" s="88"/>
      <c r="K18" s="88"/>
      <c r="L18" s="88"/>
    </row>
    <row r="19" spans="1:12" ht="18.75">
      <c r="A19" s="88"/>
      <c r="B19" s="294" t="s">
        <v>143</v>
      </c>
      <c r="C19" s="293" t="s">
        <v>144</v>
      </c>
      <c r="D19" s="88"/>
      <c r="E19" s="911"/>
      <c r="F19" s="88"/>
      <c r="G19" s="88"/>
      <c r="H19" s="88"/>
      <c r="I19" s="88"/>
      <c r="J19" s="88"/>
      <c r="K19" s="88"/>
      <c r="L19" s="88"/>
    </row>
    <row r="20" spans="1:12" ht="18.75">
      <c r="A20" s="88"/>
      <c r="B20" s="294" t="s">
        <v>163</v>
      </c>
      <c r="C20" s="293" t="s">
        <v>522</v>
      </c>
      <c r="D20" s="88"/>
      <c r="E20" s="88"/>
      <c r="F20" s="88"/>
      <c r="G20" s="88"/>
      <c r="H20" s="88"/>
      <c r="I20" s="88"/>
      <c r="J20" s="88"/>
      <c r="K20" s="88"/>
      <c r="L20" s="88"/>
    </row>
    <row r="21" spans="1:12" ht="18.75">
      <c r="A21" s="88"/>
      <c r="B21" s="294" t="s">
        <v>523</v>
      </c>
      <c r="C21" s="293" t="s">
        <v>347</v>
      </c>
      <c r="D21" s="88"/>
      <c r="E21" s="88"/>
      <c r="F21" s="88"/>
      <c r="G21" s="88"/>
      <c r="H21" s="88"/>
      <c r="I21" s="88"/>
      <c r="J21" s="88"/>
      <c r="K21" s="88"/>
      <c r="L21" s="88"/>
    </row>
    <row r="22" spans="1:12" ht="18.75">
      <c r="A22" s="88"/>
      <c r="B22" s="294" t="s">
        <v>486</v>
      </c>
      <c r="C22" s="293" t="s">
        <v>433</v>
      </c>
      <c r="D22" s="88"/>
      <c r="E22" s="88"/>
      <c r="F22" s="88"/>
      <c r="G22" s="88"/>
      <c r="H22" s="88"/>
      <c r="I22" s="88"/>
      <c r="J22" s="88"/>
      <c r="K22" s="88"/>
      <c r="L22" s="88"/>
    </row>
    <row r="23" spans="1:12">
      <c r="A23" s="88"/>
      <c r="B23" s="88"/>
      <c r="C23" s="88"/>
      <c r="D23" s="88"/>
      <c r="E23" s="88"/>
      <c r="F23" s="88"/>
      <c r="G23" s="88"/>
      <c r="H23" s="88"/>
      <c r="I23" s="88"/>
      <c r="J23" s="88"/>
      <c r="K23" s="88"/>
      <c r="L23" s="88"/>
    </row>
    <row r="24" spans="1:12">
      <c r="A24" s="88"/>
      <c r="B24" s="88"/>
      <c r="C24" s="88"/>
      <c r="D24" s="88"/>
      <c r="E24" s="88"/>
      <c r="F24" s="88"/>
      <c r="G24" s="88"/>
      <c r="H24" s="88"/>
      <c r="I24" s="88"/>
      <c r="J24" s="88"/>
      <c r="K24" s="88"/>
      <c r="L24" s="88"/>
    </row>
    <row r="25" spans="1:12">
      <c r="A25" s="88"/>
      <c r="B25" s="88"/>
      <c r="C25" s="88"/>
      <c r="D25" s="88"/>
      <c r="E25" s="88"/>
      <c r="F25" s="88"/>
      <c r="G25" s="88"/>
      <c r="H25" s="88"/>
      <c r="I25" s="88"/>
      <c r="J25" s="88"/>
      <c r="K25" s="88"/>
      <c r="L25" s="88"/>
    </row>
    <row r="26" spans="1:12">
      <c r="A26" s="88"/>
      <c r="B26" s="88"/>
      <c r="C26" s="88"/>
      <c r="D26" s="88"/>
      <c r="E26" s="88"/>
      <c r="F26" s="88"/>
      <c r="G26" s="88"/>
      <c r="H26" s="88"/>
      <c r="I26" s="88"/>
      <c r="J26" s="88"/>
      <c r="K26" s="88"/>
      <c r="L26" s="88"/>
    </row>
    <row r="27" spans="1:12" ht="199.5" customHeight="1">
      <c r="A27" s="88"/>
      <c r="B27" s="88"/>
      <c r="C27" s="88"/>
      <c r="D27" s="88"/>
      <c r="E27" s="88"/>
      <c r="F27" s="88"/>
      <c r="G27" s="88"/>
      <c r="H27" s="88"/>
      <c r="I27" s="88"/>
      <c r="J27" s="88"/>
      <c r="K27" s="88"/>
      <c r="L27" s="88"/>
    </row>
    <row r="28" spans="1:12">
      <c r="F28" s="88"/>
      <c r="H28" s="88"/>
      <c r="I28" s="88"/>
      <c r="J28" s="88"/>
      <c r="K28" s="88"/>
      <c r="L28" s="88"/>
    </row>
  </sheetData>
  <mergeCells count="2">
    <mergeCell ref="E17:E19"/>
    <mergeCell ref="B2:H2"/>
  </mergeCells>
  <dataValidations count="1">
    <dataValidation allowBlank="1" showInputMessage="1" showErrorMessage="1" promptTitle="ENTER CODE NAME" prompt="Enter the code name that is 6 characters or less for this rulemaking." sqref="E4:E5"/>
  </dataValidations>
  <hyperlinks>
    <hyperlink ref="G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67"/>
  <sheetViews>
    <sheetView workbookViewId="0"/>
  </sheetViews>
  <sheetFormatPr defaultRowHeight="14.25"/>
  <cols>
    <col min="2" max="2" width="36" customWidth="1"/>
    <col min="3" max="3" width="27.25" customWidth="1"/>
    <col min="4" max="4" width="4.625" customWidth="1"/>
    <col min="5" max="5" width="58.25" customWidth="1"/>
    <col min="6" max="6" width="25.875" customWidth="1"/>
  </cols>
  <sheetData>
    <row r="1" spans="1:13">
      <c r="A1" s="88"/>
      <c r="B1" s="88"/>
      <c r="C1" s="88"/>
      <c r="D1" s="88"/>
      <c r="E1" s="88"/>
      <c r="F1" s="88"/>
      <c r="G1" s="88"/>
      <c r="H1" s="88"/>
      <c r="I1" s="88"/>
      <c r="J1" s="88"/>
      <c r="K1" s="88"/>
      <c r="L1" s="88"/>
      <c r="M1" s="88"/>
    </row>
    <row r="2" spans="1:13" s="23" customFormat="1" ht="42" customHeight="1">
      <c r="A2" s="88"/>
      <c r="B2" s="679" t="s">
        <v>358</v>
      </c>
      <c r="C2" s="680">
        <f ca="1">TODAY()</f>
        <v>41618</v>
      </c>
      <c r="D2" s="88"/>
      <c r="E2" s="88"/>
      <c r="F2" s="88"/>
      <c r="G2" s="88"/>
      <c r="H2" s="88"/>
      <c r="I2" s="88"/>
      <c r="J2" s="88"/>
      <c r="K2" s="88"/>
      <c r="L2" s="88"/>
      <c r="M2" s="88"/>
    </row>
    <row r="3" spans="1:13" ht="18.75" thickBot="1">
      <c r="A3" s="88"/>
      <c r="B3" s="913" t="s">
        <v>356</v>
      </c>
      <c r="C3" s="913"/>
      <c r="D3" s="88"/>
      <c r="E3" s="678" t="s">
        <v>357</v>
      </c>
      <c r="F3" s="88"/>
      <c r="G3" s="88"/>
      <c r="H3" s="88"/>
      <c r="I3" s="88"/>
      <c r="J3" s="88"/>
      <c r="K3" s="88"/>
      <c r="L3" s="88"/>
      <c r="M3" s="88"/>
    </row>
    <row r="4" spans="1:13">
      <c r="A4" s="88"/>
      <c r="B4" s="675" t="str">
        <f>S.Hearing.1stCity</f>
        <v>LRAPA</v>
      </c>
      <c r="C4" s="676">
        <f>S.Hearing.1stDate</f>
        <v>41661</v>
      </c>
      <c r="D4" s="88"/>
      <c r="E4" s="760"/>
      <c r="F4" s="88"/>
      <c r="G4" s="88"/>
      <c r="H4" s="88"/>
      <c r="I4" s="88"/>
      <c r="J4" s="88"/>
      <c r="K4" s="88"/>
      <c r="L4" s="88"/>
      <c r="M4" s="88"/>
    </row>
    <row r="5" spans="1:13">
      <c r="A5" s="88"/>
      <c r="B5" s="675" t="str">
        <f>IF(S.Hearing.2ndInvolve="N","-blank -",S.Hearing.2ndCity)</f>
        <v>-blank -</v>
      </c>
      <c r="C5" s="677" t="str">
        <f>IF(S.Hearing.2ndInvolve="N","-blank -",S.Hearing.2ndDate)</f>
        <v>-blank -</v>
      </c>
      <c r="D5" s="88"/>
      <c r="E5" s="760"/>
      <c r="F5" s="88"/>
      <c r="G5" s="88"/>
      <c r="H5" s="88"/>
      <c r="I5" s="88"/>
      <c r="J5" s="88"/>
      <c r="K5" s="88"/>
      <c r="L5" s="88"/>
      <c r="M5" s="88"/>
    </row>
    <row r="6" spans="1:13">
      <c r="A6" s="88"/>
      <c r="B6" s="675" t="str">
        <f>IF(S.Hearing.3rdInvolve="N","-blank -",S.Hearing.3rdCity)</f>
        <v>-blank -</v>
      </c>
      <c r="C6" s="677" t="str">
        <f>IF(S.Hearing.3rdInvolve="N","-blank -",S.Hearing.3rdDate)</f>
        <v>-blank -</v>
      </c>
      <c r="D6" s="88"/>
      <c r="E6" s="760"/>
      <c r="F6" s="88"/>
      <c r="G6" s="88"/>
      <c r="H6" s="88"/>
      <c r="I6" s="88"/>
      <c r="J6" s="88"/>
      <c r="K6" s="88"/>
      <c r="L6" s="88"/>
      <c r="M6" s="88"/>
    </row>
    <row r="7" spans="1:13">
      <c r="A7" s="88"/>
      <c r="B7" s="675" t="str">
        <f>IF(S.Hearing.4thInvolve="N","-blank -",S.Hearing.4thCity)</f>
        <v>-blank -</v>
      </c>
      <c r="C7" s="677" t="str">
        <f>IF(S.Hearing.4thInvolve="N","-blank -",S.Hearing.4thDate)</f>
        <v>-blank -</v>
      </c>
      <c r="D7" s="88"/>
      <c r="E7" s="760"/>
      <c r="F7" s="88"/>
      <c r="G7" s="88"/>
      <c r="H7" s="88"/>
      <c r="I7" s="88"/>
      <c r="J7" s="88"/>
      <c r="K7" s="88"/>
      <c r="L7" s="88"/>
      <c r="M7" s="88"/>
    </row>
    <row r="8" spans="1:13">
      <c r="A8" s="88"/>
      <c r="B8" s="675" t="str">
        <f>IF(S.Hearing.5thInvolve="N","-blank -",S.Hearing.5thCity)</f>
        <v>-blank -</v>
      </c>
      <c r="C8" s="677" t="str">
        <f>IF(S.Hearing.5thInvolve="N","-blank -",S.Hearing.5thDate)</f>
        <v>-blank -</v>
      </c>
      <c r="D8" s="88"/>
      <c r="E8" s="760"/>
      <c r="F8" s="88"/>
      <c r="G8" s="88"/>
      <c r="H8" s="88"/>
      <c r="I8" s="88"/>
      <c r="J8" s="88"/>
      <c r="K8" s="88"/>
      <c r="L8" s="88"/>
      <c r="M8" s="88"/>
    </row>
    <row r="9" spans="1:13">
      <c r="A9" s="88"/>
      <c r="B9" s="675" t="str">
        <f>IF(S.Hearing.6thInvolve="N","-blank -",S.Hearing.6thCity)</f>
        <v>-blank -</v>
      </c>
      <c r="C9" s="677" t="str">
        <f>IF(S.Hearing.6thInvolve="N","-blank -",S.Hearing.6thDate)</f>
        <v>-blank -</v>
      </c>
      <c r="D9" s="88"/>
      <c r="E9" s="760"/>
      <c r="F9" s="88"/>
      <c r="G9" s="88"/>
      <c r="H9" s="88"/>
      <c r="I9" s="88"/>
      <c r="J9" s="88"/>
      <c r="K9" s="88"/>
      <c r="L9" s="88"/>
      <c r="M9" s="88"/>
    </row>
    <row r="10" spans="1:13">
      <c r="A10" s="88"/>
      <c r="B10" s="675" t="str">
        <f>IF(S.Hearing.7thInvolve="N","-blank -",S.Hearing.7thCity)</f>
        <v>-blank -</v>
      </c>
      <c r="C10" s="677" t="str">
        <f>IF(S.Hearing.7thInvolve="N","-blank -",S.Hearing.7thDate)</f>
        <v>-blank -</v>
      </c>
      <c r="D10" s="88"/>
      <c r="E10" s="760"/>
      <c r="F10" s="88"/>
      <c r="G10" s="88"/>
      <c r="H10" s="88"/>
      <c r="I10" s="88"/>
      <c r="J10" s="88"/>
      <c r="K10" s="88"/>
      <c r="L10" s="88"/>
      <c r="M10" s="88"/>
    </row>
    <row r="11" spans="1:13">
      <c r="A11" s="88"/>
      <c r="B11" s="675" t="str">
        <f>IF(S.Hearing.8thtInvolve="N","-blank -",S.Hearing.8thCity)</f>
        <v>-blank -</v>
      </c>
      <c r="C11" s="677" t="str">
        <f>IF(S.Hearing.8thtInvolve="N","-blank -",S.Hearing.8thDate)</f>
        <v>-blank -</v>
      </c>
      <c r="D11" s="88"/>
      <c r="E11" s="760"/>
      <c r="F11" s="88"/>
      <c r="G11" s="88"/>
      <c r="H11" s="88"/>
      <c r="I11" s="88"/>
      <c r="J11" s="88"/>
      <c r="K11" s="88"/>
      <c r="L11" s="88"/>
      <c r="M11" s="88"/>
    </row>
    <row r="12" spans="1:13">
      <c r="A12" s="88"/>
      <c r="B12" s="675"/>
      <c r="C12" s="675"/>
      <c r="D12" s="88"/>
      <c r="E12" s="681"/>
      <c r="F12" s="88"/>
      <c r="G12" s="88"/>
      <c r="H12" s="88"/>
      <c r="I12" s="88"/>
      <c r="J12" s="88"/>
      <c r="K12" s="88"/>
      <c r="L12" s="88"/>
      <c r="M12" s="88"/>
    </row>
    <row r="13" spans="1:13">
      <c r="A13" s="88"/>
      <c r="B13" s="675"/>
      <c r="C13" s="675"/>
      <c r="D13" s="88"/>
      <c r="E13" s="681"/>
      <c r="F13" s="88"/>
      <c r="G13" s="88"/>
      <c r="H13" s="88"/>
      <c r="I13" s="88"/>
      <c r="J13" s="88"/>
      <c r="K13" s="88"/>
      <c r="L13" s="88"/>
      <c r="M13" s="88"/>
    </row>
    <row r="14" spans="1:13">
      <c r="A14" s="88"/>
      <c r="B14" s="675"/>
      <c r="C14" s="675"/>
      <c r="D14" s="88"/>
      <c r="E14" s="681"/>
      <c r="F14" s="88"/>
      <c r="G14" s="88"/>
      <c r="H14" s="88"/>
      <c r="I14" s="88"/>
      <c r="J14" s="88"/>
      <c r="K14" s="88"/>
      <c r="L14" s="88"/>
      <c r="M14" s="88"/>
    </row>
    <row r="15" spans="1:13" ht="18.75" thickBot="1">
      <c r="A15" s="88"/>
      <c r="B15" s="913" t="s">
        <v>355</v>
      </c>
      <c r="C15" s="913"/>
      <c r="D15" s="88"/>
      <c r="E15" s="681"/>
      <c r="F15" s="88"/>
      <c r="G15" s="88"/>
      <c r="H15" s="88"/>
      <c r="I15" s="88"/>
      <c r="J15" s="88"/>
      <c r="K15" s="88"/>
      <c r="L15" s="88"/>
      <c r="M15" s="88"/>
    </row>
    <row r="16" spans="1:13">
      <c r="A16" s="88"/>
      <c r="B16" s="675" t="str">
        <f>S.Notice.AD.PubID1</f>
        <v>NOTICE.AD01.OREGONIAN</v>
      </c>
      <c r="C16" s="676">
        <f>S.Notice.AD.PubDate1</f>
        <v>41624</v>
      </c>
      <c r="D16" s="88"/>
      <c r="E16" s="760"/>
      <c r="F16" s="88"/>
      <c r="G16" s="88"/>
      <c r="H16" s="88"/>
      <c r="I16" s="88"/>
      <c r="J16" s="88"/>
      <c r="K16" s="88"/>
      <c r="L16" s="88"/>
      <c r="M16" s="88"/>
    </row>
    <row r="17" spans="1:13">
      <c r="A17" s="88"/>
      <c r="B17" s="675" t="str">
        <f>S.Notice.AD.PubID2</f>
        <v>NOTICE.AD02.REGISTERGUARD</v>
      </c>
      <c r="C17" s="676">
        <f>S.Notice.AD.PubDate2</f>
        <v>41624</v>
      </c>
      <c r="D17" s="88"/>
      <c r="E17" s="760"/>
      <c r="F17" s="88"/>
      <c r="G17" s="88"/>
      <c r="H17" s="88"/>
      <c r="I17" s="88"/>
      <c r="J17" s="88"/>
      <c r="K17" s="88"/>
      <c r="L17" s="88"/>
      <c r="M17" s="88"/>
    </row>
    <row r="18" spans="1:13">
      <c r="A18" s="88"/>
      <c r="B18" s="675" t="str">
        <f>S.Notice.AD.PubID3</f>
        <v>NOTICE.AD03.[Cottage Grove Sentinel]</v>
      </c>
      <c r="C18" s="676">
        <f>S.Notice.AD.PubDate3</f>
        <v>41624</v>
      </c>
      <c r="D18" s="88"/>
      <c r="E18" s="760"/>
      <c r="F18" s="88"/>
      <c r="G18" s="88"/>
      <c r="H18" s="88"/>
      <c r="I18" s="88"/>
      <c r="J18" s="88"/>
      <c r="K18" s="88"/>
      <c r="L18" s="88"/>
      <c r="M18" s="88"/>
    </row>
    <row r="19" spans="1:13">
      <c r="A19" s="88"/>
      <c r="B19" s="675" t="str">
        <f>S.Notice.AD.PubID4</f>
        <v>NOTICE.AD04.[Beacon]</v>
      </c>
      <c r="C19" s="676">
        <f>S.Notice.AD.PubDate4</f>
        <v>41624</v>
      </c>
      <c r="D19" s="88"/>
      <c r="E19" s="760"/>
      <c r="F19" s="88"/>
      <c r="G19" s="88"/>
      <c r="H19" s="88"/>
      <c r="I19" s="88"/>
      <c r="J19" s="88"/>
      <c r="K19" s="88"/>
      <c r="L19" s="88"/>
      <c r="M19" s="88"/>
    </row>
    <row r="20" spans="1:13">
      <c r="A20" s="88"/>
      <c r="B20" s="675">
        <f>S.Notice.AD.PubID5</f>
        <v>0</v>
      </c>
      <c r="C20" s="676">
        <f>S.Notice.AD.PubDate5</f>
        <v>41624</v>
      </c>
      <c r="D20" s="88"/>
      <c r="E20" s="760"/>
      <c r="F20" s="88"/>
      <c r="G20" s="88"/>
      <c r="H20" s="88"/>
      <c r="I20" s="88"/>
      <c r="J20" s="88"/>
      <c r="K20" s="88"/>
      <c r="L20" s="88"/>
      <c r="M20" s="88"/>
    </row>
    <row r="21" spans="1:13">
      <c r="A21" s="88"/>
      <c r="B21" s="675">
        <f>S.Notice.AD.PubID6</f>
        <v>0</v>
      </c>
      <c r="C21" s="676">
        <f>S.Notice.AD.PubDate6</f>
        <v>41624</v>
      </c>
      <c r="D21" s="88"/>
      <c r="E21" s="760"/>
      <c r="F21" s="88"/>
      <c r="G21" s="88"/>
      <c r="H21" s="88"/>
      <c r="I21" s="88"/>
      <c r="J21" s="88"/>
      <c r="K21" s="88"/>
      <c r="L21" s="88"/>
      <c r="M21" s="88"/>
    </row>
    <row r="22" spans="1:13">
      <c r="A22" s="88"/>
      <c r="B22" s="675">
        <f>S.Notice.AD.PubID7</f>
        <v>0</v>
      </c>
      <c r="C22" s="676">
        <f>S.Notice.AD.PubDate7</f>
        <v>41624</v>
      </c>
      <c r="D22" s="88"/>
      <c r="E22" s="760"/>
      <c r="F22" s="88"/>
      <c r="G22" s="88"/>
      <c r="H22" s="88"/>
      <c r="I22" s="88"/>
      <c r="J22" s="88"/>
      <c r="K22" s="88"/>
      <c r="L22" s="88"/>
      <c r="M22" s="88"/>
    </row>
    <row r="23" spans="1:13">
      <c r="A23" s="88"/>
      <c r="B23" s="675">
        <f>S.Notice.AD.PubID8</f>
        <v>0</v>
      </c>
      <c r="C23" s="676">
        <f>S.Notice.AD.PubDate8</f>
        <v>41624</v>
      </c>
      <c r="D23" s="88"/>
      <c r="E23" s="760"/>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c r="A37" s="88"/>
      <c r="B37" s="88"/>
      <c r="C37" s="88"/>
      <c r="D37" s="88"/>
      <c r="E37" s="88"/>
      <c r="F37" s="88"/>
      <c r="G37" s="88"/>
      <c r="H37" s="88"/>
      <c r="I37" s="88"/>
      <c r="J37" s="88"/>
      <c r="K37" s="88"/>
      <c r="L37" s="88"/>
      <c r="M37" s="88"/>
    </row>
    <row r="38" spans="1:13">
      <c r="A38" s="88"/>
      <c r="B38" s="88"/>
      <c r="C38" s="88"/>
      <c r="D38" s="88"/>
      <c r="E38" s="88"/>
      <c r="F38" s="88"/>
      <c r="G38" s="88"/>
      <c r="H38" s="88"/>
      <c r="I38" s="88"/>
      <c r="J38" s="88"/>
      <c r="K38" s="88"/>
      <c r="L38" s="88"/>
      <c r="M38" s="88"/>
    </row>
    <row r="39" spans="1:13">
      <c r="A39" s="88"/>
      <c r="B39" s="88"/>
      <c r="C39" s="88"/>
      <c r="D39" s="88"/>
      <c r="E39" s="88"/>
      <c r="F39" s="88"/>
      <c r="G39" s="88"/>
      <c r="H39" s="88"/>
      <c r="I39" s="88"/>
      <c r="J39" s="88"/>
      <c r="K39" s="88"/>
      <c r="L39" s="88"/>
      <c r="M39" s="88"/>
    </row>
    <row r="40" spans="1:13">
      <c r="A40" s="88"/>
      <c r="B40" s="88"/>
      <c r="C40" s="88"/>
      <c r="D40" s="88"/>
      <c r="E40" s="88"/>
      <c r="F40" s="88"/>
      <c r="G40" s="88"/>
      <c r="H40" s="88"/>
      <c r="I40" s="88"/>
      <c r="J40" s="88"/>
      <c r="K40" s="88"/>
      <c r="L40" s="88"/>
      <c r="M40" s="88"/>
    </row>
    <row r="41" spans="1:13">
      <c r="A41" s="88"/>
      <c r="B41" s="88"/>
      <c r="C41" s="88"/>
      <c r="D41" s="88"/>
      <c r="E41" s="88"/>
      <c r="F41" s="88"/>
      <c r="G41" s="88"/>
      <c r="H41" s="88"/>
      <c r="I41" s="88"/>
      <c r="J41" s="88"/>
      <c r="K41" s="88"/>
      <c r="L41" s="88"/>
      <c r="M41" s="88"/>
    </row>
    <row r="42" spans="1:13">
      <c r="A42" s="88"/>
      <c r="B42" s="88"/>
      <c r="C42" s="88"/>
      <c r="D42" s="88"/>
      <c r="E42" s="88"/>
      <c r="F42" s="88"/>
      <c r="G42" s="88"/>
      <c r="H42" s="88"/>
      <c r="I42" s="88"/>
      <c r="J42" s="88"/>
      <c r="K42" s="88"/>
      <c r="L42" s="88"/>
      <c r="M42" s="88"/>
    </row>
    <row r="43" spans="1:13">
      <c r="A43" s="88"/>
      <c r="B43" s="88"/>
      <c r="C43" s="88"/>
      <c r="D43" s="88"/>
      <c r="E43" s="88"/>
      <c r="F43" s="88"/>
      <c r="G43" s="88"/>
      <c r="H43" s="88"/>
      <c r="I43" s="88"/>
      <c r="J43" s="88"/>
      <c r="K43" s="88"/>
      <c r="L43" s="88"/>
      <c r="M43" s="88"/>
    </row>
    <row r="44" spans="1:13">
      <c r="A44" s="88"/>
      <c r="B44" s="88"/>
      <c r="C44" s="88"/>
      <c r="D44" s="88"/>
      <c r="E44" s="88"/>
      <c r="F44" s="88"/>
      <c r="G44" s="88"/>
      <c r="H44" s="88"/>
      <c r="I44" s="88"/>
      <c r="J44" s="88"/>
      <c r="K44" s="88"/>
      <c r="L44" s="88"/>
      <c r="M44" s="88"/>
    </row>
    <row r="45" spans="1:13">
      <c r="A45" s="88"/>
      <c r="B45" s="88"/>
      <c r="C45" s="88"/>
      <c r="D45" s="88"/>
      <c r="E45" s="88"/>
      <c r="F45" s="88"/>
      <c r="G45" s="88"/>
      <c r="H45" s="88"/>
      <c r="I45" s="88"/>
      <c r="J45" s="88"/>
      <c r="K45" s="88"/>
      <c r="L45" s="88"/>
      <c r="M45" s="88"/>
    </row>
    <row r="46" spans="1:13">
      <c r="A46" s="88"/>
      <c r="B46" s="88"/>
      <c r="C46" s="88"/>
      <c r="D46" s="88"/>
      <c r="E46" s="88"/>
      <c r="F46" s="88"/>
      <c r="G46" s="88"/>
      <c r="H46" s="88"/>
      <c r="I46" s="88"/>
      <c r="J46" s="88"/>
      <c r="K46" s="88"/>
      <c r="L46" s="88"/>
      <c r="M46" s="88"/>
    </row>
    <row r="47" spans="1:13">
      <c r="A47" s="88"/>
      <c r="B47" s="88"/>
      <c r="C47" s="88"/>
      <c r="D47" s="88"/>
      <c r="E47" s="88"/>
      <c r="F47" s="88"/>
      <c r="G47" s="88"/>
      <c r="H47" s="88"/>
      <c r="I47" s="88"/>
      <c r="J47" s="88"/>
      <c r="K47" s="88"/>
      <c r="L47" s="88"/>
      <c r="M47" s="88"/>
    </row>
    <row r="48" spans="1:13">
      <c r="A48" s="88"/>
      <c r="B48" s="88"/>
      <c r="C48" s="88"/>
      <c r="D48" s="88"/>
      <c r="E48" s="88"/>
      <c r="F48" s="88"/>
      <c r="G48" s="88"/>
      <c r="H48" s="88"/>
      <c r="I48" s="88"/>
      <c r="J48" s="88"/>
      <c r="K48" s="88"/>
      <c r="L48" s="88"/>
      <c r="M48" s="88"/>
    </row>
    <row r="49" spans="1:13">
      <c r="A49" s="88"/>
      <c r="B49" s="88"/>
      <c r="C49" s="88"/>
      <c r="D49" s="88"/>
      <c r="E49" s="88"/>
      <c r="F49" s="88"/>
      <c r="G49" s="88"/>
      <c r="H49" s="88"/>
      <c r="I49" s="88"/>
      <c r="J49" s="88"/>
      <c r="K49" s="88"/>
      <c r="L49" s="88"/>
      <c r="M49" s="88"/>
    </row>
    <row r="50" spans="1:13">
      <c r="A50" s="88"/>
      <c r="B50" s="88"/>
      <c r="C50" s="88"/>
      <c r="D50" s="88"/>
      <c r="E50" s="88"/>
      <c r="F50" s="88"/>
      <c r="G50" s="88"/>
      <c r="H50" s="88"/>
      <c r="I50" s="88"/>
      <c r="J50" s="88"/>
      <c r="K50" s="88"/>
      <c r="L50" s="88"/>
      <c r="M50" s="88"/>
    </row>
    <row r="51" spans="1:13">
      <c r="A51" s="88"/>
      <c r="B51" s="88"/>
      <c r="C51" s="88"/>
      <c r="D51" s="88"/>
      <c r="E51" s="88"/>
      <c r="F51" s="88"/>
      <c r="G51" s="88"/>
      <c r="H51" s="88"/>
      <c r="I51" s="88"/>
      <c r="J51" s="88"/>
      <c r="K51" s="88"/>
      <c r="L51" s="88"/>
      <c r="M51" s="88"/>
    </row>
    <row r="52" spans="1:13">
      <c r="A52" s="88"/>
      <c r="B52" s="88"/>
      <c r="C52" s="88"/>
      <c r="D52" s="88"/>
      <c r="E52" s="88"/>
      <c r="F52" s="88"/>
      <c r="G52" s="88"/>
      <c r="H52" s="88"/>
      <c r="I52" s="88"/>
      <c r="J52" s="88"/>
      <c r="K52" s="88"/>
      <c r="L52" s="88"/>
      <c r="M52" s="88"/>
    </row>
    <row r="53" spans="1:13">
      <c r="A53" s="88"/>
      <c r="B53" s="88"/>
      <c r="C53" s="88"/>
      <c r="D53" s="88"/>
      <c r="E53" s="88"/>
      <c r="F53" s="88"/>
      <c r="G53" s="88"/>
      <c r="H53" s="88"/>
      <c r="I53" s="88"/>
      <c r="J53" s="88"/>
      <c r="K53" s="88"/>
      <c r="L53" s="88"/>
      <c r="M53" s="88"/>
    </row>
    <row r="54" spans="1:13">
      <c r="A54" s="88"/>
      <c r="B54" s="88"/>
      <c r="C54" s="88"/>
      <c r="D54" s="88"/>
      <c r="E54" s="88"/>
      <c r="F54" s="88"/>
      <c r="G54" s="88"/>
      <c r="H54" s="88"/>
      <c r="I54" s="88"/>
      <c r="J54" s="88"/>
      <c r="K54" s="88"/>
      <c r="L54" s="88"/>
      <c r="M54" s="88"/>
    </row>
    <row r="55" spans="1:13">
      <c r="A55" s="88"/>
      <c r="B55" s="88"/>
      <c r="C55" s="88"/>
      <c r="D55" s="88"/>
      <c r="E55" s="88"/>
      <c r="F55" s="88"/>
      <c r="G55" s="88"/>
      <c r="H55" s="88"/>
      <c r="I55" s="88"/>
      <c r="J55" s="88"/>
      <c r="K55" s="88"/>
      <c r="L55" s="88"/>
      <c r="M55" s="88"/>
    </row>
    <row r="56" spans="1:13">
      <c r="A56" s="88"/>
      <c r="B56" s="88"/>
      <c r="C56" s="88"/>
      <c r="D56" s="88"/>
      <c r="E56" s="88"/>
      <c r="F56" s="88"/>
      <c r="G56" s="88"/>
      <c r="H56" s="88"/>
      <c r="I56" s="88"/>
      <c r="J56" s="88"/>
      <c r="K56" s="88"/>
      <c r="L56" s="88"/>
      <c r="M56" s="88"/>
    </row>
    <row r="57" spans="1:13">
      <c r="A57" s="88"/>
      <c r="B57" s="88"/>
      <c r="C57" s="88"/>
      <c r="D57" s="88"/>
      <c r="E57" s="88"/>
      <c r="F57" s="88"/>
      <c r="G57" s="88"/>
      <c r="H57" s="88"/>
      <c r="I57" s="88"/>
      <c r="J57" s="88"/>
      <c r="K57" s="88"/>
      <c r="L57" s="88"/>
      <c r="M57" s="88"/>
    </row>
    <row r="58" spans="1:13">
      <c r="A58" s="88"/>
      <c r="B58" s="88"/>
      <c r="C58" s="88"/>
      <c r="D58" s="88"/>
      <c r="E58" s="88"/>
      <c r="F58" s="88"/>
      <c r="G58" s="88"/>
      <c r="H58" s="88"/>
      <c r="I58" s="88"/>
      <c r="J58" s="88"/>
      <c r="K58" s="88"/>
      <c r="L58" s="88"/>
      <c r="M58" s="88"/>
    </row>
    <row r="59" spans="1:13">
      <c r="A59" s="88"/>
      <c r="B59" s="88"/>
      <c r="C59" s="88"/>
      <c r="D59" s="88"/>
      <c r="E59" s="88"/>
      <c r="F59" s="88"/>
      <c r="G59" s="88"/>
      <c r="H59" s="88"/>
      <c r="I59" s="88"/>
      <c r="J59" s="88"/>
      <c r="K59" s="88"/>
      <c r="L59" s="88"/>
      <c r="M59" s="88"/>
    </row>
    <row r="60" spans="1:13">
      <c r="A60" s="88"/>
      <c r="B60" s="88"/>
      <c r="C60" s="88"/>
      <c r="D60" s="88"/>
      <c r="E60" s="88"/>
      <c r="F60" s="88"/>
      <c r="G60" s="88"/>
      <c r="H60" s="88"/>
      <c r="I60" s="88"/>
      <c r="J60" s="88"/>
      <c r="K60" s="88"/>
      <c r="L60" s="88"/>
      <c r="M60" s="88"/>
    </row>
    <row r="61" spans="1:13">
      <c r="A61" s="88"/>
      <c r="B61" s="88"/>
      <c r="C61" s="88"/>
      <c r="D61" s="88"/>
      <c r="E61" s="88"/>
      <c r="F61" s="88"/>
      <c r="G61" s="88"/>
      <c r="H61" s="88"/>
      <c r="I61" s="88"/>
      <c r="J61" s="88"/>
      <c r="K61" s="88"/>
      <c r="L61" s="88"/>
      <c r="M61" s="88"/>
    </row>
    <row r="62" spans="1:13">
      <c r="A62" s="88"/>
      <c r="B62" s="88"/>
      <c r="C62" s="88"/>
      <c r="D62" s="88"/>
      <c r="E62" s="88"/>
      <c r="F62" s="88"/>
      <c r="G62" s="88"/>
      <c r="H62" s="88"/>
      <c r="I62" s="88"/>
      <c r="J62" s="88"/>
      <c r="K62" s="88"/>
      <c r="L62" s="88"/>
      <c r="M62" s="88"/>
    </row>
    <row r="63" spans="1:13">
      <c r="A63" s="88"/>
      <c r="B63" s="88"/>
      <c r="C63" s="88"/>
      <c r="D63" s="88"/>
      <c r="E63" s="88"/>
      <c r="F63" s="88"/>
      <c r="G63" s="88"/>
      <c r="H63" s="88"/>
      <c r="I63" s="88"/>
      <c r="J63" s="88"/>
      <c r="K63" s="88"/>
      <c r="L63" s="88"/>
      <c r="M63" s="88"/>
    </row>
    <row r="64" spans="1:13">
      <c r="A64" s="88"/>
      <c r="B64" s="88"/>
      <c r="C64" s="88"/>
      <c r="D64" s="88"/>
      <c r="E64" s="88"/>
      <c r="F64" s="88"/>
      <c r="G64" s="88"/>
      <c r="H64" s="88"/>
      <c r="I64" s="88"/>
      <c r="J64" s="88"/>
      <c r="K64" s="88"/>
      <c r="L64" s="88"/>
      <c r="M64" s="88"/>
    </row>
    <row r="65" spans="1:13">
      <c r="A65" s="88"/>
      <c r="B65" s="88"/>
      <c r="C65" s="88"/>
      <c r="D65" s="88"/>
      <c r="E65" s="88"/>
      <c r="F65" s="88"/>
      <c r="G65" s="88"/>
      <c r="H65" s="88"/>
      <c r="I65" s="88"/>
      <c r="J65" s="88"/>
      <c r="K65" s="88"/>
      <c r="L65" s="88"/>
      <c r="M65" s="88"/>
    </row>
    <row r="66" spans="1:13">
      <c r="A66" s="88"/>
      <c r="B66" s="88"/>
      <c r="C66" s="88"/>
      <c r="D66" s="88"/>
      <c r="E66" s="88"/>
      <c r="F66" s="88"/>
      <c r="G66" s="88"/>
      <c r="H66" s="88"/>
      <c r="I66" s="88"/>
      <c r="J66" s="88"/>
      <c r="K66" s="88"/>
      <c r="L66" s="88"/>
      <c r="M66" s="88"/>
    </row>
    <row r="67" spans="1:13">
      <c r="A67" s="88"/>
      <c r="B67" s="88"/>
      <c r="C67" s="88"/>
    </row>
  </sheetData>
  <mergeCells count="2">
    <mergeCell ref="B15:C15"/>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ategory xmlns="$ListId:docs;">Supporting Document</Category>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2753830D4D1F94CBB46C058B52F3F35" ma:contentTypeVersion="" ma:contentTypeDescription="Create a new document." ma:contentTypeScope="" ma:versionID="343cc7057351d162a9a355df52b814bf">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3.xml><?xml version="1.0" encoding="utf-8"?>
<ds:datastoreItem xmlns:ds="http://schemas.openxmlformats.org/officeDocument/2006/customXml" ds:itemID="{C94FEAA3-96F6-4321-AEB8-3958BD5034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178</vt:i4>
      </vt:variant>
    </vt:vector>
  </HeadingPairs>
  <TitlesOfParts>
    <vt:vector size="185" baseType="lpstr">
      <vt:lpstr>DDLs</vt:lpstr>
      <vt:lpstr>ScheduleOfTasks</vt:lpstr>
      <vt:lpstr>ConditionalFormat</vt:lpstr>
      <vt:lpstr>AddToPlan</vt:lpstr>
      <vt:lpstr>Names</vt:lpstr>
      <vt:lpstr>Sheet1</vt:lpstr>
      <vt:lpstr>HearingAndAdDates</vt:lpstr>
      <vt:lpstr>ScheduleOfTasks!Print_Area</vt:lpstr>
      <vt:lpstr>S.AC.BANNER.Begin</vt:lpstr>
      <vt:lpstr>S.AC.BANNER.End</vt:lpstr>
      <vt:lpstr>S.AC.Charter</vt:lpstr>
      <vt:lpstr>S.AC.CommitteeInvolved</vt:lpstr>
      <vt:lpstr>S.AC.DateMeeting1</vt:lpstr>
      <vt:lpstr>S.AC.DateMeeting2</vt:lpstr>
      <vt:lpstr>S.AC.DateMeeting3</vt:lpstr>
      <vt:lpstr>S.AC.DateMeeting4</vt:lpstr>
      <vt:lpstr>S.AC.DateMeeting5</vt:lpstr>
      <vt:lpstr>S.AC.InvolveMeeting1</vt:lpstr>
      <vt:lpstr>S.AC.InvolveMeeting2</vt:lpstr>
      <vt:lpstr>S.AC.InvolveMeeting3</vt:lpstr>
      <vt:lpstr>S.AC.InvolveMeeting4</vt:lpstr>
      <vt:lpstr>S.AC.InvolveMeeting5</vt:lpstr>
      <vt:lpstr>S.AC.Presentation1</vt:lpstr>
      <vt:lpstr>S.AC.Presentation2</vt:lpstr>
      <vt:lpstr>S.AC.Presentation3</vt:lpstr>
      <vt:lpstr>S.AC.Presentation4</vt:lpstr>
      <vt:lpstr>S.AC.Presentation5</vt:lpstr>
      <vt:lpstr>S.AC.SendInvitation</vt:lpstr>
      <vt:lpstr>S.AC.WebPage</vt:lpstr>
      <vt:lpstr>S.Comment.ApproveResponseLoop2</vt:lpstr>
      <vt:lpstr>S.Comment.ApproveResponseLoop3</vt:lpstr>
      <vt:lpstr>S.Comment.ApproveResponseLoop4</vt:lpstr>
      <vt:lpstr>S.DDL_Bulletin</vt:lpstr>
      <vt:lpstr>S.DDL_DEQClosed</vt:lpstr>
      <vt:lpstr>S.DDL_EQCMeeting</vt:lpstr>
      <vt:lpstr>S.Default6</vt:lpstr>
      <vt:lpstr>S.EQC.1on1Briefing</vt:lpstr>
      <vt:lpstr>S.EQC.ApprovePacketLoop1</vt:lpstr>
      <vt:lpstr>S.EQC.ApprovePacketLoop2</vt:lpstr>
      <vt:lpstr>S.EQC.ApprovePacketLoop3</vt:lpstr>
      <vt:lpstr>S.EQC.ApprovePacketLoop4</vt:lpstr>
      <vt:lpstr>S.EQC.ApprovePresentationLoop2</vt:lpstr>
      <vt:lpstr>S.EQC.ApprovePresentationLoop3</vt:lpstr>
      <vt:lpstr>S.EQC.ApprovePresentationLoop4</vt:lpstr>
      <vt:lpstr>S.EQC.BANNER.Begin</vt:lpstr>
      <vt:lpstr>S.EQC.BANNER.End</vt:lpstr>
      <vt:lpstr>S.EQC.DirReport</vt:lpstr>
      <vt:lpstr>S.EQC.FacHearing</vt:lpstr>
      <vt:lpstr>S.EQC.InfoItem</vt:lpstr>
      <vt:lpstr>S.EQC.Meeting</vt:lpstr>
      <vt:lpstr>S.EQC.MeetingNEXT</vt:lpstr>
      <vt:lpstr>S.EQC.PacketBeginReview</vt:lpstr>
      <vt:lpstr>S.EQC.PacketEndReview</vt:lpstr>
      <vt:lpstr>S.EQC.SubmitStaffRpt</vt:lpstr>
      <vt:lpstr>S.Fee.ApproveDASdenialResponseLoop1</vt:lpstr>
      <vt:lpstr>S.Fee.ApproveDASdenialResponseLoop2</vt:lpstr>
      <vt:lpstr>S.Fee.ApproveDASdenialResponseLoop4</vt:lpstr>
      <vt:lpstr>S.Fee.ApprovePacketLoop2</vt:lpstr>
      <vt:lpstr>S.Fee.ApprovePacketLoop3</vt:lpstr>
      <vt:lpstr>S.Fee.ApprovePacketLoop4</vt:lpstr>
      <vt:lpstr>S.Fee.BANNER.Begin</vt:lpstr>
      <vt:lpstr>S.Fee.BANNER.End</vt:lpstr>
      <vt:lpstr>S.Fee.DASApprovalRequired</vt:lpstr>
      <vt:lpstr>S.Fee.Involved</vt:lpstr>
      <vt:lpstr>S.Fee.SubmitToDAS</vt:lpstr>
      <vt:lpstr>S.General.CodeName</vt:lpstr>
      <vt:lpstr>S.General.Complexity</vt:lpstr>
      <vt:lpstr>S.General.DaysRecommended</vt:lpstr>
      <vt:lpstr>S.General.LastCellSchedule</vt:lpstr>
      <vt:lpstr>S.General.RulemakingTitle</vt:lpstr>
      <vt:lpstr>S.General.RuleType</vt:lpstr>
      <vt:lpstr>S.Hearing.1stCity</vt:lpstr>
      <vt:lpstr>S.Hearing.1stDate</vt:lpstr>
      <vt:lpstr>S.Hearing.1stInvolve</vt:lpstr>
      <vt:lpstr>S.Hearing.2ndCity</vt:lpstr>
      <vt:lpstr>S.Hearing.2ndDate</vt:lpstr>
      <vt:lpstr>S.Hearing.2ndInvolve</vt:lpstr>
      <vt:lpstr>S.Hearing.3rdCity</vt:lpstr>
      <vt:lpstr>S.Hearing.3rdDate</vt:lpstr>
      <vt:lpstr>S.Hearing.3rdInvolve</vt:lpstr>
      <vt:lpstr>S.Hearing.4thCity</vt:lpstr>
      <vt:lpstr>S.Hearing.4thDate</vt:lpstr>
      <vt:lpstr>S.Hearing.4thInvolve</vt:lpstr>
      <vt:lpstr>S.Hearing.5thCity</vt:lpstr>
      <vt:lpstr>S.Hearing.5thDate</vt:lpstr>
      <vt:lpstr>S.Hearing.5thInvolve</vt:lpstr>
      <vt:lpstr>S.Hearing.6thCity</vt:lpstr>
      <vt:lpstr>S.Hearing.6thDate</vt:lpstr>
      <vt:lpstr>S.Hearing.6thInvolve</vt:lpstr>
      <vt:lpstr>S.Hearing.7thCity</vt:lpstr>
      <vt:lpstr>S.Hearing.7thDate</vt:lpstr>
      <vt:lpstr>S.Hearing.7thInvolve</vt:lpstr>
      <vt:lpstr>S.Hearing.8thCity</vt:lpstr>
      <vt:lpstr>S.Hearing.8thDate</vt:lpstr>
      <vt:lpstr>S.Hearing.8thtInvolve</vt:lpstr>
      <vt:lpstr>S.Hearing.BANNER.Begin</vt:lpstr>
      <vt:lpstr>S.Hearing.BANNER.End</vt:lpstr>
      <vt:lpstr>S.Notice.AD.Involved</vt:lpstr>
      <vt:lpstr>S.Notice.AD.PubDate1</vt:lpstr>
      <vt:lpstr>S.Notice.AD.PubDate2</vt:lpstr>
      <vt:lpstr>S.Notice.AD.PubDate3</vt:lpstr>
      <vt:lpstr>S.Notice.AD.PubDate4</vt:lpstr>
      <vt:lpstr>S.Notice.AD.PubDate5</vt:lpstr>
      <vt:lpstr>S.Notice.AD.PubDate6</vt:lpstr>
      <vt:lpstr>S.Notice.AD.PubDate7</vt:lpstr>
      <vt:lpstr>S.Notice.AD.PubDate8</vt:lpstr>
      <vt:lpstr>S.Notice.AD.PubID1</vt:lpstr>
      <vt:lpstr>S.Notice.AD.PubID2</vt:lpstr>
      <vt:lpstr>S.Notice.AD.PubID3</vt:lpstr>
      <vt:lpstr>S.Notice.AD.PubID4</vt:lpstr>
      <vt:lpstr>S.Notice.AD.PubID5</vt:lpstr>
      <vt:lpstr>S.Notice.AD.PubID6</vt:lpstr>
      <vt:lpstr>S.Notice.AD.PubID7</vt:lpstr>
      <vt:lpstr>S.Notice.AD.PubID8</vt:lpstr>
      <vt:lpstr>S.Notice.AD.ToContractServices</vt:lpstr>
      <vt:lpstr>S.Notice.ApprovePacketLoop2</vt:lpstr>
      <vt:lpstr>S.Notice.ApprovePacketLoop3</vt:lpstr>
      <vt:lpstr>S.Notice.ApprovePacketLoop4</vt:lpstr>
      <vt:lpstr>S.Notice.BANNER.Begin</vt:lpstr>
      <vt:lpstr>S.Notice.BANNER.End</vt:lpstr>
      <vt:lpstr>S.Notice.CloseComment</vt:lpstr>
      <vt:lpstr>S.Notice.CustomReviewLoop1</vt:lpstr>
      <vt:lpstr>S.Notice.CustomReviewLoop2</vt:lpstr>
      <vt:lpstr>S.Notice.CustomReviewLoop3</vt:lpstr>
      <vt:lpstr>S.Notice.DABriefing</vt:lpstr>
      <vt:lpstr>S.Notice.DASNotification</vt:lpstr>
      <vt:lpstr>S.Notice.EMAIL.RulePublication</vt:lpstr>
      <vt:lpstr>S.Notice.HearingInvolved</vt:lpstr>
      <vt:lpstr>S.Notice.InformationMeeting</vt:lpstr>
      <vt:lpstr>S.Notice.InOregonBulletin</vt:lpstr>
      <vt:lpstr>S.Notice.Involved</vt:lpstr>
      <vt:lpstr>S.Notice.LA.BriefingMeeting</vt:lpstr>
      <vt:lpstr>S.Notice.LastHearingDate</vt:lpstr>
      <vt:lpstr>S.Notice.MgrNoticeApproval</vt:lpstr>
      <vt:lpstr>S.Notice.OpenComment</vt:lpstr>
      <vt:lpstr>S.Notice.PreviewBegin</vt:lpstr>
      <vt:lpstr>S.Notice.PreviewEnd</vt:lpstr>
      <vt:lpstr>S.Notice.StartDraft</vt:lpstr>
      <vt:lpstr>S.Notice.SubmitToSOS</vt:lpstr>
      <vt:lpstr>S.Overview.BANNER.End</vt:lpstr>
      <vt:lpstr>S.Overview.BANNER.Start</vt:lpstr>
      <vt:lpstr>S.Planning.AddConcepToPlanDate</vt:lpstr>
      <vt:lpstr>S.Planning.ApproveCommunicationsLoop2</vt:lpstr>
      <vt:lpstr>S.Planning.ApproveCommunicationsLoop3</vt:lpstr>
      <vt:lpstr>S.Planning.ApproveCommunicationsLoop4</vt:lpstr>
      <vt:lpstr>S.Planning.BANNER.Begin</vt:lpstr>
      <vt:lpstr>S.Planning.BANNER.End</vt:lpstr>
      <vt:lpstr>S.Planning.CommunicationsPlan</vt:lpstr>
      <vt:lpstr>S.Planning.DecisionToAddToPlan</vt:lpstr>
      <vt:lpstr>S.Planning.ExpandTeam</vt:lpstr>
      <vt:lpstr>S.Planning.MessageMap</vt:lpstr>
      <vt:lpstr>S.Planning.ProgramWebPage</vt:lpstr>
      <vt:lpstr>S.PostEQC.BANNER.Begin</vt:lpstr>
      <vt:lpstr>S.PostEQC.BANNER.End</vt:lpstr>
      <vt:lpstr>S.PostEQC.EffectiveUponFiling</vt:lpstr>
      <vt:lpstr>S.PostEQC.FileRuleWithSOS</vt:lpstr>
      <vt:lpstr>S.PostEQC.NotifyStakeholders</vt:lpstr>
      <vt:lpstr>S.PostEQC.RuleEffective</vt:lpstr>
      <vt:lpstr>S.PostEQC.SubmitDASPart2</vt:lpstr>
      <vt:lpstr>S.PostEQC.SubmitSIPToEPA</vt:lpstr>
      <vt:lpstr>S.RuleDevelopmentLink</vt:lpstr>
      <vt:lpstr>S.SIP.End</vt:lpstr>
      <vt:lpstr>S.SIP.Involved</vt:lpstr>
      <vt:lpstr>S.SIP.Start</vt:lpstr>
      <vt:lpstr>S.Staff.AAG</vt:lpstr>
      <vt:lpstr>S.Staff.AgencyRulesCoordinator</vt:lpstr>
      <vt:lpstr>S.Staff.AssistDA</vt:lpstr>
      <vt:lpstr>S.Staff.Budget</vt:lpstr>
      <vt:lpstr>S.Staff.CheifPublicAffairsOfficer</vt:lpstr>
      <vt:lpstr>S.Staff.DA</vt:lpstr>
      <vt:lpstr>S.Staff.Director</vt:lpstr>
      <vt:lpstr>S.Staff.DivisionRulesCoordinator</vt:lpstr>
      <vt:lpstr>S.Staff.EQCAssistant</vt:lpstr>
      <vt:lpstr>S.Staff.Fiscal</vt:lpstr>
      <vt:lpstr>S.Staff.HearingsOfficer</vt:lpstr>
      <vt:lpstr>S.Staff.Lead</vt:lpstr>
      <vt:lpstr>S.Staff.LegislativeLiason</vt:lpstr>
      <vt:lpstr>S.Staff.Mgr</vt:lpstr>
      <vt:lpstr>S.Staff.OCOCommunication</vt:lpstr>
      <vt:lpstr>S.Staff.SIPCo</vt:lpstr>
      <vt:lpstr>S.Staff.Support</vt:lpstr>
      <vt:lpstr>S.Staff.TimeAccounting</vt:lpstr>
      <vt:lpstr>S.Staff.WebMaster</vt:lpstr>
      <vt:lpstr>VL_Bulletin</vt:lpstr>
      <vt:lpstr>VL_EQCActivities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2013-10-24T15:59:05Z</cp:lastPrinted>
  <dcterms:created xsi:type="dcterms:W3CDTF">2012-04-11T21:44:01Z</dcterms:created>
  <dcterms:modified xsi:type="dcterms:W3CDTF">2013-12-10T18:20:01Z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0x010100D2753830D4D1F94CBB46C058B52F3F35</vt:lpwstr>
  </property>
</Properties>
</file>