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1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Y35"/>
  <c r="D32" i="86"/>
  <c r="D36"/>
  <c r="X7" i="95"/>
  <c r="H36"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D13" s="1"/>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Z13"/>
  <c r="Z12"/>
  <c r="AA12" s="1"/>
  <c r="Z11"/>
  <c r="AA11" s="1"/>
  <c r="Z10"/>
  <c r="AA10" s="1"/>
  <c r="C42" i="106" s="1"/>
  <c r="Z9" i="92"/>
  <c r="AA9" s="1"/>
  <c r="C41" i="106" s="1"/>
  <c r="Z8" i="92"/>
  <c r="AA8" s="1"/>
  <c r="AB13"/>
  <c r="Y8"/>
  <c r="AB8" s="1"/>
  <c r="Y13"/>
  <c r="Y12"/>
  <c r="AB12" s="1"/>
  <c r="Y11"/>
  <c r="AB11" s="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<sst xmlns="http://schemas.openxmlformats.org/spreadsheetml/2006/main" count="3100" uniqueCount="1089">
  <si>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</si>
  <si>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</si>
  <si>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</si>
  <si>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</si>
  <si>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</si>
  <si>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</si>
  <si>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</si>
  <si>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</si>
  <si>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</si>
  <si>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</si>
  <si>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</si>
  <si>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</si>
  <si>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</si>
  <si>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</si>
  <si>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</si>
  <si>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</si>
  <si>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</si>
  <si>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</si>
  <si>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</si>
  <si>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</si>
  <si>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</si>
  <si>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</si>
  <si>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</si>
  <si>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</si>
  <si>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</si>
  <si>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</si>
  <si>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</si>
  <si>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</si>
  <si>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</si>
  <si>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</si>
  <si>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</si>
  <si>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</si>
  <si>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</si>
  <si>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</si>
  <si>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</si>
  <si>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</si>
  <si>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</si>
  <si>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</si>
  <si>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</si>
  <si>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</si>
  <si>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</si>
  <si>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</si>
  <si>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</si>
  <si>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</si>
  <si>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</si>
  <si>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</si>
  <si>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</si>
  <si>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</si>
  <si>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</si>
  <si>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</si>
  <si>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</si>
  <si>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</si>
  <si>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</si>
  <si>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</si>
  <si>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</si>
  <si>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</si>
  <si>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</si>
  <si>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</si>
  <si>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</si>
  <si>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</si>
  <si>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</si>
  <si>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</si>
  <si>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</si>
  <si>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</si>
  <si>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</si>
  <si>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</si>
  <si>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</si>
  <si>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</si>
  <si>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</si>
  <si>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</si>
  <si>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</si>
  <si>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</si>
  <si>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</si>
  <si>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</si>
  <si>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</si>
  <si>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</si>
  <si>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</si>
  <si>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</si>
  <si>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</si>
  <si>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</si>
  <si>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</si>
  <si>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</si>
  <si>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</si>
  <si>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</si>
  <si>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</si>
  <si>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</si>
  <si>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</si>
  <si>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</si>
  <si>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</si>
  <si>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</si>
  <si>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</si>
  <si>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</si>
  <si>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</si>
  <si>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</si>
  <si>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</si>
  <si>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</si>
  <si>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</si>
  <si>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</si>
  <si>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</si>
  <si>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</si>
  <si>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</si>
  <si>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</si>
  <si>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</si>
  <si>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</si>
  <si>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</si>
  <si>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</si>
  <si>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</si>
  <si>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</si>
  <si>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</si>
  <si>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</si>
  <si>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</si>
  <si>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</si>
  <si>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</si>
  <si>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</si>
  <si>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</si>
  <si>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</si>
  <si>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</si>
  <si>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</si>
  <si>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</si>
  <si>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</si>
  <si>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</si>
  <si>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</si>
  <si>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</si>
  <si>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</si>
  <si>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</si>
  <si>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</si>
  <si>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</si>
  <si>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</si>
  <si>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</si>
  <si>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</si>
  <si>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</si>
  <si>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</si>
  <si>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</si>
  <si>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</si>
  <si>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</si>
  <si>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</si>
  <si>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</si>
  <si>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</si>
  <si>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</si>
  <si>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</si>
  <si>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</si>
  <si>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</si>
  <si>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</si>
  <si>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</si>
  <si>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</si>
  <si>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</si>
  <si>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</si>
  <si>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</si>
  <si>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</si>
  <si>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</si>
  <si>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</si>
  <si>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</si>
  <si>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</si>
  <si>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</si>
  <si>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</si>
  <si>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</si>
  <si>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</si>
  <si>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</si>
  <si>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</si>
  <si>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</si>
  <si>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</si>
  <si>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</si>
  <si>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</si>
  <si>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</si>
  <si>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</si>
  <si>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</si>
  <si>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</si>
  <si>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</si>
  <si>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</si>
  <si>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</si>
  <si>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</si>
  <si>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</si>
  <si>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</si>
  <si>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</si>
  <si>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</si>
  <si>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</si>
  <si>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</si>
  <si>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</si>
  <si>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</si>
  <si>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</si>
  <si>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</si>
  <si>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</si>
  <si>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</si>
  <si>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</si>
  <si>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</si>
  <si>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</si>
  <si>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</si>
  <si>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</si>
  <si>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</si>
  <si>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</si>
  <si>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</si>
  <si>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</si>
  <si>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</si>
  <si>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</si>
  <si>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</si>
  <si>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</si>
  <si>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</si>
  <si>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</si>
  <si>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</si>
  <si>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</si>
  <si>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</si>
  <si>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</si>
  <si>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</si>
  <si>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</si>
  <si>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</si>
  <si>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</si>
  <si>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</si>
  <si>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</si>
  <si>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</si>
  <si>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</si>
  <si>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</si>
  <si>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</si>
  <si>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</si>
  <si>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</si>
  <si>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</si>
  <si>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</si>
  <si>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</si>
  <si>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</si>
  <si>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</si>
  <si>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</si>
  <si>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</si>
  <si>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</si>
  <si>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</si>
  <si>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</si>
  <si>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</si>
  <si>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</si>
  <si>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</si>
  <si>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</si>
  <si>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</si>
  <si>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</si>
  <si>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</si>
  <si>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</si>
  <si>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</si>
  <si>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</si>
  <si>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</si>
  <si>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</si>
  <si>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</si>
  <si>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</si>
  <si>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</si>
  <si>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</si>
  <si>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</si>
  <si>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</si>
  <si>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</si>
  <si>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</si>
  <si>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</si>
  <si>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</si>
  <si>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</si>
  <si>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</si>
  <si>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</si>
  <si>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</si>
  <si>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</si>
  <si>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</si>
  <si>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</si>
  <si>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</si>
  <si>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</si>
  <si>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</si>
  <si>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</si>
  <si>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</si>
  <si>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</si>
  <si>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</si>
  <si>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</si>
  <si>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</si>
  <si>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</si>
  <si>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</si>
  <si>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</si>
  <si>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</si>
  <si>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</si>
  <si>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</si>
  <si>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</si>
  <si>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</si>
  <si>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</si>
  <si>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</si>
  <si>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</si>
  <si>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</si>
  <si>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</si>
  <si>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</si>
  <si>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</si>
  <si>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</si>
  <si>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</si>
  <si>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</si>
  <si>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</si>
  <si>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</si>
  <si>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</si>
  <si>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</si>
  <si>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</si>
  <si>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</si>
  <si>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</si>
  <si>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</si>
  <si>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</si>
  <si>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</si>
  <si>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</si>
  <si>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</si>
  <si>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</si>
  <si>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</si>
  <si>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</si>
  <si>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</si>
  <si>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</si>
  <si>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</si>
  <si>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</si>
  <si>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</si>
  <si>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</si>
  <si>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</si>
  <si>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</si>
  <si>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</si>
  <si>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</si>
  <si>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</si>
  <si>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</si>
  <si>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</si>
  <si>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</si>
  <si>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</si>
  <si>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</si>
  <si>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</si>
  <si>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</si>
  <si>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</si>
  <si>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</si>
  <si>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</si>
  <si>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</si>
  <si>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</si>
  <si>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</si>
  <si>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</si>
  <si>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</si>
  <si>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</si>
  <si>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</si>
  <si>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</si>
  <si>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</si>
  <si>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</si>
  <si>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</si>
  <si>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</si>
  <si>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</si>
  <si>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</si>
  <si>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</si>
  <si>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</si>
  <si>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</si>
  <si>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</si>
  <si>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</si>
  <si>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</si>
  <si>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</si>
  <si>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</si>
  <si>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</si>
  <si>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</si>
  <si>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</si>
  <si>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</si>
  <si>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</si>
  <si>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</si>
  <si>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</si>
  <si>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</si>
  <si>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</si>
  <si>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</si>
  <si>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</si>
  <si>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</si>
  <si>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</si>
  <si>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</si>
  <si>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</si>
  <si>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</si>
  <si>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</si>
  <si>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</si>
  <si>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</si>
  <si>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</si>
  <si>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</si>
  <si>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</si>
  <si>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</si>
  <si>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</si>
  <si>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</si>
  <si>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</si>
  <si>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</si>
  <si>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</si>
  <si>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</si>
  <si>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</si>
  <si>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</si>
  <si>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</si>
  <si>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</si>
  <si>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</si>
  <si>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</si>
  <si>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</si>
  <si>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</si>
  <si>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</si>
  <si>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</si>
  <si>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</si>
  <si>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</si>
  <si>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</si>
  <si>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</si>
  <si>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</si>
  <si>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</si>
  <si>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</si>
  <si>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</si>
  <si>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</si>
  <si>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</si>
  <si>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</si>
  <si>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</si>
  <si>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</si>
  <si>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</si>
  <si>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</si>
  <si>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</si>
  <si>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</si>
  <si>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</si>
  <si>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</si>
  <si>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</si>
  <si>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</si>
  <si>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</si>
  <si>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</si>
  <si>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</si>
  <si>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</si>
  <si>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</si>
  <si>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</si>
  <si>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</si>
  <si>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</si>
  <si>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</si>
  <si>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</si>
  <si>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</si>
  <si>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</si>
  <si>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</si>
  <si>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</si>
  <si>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</si>
  <si>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</si>
  <si>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</si>
  <si>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</si>
  <si>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</si>
  <si>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</si>
  <si>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</si>
  <si>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</si>
  <si>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</si>
  <si>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</si>
  <si>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</si>
  <si>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</si>
  <si>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</si>
  <si>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</si>
  <si>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</si>
  <si>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</si>
  <si>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</si>
  <si>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</si>
  <si>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</si>
  <si>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</si>
  <si>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</si>
  <si>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</si>
  <si>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</si>
  <si>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</si>
  <si>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</si>
  <si>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</si>
  <si>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</si>
  <si>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</si>
  <si>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</si>
  <si>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</si>
  <si>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</si>
  <si>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</si>
  <si>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</si>
  <si>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</si>
  <si>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</si>
  <si>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</si>
  <si>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</si>
  <si>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Description entered on the 2Basics worksheet- row 5</t>
  </si>
  <si>
    <t xml:space="preserve"> Alternatives entered on 2Basics worksheet - row 31</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</si>
  <si>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</si>
  <si>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</si>
  <si>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</si>
  <si>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</si>
  <si>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</si>
  <si>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</si>
  <si>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</si>
  <si>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</si>
  <si>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</si>
  <si>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</si>
  <si>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</si>
  <si>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</si>
  <si>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</si>
  <si>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</si>
  <si>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</si>
  <si>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</si>
  <si>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</si>
  <si>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</si>
  <si>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</si>
  <si>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</si>
  <si>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</si>
  <si>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</si>
  <si>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</si>
  <si>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</si>
  <si>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</si>
  <si>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</si>
  <si>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</si>
  <si>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</si>
  <si>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</si>
  <si>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</si>
  <si>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</si>
  <si>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</si>
  <si>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</si>
  <si>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</si>
  <si>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</si>
  <si>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</si>
  <si>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</si>
  <si>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</si>
  <si>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</si>
  <si>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</si>
  <si>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</si>
  <si>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</si>
  <si>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</si>
  <si>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</si>
  <si>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</si>
  <si>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</si>
  <si>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</si>
  <si>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</si>
  <si>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</si>
  <si>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</si>
  <si>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</si>
  <si>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</si>
  <si>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</si>
  <si>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</si>
  <si>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</si>
  <si>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</si>
  <si>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</si>
  <si>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</si>
  <si>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</si>
  <si>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</si>
  <si>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</si>
  <si>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</si>
  <si>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</si>
  <si>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</si>
  <si>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</si>
  <si>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</si>
  <si>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</si>
  <si>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</si>
  <si>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</si>
  <si>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</si>
  <si>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</si>
  <si>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</si>
  <si>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</si>
  <si>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</si>
  <si>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</si>
  <si>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</si>
  <si>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</si>
  <si>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</si>
  <si>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</si>
  <si>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</si>
  <si>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</si>
  <si>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</si>
  <si>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</si>
  <si>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</si>
  <si>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</si>
  <si>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</si>
  <si>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</si>
  <si>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</si>
  <si>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</si>
  <si>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</si>
  <si>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</si>
  <si>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</si>
  <si>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</si>
  <si>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</si>
  <si>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</si>
  <si>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</si>
  <si>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</si>
  <si>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</si>
  <si>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</si>
  <si>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</si>
  <si>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</si>
  <si>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</si>
  <si>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</si>
  <si>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</si>
  <si>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</si>
  <si>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</si>
  <si>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</si>
  <si>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</si>
  <si>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</si>
  <si>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</si>
  <si>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</si>
  <si>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</si>
  <si>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</si>
  <si>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</si>
  <si>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</si>
  <si>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</si>
  <si>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</si>
  <si>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</si>
  <si>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</si>
  <si>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</si>
  <si>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</si>
  <si>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</si>
  <si>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</si>
  <si>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</si>
  <si>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</si>
  <si>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</si>
  <si>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</si>
  <si>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</si>
  <si>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</si>
  <si>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</si>
  <si>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</si>
  <si>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</si>
  <si>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</si>
  <si>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</si>
  <si>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</si>
  <si>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</si>
  <si>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</si>
  <si>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</si>
  <si>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</si>
  <si>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</si>
  <si>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</si>
  <si>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</si>
  <si>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</si>
  <si>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</si>
  <si>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</si>
  <si>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</si>
  <si>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</si>
  <si>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</si>
  <si>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</si>
  <si>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</si>
  <si>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</si>
  <si>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</si>
  <si>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</si>
  <si>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</si>
  <si>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</si>
  <si>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</si>
  <si>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</si>
  <si>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</si>
  <si>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</si>
  <si>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</si>
  <si>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</si>
  <si>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</si>
  <si>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</si>
  <si>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</si>
  <si>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</si>
  <si>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</si>
  <si>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</si>
  <si>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</si>
  <si>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</si>
  <si>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</si>
  <si>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</si>
  <si>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</si>
  <si>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</si>
  <si>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</si>
  <si>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</si>
  <si>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</si>
  <si>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</si>
  <si>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</si>
  <si>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</si>
  <si>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</si>
  <si>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</si>
  <si>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</si>
  <si>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</si>
  <si>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</si>
  <si>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</si>
  <si>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</si>
  <si>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</si>
  <si>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</si>
  <si>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</si>
  <si>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</si>
  <si>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</si>
  <si>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</si>
  <si>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</si>
  <si>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</si>
  <si>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</si>
  <si>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</si>
  <si>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</si>
  <si>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</si>
  <si>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</si>
  <si>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</si>
  <si>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</si>
  <si>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</si>
  <si>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</si>
  <si>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</si>
  <si>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</si>
  <si>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</si>
  <si>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</si>
  <si>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</si>
  <si>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</si>
  <si>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</si>
  <si>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</si>
  <si>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</si>
  <si>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</si>
  <si>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</si>
  <si>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</si>
  <si>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</si>
  <si>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</si>
  <si>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</si>
  <si>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</si>
  <si>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</si>
  <si>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</si>
  <si>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</si>
  <si>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</si>
  <si>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</si>
  <si>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</si>
  <si>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</si>
  <si>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</si>
  <si>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</si>
  <si>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</si>
  <si>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</si>
  <si>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</si>
  <si>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</si>
  <si>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</si>
  <si>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</si>
  <si>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</si>
  <si>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</si>
  <si>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</si>
  <si>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</si>
  <si>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</si>
  <si>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</si>
  <si>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</si>
  <si>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</si>
  <si>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</si>
  <si>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</si>
  <si>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</si>
  <si>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</si>
  <si>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</si>
  <si>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</si>
  <si>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</si>
  <si>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</si>
  <si>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</si>
  <si>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</si>
  <si>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</si>
  <si>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</si>
  <si>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</si>
  <si>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</si>
  <si>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</si>
  <si>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</si>
  <si>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</si>
  <si>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</si>
  <si>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</si>
  <si>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</si>
  <si>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</si>
  <si>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</si>
  <si>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</si>
  <si>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</si>
  <si>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</si>
  <si>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</si>
  <si>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</si>
  <si>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</si>
  <si>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</si>
  <si>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</si>
  <si>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</si>
  <si>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</si>
  <si>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</si>
  <si>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</si>
  <si>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</si>
  <si>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</si>
  <si>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</si>
  <si>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</si>
  <si>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</si>
  <si>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</si>
  <si>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</si>
  <si>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</si>
  <si>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</si>
  <si>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</si>
  <si>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</si>
  <si>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</si>
  <si>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</si>
  <si>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</si>
  <si>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</si>
  <si>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</si>
  <si>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</si>
  <si>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</si>
  <si>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</si>
  <si>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</si>
  <si>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</si>
  <si>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</si>
  <si>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</si>
  <si>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</si>
  <si>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</si>
  <si>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</si>
  <si>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</si>
  <si>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</si>
  <si>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</si>
  <si>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</si>
  <si>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</si>
  <si>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</si>
  <si>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</si>
  <si>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</si>
  <si>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</si>
  <si>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</si>
  <si>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</si>
  <si>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</si>
  <si>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</si>
  <si>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</si>
  <si>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</si>
  <si>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</si>
  <si>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</si>
  <si>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</si>
  <si>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</si>
  <si>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</si>
  <si>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</si>
  <si>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</si>
  <si>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</si>
  <si>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</si>
  <si>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</si>
  <si>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</si>
  <si>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</si>
  <si>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</si>
  <si>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</si>
  <si>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</si>
  <si>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</si>
  <si>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</si>
  <si>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</si>
  <si>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</si>
  <si>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</si>
  <si>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</si>
  <si>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</si>
  <si>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</si>
  <si>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</si>
  <si>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</si>
  <si>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</si>
  <si>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</si>
  <si>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</si>
  <si>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</si>
  <si>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</si>
  <si>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</si>
  <si>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</si>
  <si>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</si>
  <si>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</si>
  <si>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</si>
  <si>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</si>
  <si>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</si>
  <si>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</si>
  <si>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</si>
  <si>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</si>
  <si>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</si>
  <si>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</si>
  <si>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</si>
  <si>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</si>
  <si>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</si>
  <si>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</si>
  <si>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</si>
  <si>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</si>
  <si>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</si>
  <si>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</si>
  <si>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</si>
  <si>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</si>
  <si>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</si>
  <si>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</si>
  <si>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</si>
  <si>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</si>
  <si>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</si>
  <si>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</si>
  <si>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</si>
  <si>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</si>
  <si>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</si>
  <si>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</si>
  <si>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</si>
  <si>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</si>
  <si>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</si>
  <si>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</si>
  <si>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</si>
  <si>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</si>
  <si>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</si>
  <si>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</si>
  <si>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</si>
  <si>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</si>
  <si>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</si>
  <si>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</si>
  <si>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</si>
  <si>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</si>
  <si>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</si>
  <si>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</si>
  <si>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</si>
  <si>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</si>
  <si>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</si>
  <si>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</si>
  <si>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</si>
  <si>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</si>
  <si>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</si>
  <si>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</si>
  <si>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</si>
  <si>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</si>
  <si>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</si>
  <si>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</si>
  <si>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</si>
  <si>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</si>
  <si>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</si>
  <si>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</si>
  <si>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</si>
  <si>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</si>
  <si>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</si>
  <si>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</si>
  <si>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</si>
  <si>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</si>
  <si>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</si>
  <si>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</si>
  <si>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</si>
  <si>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</si>
  <si>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</si>
  <si>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</si>
  <si>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</si>
  <si>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</si>
  <si>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</si>
  <si>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</si>
  <si>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</si>
  <si>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</si>
  <si>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</si>
  <si>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</si>
  <si>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</si>
  <si>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</si>
  <si>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</si>
  <si>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</si>
  <si>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</si>
  <si>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</si>
  <si>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</si>
  <si>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</si>
  <si>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</si>
  <si>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</si>
  <si>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</si>
  <si>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</si>
  <si>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</si>
  <si>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</si>
  <si>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</si>
  <si>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</si>
  <si>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</si>
  <si>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</si>
  <si>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</si>
  <si>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</si>
  <si>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</si>
  <si>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</si>
  <si>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</si>
  <si>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</si>
  <si>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</si>
  <si>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</si>
  <si>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</si>
  <si>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</si>
  <si>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</si>
  <si>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</si>
  <si>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</si>
  <si>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</si>
  <si>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</si>
  <si>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</si>
  <si>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</si>
  <si>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</si>
  <si>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</si>
  <si>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</si>
  <si>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</si>
  <si>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</si>
  <si>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</si>
  <si>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</si>
  <si>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</si>
  <si>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</si>
  <si>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</si>
  <si>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</si>
  <si>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</si>
  <si>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</si>
  <si>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</si>
  <si>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</si>
  <si>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</si>
  <si>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</si>
  <si>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</si>
  <si>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</si>
  <si>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</si>
  <si>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</si>
  <si>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</si>
  <si>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</si>
  <si>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</si>
  <si>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</si>
  <si>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</si>
  <si>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</si>
  <si>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</si>
  <si>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</si>
  <si>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</si>
  <si>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</si>
  <si>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</si>
  <si>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</si>
  <si>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</si>
  <si>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</si>
  <si>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</si>
  <si>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</si>
  <si>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</si>
  <si>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</si>
  <si>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</si>
  <si>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</si>
  <si>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</si>
  <si>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</si>
  <si>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</si>
  <si>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</si>
  <si>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</si>
  <si>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</si>
  <si>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</si>
  <si>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</si>
  <si>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</si>
  <si>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</si>
  <si>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</si>
  <si>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</si>
  <si>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</si>
  <si>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</si>
  <si>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</si>
  <si>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</si>
  <si>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</si>
  <si>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</si>
  <si>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</si>
  <si>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</si>
  <si>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</si>
  <si>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</si>
  <si>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</si>
  <si>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</si>
  <si>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</si>
  <si>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</si>
  <si>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</si>
  <si>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</si>
  <si>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</si>
  <si>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</si>
  <si>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</si>
  <si>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</si>
  <si>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</si>
  <si>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</si>
  <si>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</si>
  <si>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</si>
  <si>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</si>
  <si>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</si>
  <si>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</si>
  <si>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</si>
  <si>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</si>
  <si>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</si>
  <si>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</si>
  <si>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</si>
  <si>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</si>
  <si>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</si>
  <si>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</si>
  <si>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</si>
  <si>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</si>
  <si>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</si>
  <si>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</si>
  <si>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</si>
  <si>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</si>
  <si>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</si>
  <si>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</si>
  <si>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</si>
  <si>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</si>
  <si>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</si>
  <si>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</si>
  <si>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</si>
  <si>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</si>
  <si>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</si>
  <si>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</si>
  <si>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</si>
  <si>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</si>
  <si>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</si>
  <si>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</si>
  <si>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</si>
  <si>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</si>
  <si>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</si>
  <si>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</si>
  <si>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</si>
  <si>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</si>
  <si>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</si>
  <si>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</si>
  <si>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</si>
  <si>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</si>
  <si>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</si>
  <si>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</si>
  <si>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</si>
  <si>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</si>
  <si>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</si>
  <si>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</si>
  <si>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</si>
  <si>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</si>
  <si>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</si>
  <si>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</si>
  <si>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</si>
  <si>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</si>
  <si>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</si>
  <si>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</si>
  <si>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</si>
  <si>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</si>
  <si>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</si>
  <si>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</si>
  <si>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</si>
  <si>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</si>
  <si>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</si>
  <si>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</si>
  <si>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</si>
  <si>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</si>
  <si>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</si>
  <si>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</si>
  <si>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</si>
  <si>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</si>
  <si>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</si>
  <si>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Align</t>
  </si>
  <si>
    <t>OAR 340, Division 12</t>
  </si>
  <si>
    <t>with new legislation</t>
  </si>
  <si>
    <t>Division 12 Updates</t>
  </si>
  <si>
    <t>011, 012</t>
  </si>
  <si>
    <t>Align civil penalties with current statutory authority.  Align class and magnitudes with current program priorities.</t>
  </si>
  <si>
    <t>Increases antiquated penalty amounts to align with current statutory authority passed in SB105 by the 2009 legislature.</t>
  </si>
  <si>
    <t>DEQ cannot implement higher penalties, even in the most egregious cases.  Without adequate penalties, DEQ could be at risk of losing delegation of federal programs.  Violators may be confused by different penalty maximums in DEQ rules and statutues.</t>
  </si>
  <si>
    <t>No research or data needed to develop this proposal.</t>
  </si>
  <si>
    <t>None</t>
  </si>
  <si>
    <t>Implementation guidance</t>
  </si>
  <si>
    <t>Not part of these rules</t>
  </si>
  <si>
    <t>Changing substanative program violation</t>
  </si>
  <si>
    <t>Contested case process</t>
  </si>
  <si>
    <t>X</t>
  </si>
  <si>
    <t>Spill penalty</t>
  </si>
  <si>
    <t xml:space="preserve"> We will be having two committees, one for general penalties and a separate one for spills.</t>
  </si>
  <si>
    <t xml:space="preserve">Make recommendations, especially for small business impacts, and DEQ will consider recommendations when finalizing rules. </t>
  </si>
  <si>
    <t>Compliance and Enforcement</t>
  </si>
  <si>
    <t xml:space="preserve">Legislature passed increased penalty authority in 2009. </t>
  </si>
  <si>
    <t>The only fiscal impact to external stakeholders would be if they violate Oregon's environmental laws.</t>
  </si>
  <si>
    <t xml:space="preserve">ORS 468.020, 468.130 and 468.140 </t>
  </si>
  <si>
    <t>May have to update current enforcement guidance.</t>
  </si>
  <si>
    <t xml:space="preserve">How to set appropriate penalty amounts for varying seriousness of environmental laws. </t>
  </si>
  <si>
    <t>Will need to update the Enforcement Guidance and may have to provide training for staff.</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</si>
</sst>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6398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508</v>
      </c>
      <c r="B119" s="94" t="s">
        <v>507</v>
      </c>
      <c r="C119" s="71"/>
      <c r="D119" s="71"/>
      <c r="E119" s="71"/>
      <c r="F119" s="71"/>
      <c r="G119" s="71"/>
      <c r="H119" s="71"/>
      <c r="I119" s="71"/>
      <c r="J119" s="71"/>
      <c r="K119" s="71"/>
    </row>
    <row r="120" spans="1:11">
      <c r="A120" s="88" t="s">
        <v>424</v>
      </c>
      <c r="B120" s="1026" t="s">
        <v>500</v>
      </c>
      <c r="C120" s="71"/>
      <c r="D120" s="71"/>
      <c r="E120" s="71"/>
      <c r="F120" s="71"/>
      <c r="G120" s="71"/>
      <c r="H120" s="71"/>
      <c r="I120" s="71"/>
      <c r="J120" s="71"/>
      <c r="K120" s="71"/>
    </row>
    <row r="121" spans="1:11">
      <c r="A121" s="88" t="s">
        <v>425</v>
      </c>
      <c r="B121" s="1026" t="s">
        <v>501</v>
      </c>
      <c r="C121" s="71"/>
      <c r="D121" s="71"/>
      <c r="E121" s="71"/>
      <c r="F121" s="71"/>
      <c r="G121" s="71"/>
      <c r="H121" s="71"/>
      <c r="I121" s="71"/>
      <c r="J121" s="71"/>
      <c r="K121" s="71"/>
    </row>
    <row r="122" spans="1:11">
      <c r="A122" s="88" t="s">
        <v>426</v>
      </c>
      <c r="B122" s="1026" t="s">
        <v>502</v>
      </c>
      <c r="C122" s="71"/>
      <c r="D122" s="71"/>
      <c r="E122" s="71"/>
      <c r="F122" s="71"/>
      <c r="G122" s="71"/>
      <c r="H122" s="71"/>
      <c r="I122" s="71"/>
      <c r="J122" s="71"/>
      <c r="K122" s="71"/>
    </row>
    <row r="123" spans="1:11">
      <c r="A123" s="88" t="s">
        <v>427</v>
      </c>
      <c r="B123" s="1026" t="s">
        <v>503</v>
      </c>
      <c r="C123" s="71"/>
      <c r="D123" s="71"/>
      <c r="E123" s="71"/>
      <c r="F123" s="71"/>
      <c r="G123" s="71"/>
      <c r="H123" s="71"/>
      <c r="I123" s="71"/>
      <c r="J123" s="71"/>
      <c r="K123" s="71"/>
    </row>
    <row r="124" spans="1:11">
      <c r="A124" s="88" t="s">
        <v>428</v>
      </c>
      <c r="B124" s="1026" t="s">
        <v>504</v>
      </c>
      <c r="C124" s="71"/>
      <c r="D124" s="71"/>
      <c r="E124" s="71"/>
      <c r="F124" s="71"/>
      <c r="G124" s="71"/>
      <c r="H124" s="71"/>
      <c r="I124" s="71"/>
      <c r="J124" s="71"/>
      <c r="K124" s="71"/>
    </row>
    <row r="125" spans="1:11">
      <c r="A125" s="88" t="s">
        <v>429</v>
      </c>
      <c r="B125" s="1026" t="s">
        <v>505</v>
      </c>
      <c r="C125" s="71"/>
      <c r="D125" s="71"/>
      <c r="E125" s="71"/>
      <c r="F125" s="71"/>
      <c r="G125" s="71"/>
      <c r="H125" s="71"/>
      <c r="I125" s="71"/>
      <c r="J125" s="71"/>
      <c r="K125" s="71"/>
    </row>
    <row r="126" spans="1:11">
      <c r="A126" s="88" t="s">
        <v>430</v>
      </c>
      <c r="B126" s="1026" t="s">
        <v>506</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509</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510</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511</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1021</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1022</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K20" sqref="K20:T20"/>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Division 12 Updates</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1029</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1083</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544</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2012</v>
      </c>
      <c r="G11" s="243">
        <v>2</v>
      </c>
      <c r="H11" s="236"/>
      <c r="I11" s="236"/>
      <c r="K11" s="373"/>
      <c r="L11" s="373"/>
      <c r="M11" s="373"/>
      <c r="N11" s="373"/>
      <c r="O11" s="373"/>
      <c r="P11" s="373"/>
      <c r="Q11" s="373"/>
      <c r="R11" s="373"/>
      <c r="S11" s="373"/>
      <c r="T11" s="373"/>
      <c r="U11" s="206"/>
      <c r="V11" s="563"/>
      <c r="W11" s="1091" t="s">
        <v>792</v>
      </c>
      <c r="X11" s="161"/>
      <c r="Y11" s="1015" t="str">
        <f>C.6SStartYr &amp;"-Q"&amp;C.6SStartQtr</f>
        <v>2012-Q2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2012</v>
      </c>
      <c r="G12" s="243">
        <v>4</v>
      </c>
      <c r="H12" s="1032">
        <v>2013</v>
      </c>
      <c r="I12" s="243">
        <v>1</v>
      </c>
      <c r="J12" s="1412" t="str">
        <f>IF(AD12="not involved",AD12,"")</f>
        <v/>
      </c>
      <c r="K12" s="1413"/>
      <c r="L12" s="1413"/>
      <c r="M12" s="1413"/>
      <c r="N12" s="1413"/>
      <c r="O12" s="1413"/>
      <c r="P12" s="1413"/>
      <c r="Q12" s="1413"/>
      <c r="R12" s="1413"/>
      <c r="S12" s="1413"/>
      <c r="T12" s="1413"/>
      <c r="U12" s="875"/>
      <c r="V12" s="563"/>
      <c r="W12" s="1091" t="s">
        <v>792</v>
      </c>
      <c r="X12" s="161"/>
      <c r="Y12" s="1027" t="str">
        <f>C.6SACStartYr&amp;"-Q"&amp;C.6SACStartQtr</f>
        <v>2012-Q4</v>
      </c>
      <c r="Z12" s="1030">
        <f>IF(AND(ISODD(C.6SACStartYr),C.6SACStartQtr&lt;3),7,IF(AND(ISEVEN(C.6SACStartYr),C.6SACStartQtr=1),7,0))</f>
        <v>0</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2012-Q4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9" t="s">
        <v>515</v>
      </c>
      <c r="E13" s="1409"/>
      <c r="F13" s="242">
        <v>2013</v>
      </c>
      <c r="G13" s="243">
        <v>2</v>
      </c>
      <c r="H13" s="1032">
        <v>2013</v>
      </c>
      <c r="I13" s="243">
        <v>2</v>
      </c>
      <c r="J13" s="1412" t="str">
        <f>IF(AD13="not involved",AD13,"")</f>
        <v/>
      </c>
      <c r="K13" s="1413"/>
      <c r="L13" s="1413"/>
      <c r="M13" s="1413"/>
      <c r="N13" s="1413"/>
      <c r="O13" s="1413"/>
      <c r="P13" s="1413"/>
      <c r="Q13" s="1413"/>
      <c r="R13" s="1413"/>
      <c r="S13" s="1413"/>
      <c r="T13" s="1413"/>
      <c r="U13" s="875"/>
      <c r="V13" s="563"/>
      <c r="W13" s="1091" t="s">
        <v>792</v>
      </c>
      <c r="X13" s="161"/>
      <c r="Y13" s="1027" t="str">
        <f>C.6SNoticeStartYr&amp;"-Q"&amp;C.6SNoticeStartQtr</f>
        <v>2013-Q2</v>
      </c>
      <c r="Z13" s="1030">
        <f>IF(AND(ISODD(C.6SNoticeStartYr),C.6SNoticeStartQtr&lt;3),7,IF(AND(ISEVEN(C.6SNoticeStartYr),C.6SNoticeStartQtr=1),7,0))</f>
        <v>7</v>
      </c>
      <c r="AA13" s="1029" t="str">
        <f>C.6SNoticeEndYr&amp;"-Q"&amp;C.6SNoticeEndQtr</f>
        <v>2013-Q2</v>
      </c>
      <c r="AB13" s="1030">
        <f>IF(AND(ISODD(C.6SNoticeEndYr),C.6SNoticeEndQtr&lt;3),7,IF(AND(ISEVEN(C.6SNoticeEndYr),C.6SNoticeEndQtr=1),7,0))</f>
        <v>7</v>
      </c>
      <c r="AC13" s="1030">
        <f>IF(C.6SNoticeEndYr-C.6SNoticeStartYr&gt;0,7,0)</f>
        <v>0</v>
      </c>
      <c r="AD13" s="234" t="str">
        <f>IF('3Stakeholders'!Z50=1,"not involved", C.6SNoticeStart.YrQtr&amp;" to "&amp;C.6SNoticeEnd.YrQtr)</f>
        <v>2013-Q2 to 2013-Q2</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516</v>
      </c>
      <c r="E14" s="1409"/>
      <c r="F14" s="242">
        <v>2013</v>
      </c>
      <c r="G14" s="243">
        <v>3</v>
      </c>
      <c r="H14" s="237"/>
      <c r="I14" s="237"/>
      <c r="J14" s="1415" t="str">
        <f t="shared" ref="J14:J15" si="0">AE14</f>
        <v/>
      </c>
      <c r="K14" s="1415"/>
      <c r="L14" s="1415"/>
      <c r="M14" s="1415"/>
      <c r="N14" s="1415"/>
      <c r="O14" s="1415"/>
      <c r="P14" s="1415"/>
      <c r="Q14" s="1415"/>
      <c r="R14" s="1415"/>
      <c r="S14" s="1415"/>
      <c r="T14" s="1415"/>
      <c r="U14" s="1416"/>
      <c r="V14" s="563"/>
      <c r="W14" s="1091" t="s">
        <v>792</v>
      </c>
      <c r="X14" s="161"/>
      <c r="Y14" s="1027" t="str">
        <f>C.6SEQCYr&amp;"-Q"&amp;C.6SEQCQtr</f>
        <v>2013-Q3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2013</v>
      </c>
      <c r="G15" s="243">
        <v>3</v>
      </c>
      <c r="H15" s="237"/>
      <c r="I15" s="237"/>
      <c r="J15" s="1415" t="str">
        <f t="shared" si="0"/>
        <v/>
      </c>
      <c r="K15" s="1415"/>
      <c r="L15" s="1415"/>
      <c r="M15" s="1415"/>
      <c r="N15" s="1415"/>
      <c r="O15" s="1415"/>
      <c r="P15" s="1415"/>
      <c r="Q15" s="1415"/>
      <c r="R15" s="1415"/>
      <c r="S15" s="1415"/>
      <c r="T15" s="1415"/>
      <c r="U15" s="1416"/>
      <c r="V15" s="563"/>
      <c r="W15" s="1091" t="s">
        <v>792</v>
      </c>
      <c r="X15" s="161"/>
      <c r="Y15" s="123" t="str">
        <f>C.6SEffectiveYr&amp;"-Q"&amp;C.6SEffectiveQtr</f>
        <v>2013-Q3</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416</v>
      </c>
      <c r="E20" s="1358"/>
      <c r="F20" s="230"/>
      <c r="G20" s="230"/>
      <c r="H20" s="1417" t="s">
        <v>0</v>
      </c>
      <c r="I20" s="1418"/>
      <c r="J20" s="1418"/>
      <c r="K20" s="1337" t="s">
        <v>37</v>
      </c>
      <c r="L20" s="1338"/>
      <c r="M20" s="1338"/>
      <c r="N20" s="1338"/>
      <c r="O20" s="1338"/>
      <c r="P20" s="1338"/>
      <c r="Q20" s="1338"/>
      <c r="R20" s="1338"/>
      <c r="S20" s="1338"/>
      <c r="T20" s="1339"/>
      <c r="U20" s="201"/>
      <c r="V20" s="563"/>
      <c r="W20" s="313" t="s">
        <v>762</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763</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c r="B28" s="563"/>
      <c r="C28" s="213"/>
      <c r="D28" s="214"/>
      <c r="E28" s="214"/>
      <c r="F28" s="214"/>
      <c r="G28" s="214"/>
      <c r="H28" s="1268">
        <f ca="1">TODAY()</f>
        <v>41226</v>
      </c>
      <c r="I28" s="1268"/>
      <c r="J28" s="1268"/>
      <c r="K28" s="1268"/>
      <c r="L28" s="1268"/>
      <c r="M28" s="1268"/>
      <c r="N28" s="1268"/>
      <c r="O28" s="1268"/>
      <c r="P28" s="1268"/>
      <c r="Q28" s="1268"/>
      <c r="R28" s="1268"/>
      <c r="S28" s="1268"/>
      <c r="T28" s="1268"/>
      <c r="U28" s="1269"/>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96" yWindow="491"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Division 12 Updates</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0</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0</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282</v>
      </c>
      <c r="K7" s="1382"/>
      <c r="L7" s="1382"/>
      <c r="M7" s="1382"/>
      <c r="N7" s="1382"/>
      <c r="O7" s="1382"/>
      <c r="P7" s="1382"/>
      <c r="Q7" s="1382"/>
      <c r="R7" s="1382"/>
      <c r="S7" s="1383"/>
      <c r="T7" s="201"/>
      <c r="U7" s="563"/>
      <c r="V7" s="573" t="s">
        <v>769</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0</v>
      </c>
      <c r="Y10" s="1434" t="str">
        <f>IF($X10=FALSE,"",IF(COUNTIF($X$11:$X16,TRUE)=0,LOWER($D10),IF(COUNTIF($X$11:$X16,TRUE)=1,LOWER($D10)&amp;" and ",LOWER($D10)&amp;", ")))</f>
        <v/>
      </c>
      <c r="Z10" s="143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1</v>
      </c>
      <c r="Y12" s="1434" t="str">
        <f>IF($X12=FALSE,"",IF(COUNTIF($X$13:$X16,TRUE)=0,LOWER($D12),IF(COUNTIF($X$13:$X16,TRUE)=1,LOWER($D12)&amp;" and ",LOWER($D12)&amp;", ")))</f>
        <v>loss of federal funding</v>
      </c>
      <c r="Z12" s="1434"/>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0</v>
      </c>
      <c r="Y13" s="1434" t="str">
        <f>IF($X13=FALSE,"",IF(COUNTIF($X$14:$X16,TRUE)=0,LOWER($D13),IF(COUNTIF($X$14:$X16,TRUE)=1,LOWER($D13)&amp;" and ",LOWER($D13)&amp;", ")))</f>
        <v/>
      </c>
      <c r="Z13" s="143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431</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loss of federal funding.</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518</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823</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823</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823</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823</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823</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823</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205</v>
      </c>
      <c r="H31" s="1432"/>
      <c r="I31" s="705"/>
      <c r="J31" s="726">
        <v>1</v>
      </c>
      <c r="K31" s="727">
        <v>2</v>
      </c>
      <c r="L31" s="728">
        <v>3</v>
      </c>
      <c r="M31" s="729">
        <v>4</v>
      </c>
      <c r="N31" s="730">
        <v>5</v>
      </c>
      <c r="O31" s="731">
        <v>6</v>
      </c>
      <c r="P31" s="732">
        <v>7</v>
      </c>
      <c r="Q31" s="733">
        <v>8</v>
      </c>
      <c r="R31" s="734">
        <v>9</v>
      </c>
      <c r="S31" s="735">
        <v>10</v>
      </c>
      <c r="T31" s="304"/>
      <c r="U31" s="563"/>
      <c r="V31" s="580" t="s">
        <v>823</v>
      </c>
      <c r="W31" s="161"/>
      <c r="X31" s="52">
        <f t="shared" si="1"/>
        <v>6</v>
      </c>
      <c r="Y31" s="884" t="str">
        <f t="shared" si="2"/>
        <v>unknown at this time</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447</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823</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823</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823</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443</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t="s">
        <v>1084</v>
      </c>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37</v>
      </c>
      <c r="K49" s="1338"/>
      <c r="L49" s="1338"/>
      <c r="M49" s="1338"/>
      <c r="N49" s="1338"/>
      <c r="O49" s="1338"/>
      <c r="P49" s="1338"/>
      <c r="Q49" s="1338"/>
      <c r="R49" s="1338"/>
      <c r="S49" s="1339"/>
      <c r="T49" s="346"/>
      <c r="U49" s="563"/>
      <c r="V49" s="573" t="s">
        <v>840</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8">
        <f ca="1">TODAY()</f>
        <v>41226</v>
      </c>
      <c r="H56" s="1268"/>
      <c r="I56" s="1268"/>
      <c r="J56" s="1268"/>
      <c r="K56" s="1268"/>
      <c r="L56" s="1268"/>
      <c r="M56" s="1268"/>
      <c r="N56" s="1268"/>
      <c r="O56" s="1268"/>
      <c r="P56" s="1268"/>
      <c r="Q56" s="1268"/>
      <c r="R56" s="1268"/>
      <c r="S56" s="1268"/>
      <c r="T56" s="1269"/>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08" yWindow="351"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1"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Division 12 Updates</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1085</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282</v>
      </c>
      <c r="J14" s="1382"/>
      <c r="K14" s="1382"/>
      <c r="L14" s="1382"/>
      <c r="M14" s="1382"/>
      <c r="N14" s="1382"/>
      <c r="O14" s="1382"/>
      <c r="P14" s="1382"/>
      <c r="Q14" s="1382"/>
      <c r="R14" s="1383"/>
      <c r="S14" s="183"/>
      <c r="T14" s="201"/>
      <c r="U14" s="563"/>
      <c r="V14" s="385" t="s">
        <v>846</v>
      </c>
      <c r="W14" s="161"/>
      <c r="X14" s="33">
        <f>VLOOKUP(I14,C.VL_SeverityRating,2,FALSE)</f>
        <v>1</v>
      </c>
      <c r="Y14" s="637" t="str">
        <f>I14</f>
        <v>low</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1</v>
      </c>
      <c r="Y17" s="284"/>
      <c r="Z17" s="1434" t="str">
        <f>IF($X17=FALSE,"",IF(COUNTIF($X18:$X$23,TRUE)=0,LOWER($D17),IF(COUNTIF($X18:$X$23,TRUE)=1,LOWER($D17)&amp;" and ",LOWER($D17)&amp;", ")))</f>
        <v xml:space="preserve">rules will not align with the law, </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1</v>
      </c>
      <c r="Y18" s="284"/>
      <c r="Z18" s="1434" t="str">
        <f>IF($X18=FALSE,"",IF(COUNTIF($X19:$X$23,TRUE)=0,LOWER($D18),IF(COUNTIF($X19:$X$23,TRUE)=1,LOWER($D18)&amp;" and ",LOWER($D18)&amp;", ")))</f>
        <v xml:space="preserve">risks noncompliance,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1</v>
      </c>
      <c r="Y19" s="284"/>
      <c r="Z19" s="1434" t="str">
        <f>IF($X19=FALSE,"",IF(COUNTIF($X21:$X$23,TRUE)=0,LOWER($D19),IF(COUNTIF($X21:$X$23,TRUE)=1,LOWER($D19)&amp;" and ",LOWER($D19)&amp;", ")))</f>
        <v xml:space="preserve">failure to comply with clean water act and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862</v>
      </c>
      <c r="E21" s="1335"/>
      <c r="F21" s="1335"/>
      <c r="G21" s="1335"/>
      <c r="H21" s="1465"/>
      <c r="I21" s="1466"/>
      <c r="J21" s="1466"/>
      <c r="K21" s="1466"/>
      <c r="L21" s="1466"/>
      <c r="M21" s="1466"/>
      <c r="N21" s="1466"/>
      <c r="O21" s="1466"/>
      <c r="P21" s="1466"/>
      <c r="Q21" s="1466"/>
      <c r="R21" s="1466"/>
      <c r="S21" s="1467"/>
      <c r="T21" s="206"/>
      <c r="U21" s="563"/>
      <c r="V21" s="273"/>
      <c r="W21" s="273"/>
      <c r="X21" s="284" t="b">
        <v>1</v>
      </c>
      <c r="Y21" s="284"/>
      <c r="Z21" s="1434" t="str">
        <f>IF($X21=FALSE,"",IF(COUNTIF($X22:$X$23,TRUE)=0,LOWER($D20),IF(COUNTIF($X22:$X$23,TRUE)=1,LOWER($D20)&amp;" and ",LOWER($D20)&amp;", ")))</f>
        <v>failure to comply with clean air act</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rules will not align with the law, risks noncompliance, failure to comply with clean water act and failure to comply with clean air act.</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37</v>
      </c>
      <c r="J27" s="1338"/>
      <c r="K27" s="1338"/>
      <c r="L27" s="1338"/>
      <c r="M27" s="1338"/>
      <c r="N27" s="1338"/>
      <c r="O27" s="1338"/>
      <c r="P27" s="1338"/>
      <c r="Q27" s="1338"/>
      <c r="R27" s="1339"/>
      <c r="S27" s="183"/>
      <c r="T27" s="201"/>
      <c r="U27" s="563"/>
      <c r="V27" s="313" t="s">
        <v>840</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763</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68">
        <f ca="1">TODAY()</f>
        <v>41226</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85" yWindow="512"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Division 12 Updates</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432</v>
      </c>
      <c r="E12" s="1406"/>
      <c r="F12" s="1406"/>
      <c r="G12" s="1406"/>
      <c r="H12" s="1406"/>
      <c r="I12" s="1337" t="s">
        <v>4</v>
      </c>
      <c r="J12" s="1338"/>
      <c r="K12" s="1338"/>
      <c r="L12" s="1338"/>
      <c r="M12" s="1338"/>
      <c r="N12" s="1338"/>
      <c r="O12" s="1338"/>
      <c r="P12" s="1338"/>
      <c r="Q12" s="1338"/>
      <c r="R12" s="1339"/>
      <c r="S12" s="201"/>
      <c r="T12" s="563"/>
      <c r="U12" s="313" t="s">
        <v>762</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763</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8">
        <f ca="1">TODAY()</f>
        <v>41226</v>
      </c>
      <c r="G20" s="1268"/>
      <c r="H20" s="1268"/>
      <c r="I20" s="1268"/>
      <c r="J20" s="1268"/>
      <c r="K20" s="1268"/>
      <c r="L20" s="1268"/>
      <c r="M20" s="1268"/>
      <c r="N20" s="1268"/>
      <c r="O20" s="1268"/>
      <c r="P20" s="1268"/>
      <c r="Q20" s="1268"/>
      <c r="R20" s="1268"/>
      <c r="S20" s="1269"/>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I9" sqref="I9:R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Division 12 Updates</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t="s">
        <v>1086</v>
      </c>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2</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1059</v>
      </c>
      <c r="E9" s="1509"/>
      <c r="F9" s="1509"/>
      <c r="G9" s="1083"/>
      <c r="H9" s="1083"/>
      <c r="I9" s="1337" t="s">
        <v>37</v>
      </c>
      <c r="J9" s="1338"/>
      <c r="K9" s="1338"/>
      <c r="L9" s="1338"/>
      <c r="M9" s="1338"/>
      <c r="N9" s="1338"/>
      <c r="O9" s="1338"/>
      <c r="P9" s="1338"/>
      <c r="Q9" s="1338"/>
      <c r="R9" s="1339"/>
      <c r="S9" s="201"/>
      <c r="T9" s="563"/>
      <c r="U9" s="385" t="s">
        <v>762</v>
      </c>
      <c r="V9" s="313"/>
      <c r="W9" s="161"/>
      <c r="X9" s="1019" t="str">
        <f>IF(C.10PolicyRisk=1,"low",IF(C.10PolicyRisk=2,"low/medium",IF(C.10PolicyRisk=3,"medium",IF(C.10PolicyRisk=4,"medium/high","high"))))</f>
        <v>low/medium</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763</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68">
        <f ca="1">TODAY()</f>
        <v>41226</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69" yWindow="545"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E11" sqref="E1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1087</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7" t="s">
        <v>32</v>
      </c>
      <c r="J6" s="1338"/>
      <c r="K6" s="1338"/>
      <c r="L6" s="1338"/>
      <c r="M6" s="1338"/>
      <c r="N6" s="1338"/>
      <c r="O6" s="1338"/>
      <c r="P6" s="1338"/>
      <c r="Q6" s="1338"/>
      <c r="R6" s="1339"/>
      <c r="S6" s="201"/>
      <c r="T6" s="563"/>
      <c r="U6" s="385" t="s">
        <v>762</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8.75" customHeight="1">
      <c r="B8" s="563"/>
      <c r="C8" s="203"/>
      <c r="D8" s="1513"/>
      <c r="E8" s="1513"/>
      <c r="F8" s="1513"/>
      <c r="G8" s="690"/>
      <c r="H8" s="216"/>
      <c r="I8" s="216"/>
      <c r="J8" s="216"/>
      <c r="K8" s="216"/>
      <c r="L8" s="216"/>
      <c r="M8" s="216"/>
      <c r="N8" s="216"/>
      <c r="O8" s="216"/>
      <c r="P8" s="216"/>
      <c r="Q8" s="216"/>
      <c r="R8" s="216"/>
      <c r="S8" s="154"/>
      <c r="T8" s="563"/>
      <c r="U8" s="313" t="s">
        <v>763</v>
      </c>
      <c r="V8" s="9"/>
      <c r="W8" s="9"/>
      <c r="X8" s="58"/>
      <c r="Y8" s="147"/>
    </row>
    <row r="9" spans="1:43">
      <c r="B9" s="563"/>
      <c r="C9" s="203"/>
      <c r="D9" s="238" t="s">
        <v>117</v>
      </c>
      <c r="E9" s="241" t="s">
        <v>124</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124</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75">
      <c r="B16" s="563"/>
      <c r="C16" s="371"/>
      <c r="D16" s="372"/>
      <c r="E16" s="372"/>
      <c r="F16" s="1268">
        <f ca="1">TODAY()</f>
        <v>41226</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623" yWindow="524"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abSelected="1" topLeftCell="A2" workbookViewId="0">
      <selection activeCell="I6" sqref="I6:R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1088</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32</v>
      </c>
      <c r="J6" s="1338"/>
      <c r="K6" s="1338"/>
      <c r="L6" s="1338"/>
      <c r="M6" s="1338"/>
      <c r="N6" s="1338"/>
      <c r="O6" s="1338"/>
      <c r="P6" s="1338"/>
      <c r="Q6" s="1338"/>
      <c r="R6" s="1339"/>
      <c r="S6" s="201"/>
      <c r="T6" s="563"/>
      <c r="U6" s="385" t="s">
        <v>762</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763</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41226</v>
      </c>
      <c r="G15" s="1268"/>
      <c r="H15" s="1268"/>
      <c r="I15" s="1268"/>
      <c r="J15" s="1268"/>
      <c r="K15" s="1268"/>
      <c r="L15" s="1268"/>
      <c r="M15" s="1268"/>
      <c r="N15" s="1268"/>
      <c r="O15" s="1268"/>
      <c r="P15" s="1268"/>
      <c r="Q15" s="1268"/>
      <c r="R15" s="1268"/>
      <c r="S15" s="1269"/>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553</v>
      </c>
      <c r="B1" s="1151"/>
      <c r="C1" s="1151"/>
      <c r="D1" s="1151"/>
      <c r="E1" s="1151"/>
      <c r="F1" s="1151"/>
      <c r="G1" s="1151"/>
      <c r="H1" s="1076"/>
      <c r="I1" s="1150" t="s">
        <v>552</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548</v>
      </c>
      <c r="B2" s="1069" t="s">
        <v>549</v>
      </c>
      <c r="C2" s="1071" t="s">
        <v>545</v>
      </c>
      <c r="D2" s="1072" t="s">
        <v>550</v>
      </c>
      <c r="E2" s="1072" t="s">
        <v>546</v>
      </c>
      <c r="F2" s="1069" t="s">
        <v>547</v>
      </c>
      <c r="G2" s="1074" t="s">
        <v>551</v>
      </c>
      <c r="H2" s="1074" t="s">
        <v>558</v>
      </c>
      <c r="I2" s="1071" t="s">
        <v>561</v>
      </c>
      <c r="J2" s="1072" t="s">
        <v>555</v>
      </c>
      <c r="K2" s="1072" t="s">
        <v>554</v>
      </c>
      <c r="L2" s="1069" t="s">
        <v>562</v>
      </c>
      <c r="M2" s="1069" t="s">
        <v>563</v>
      </c>
      <c r="N2" s="1069" t="s">
        <v>564</v>
      </c>
      <c r="O2" s="1069" t="s">
        <v>565</v>
      </c>
      <c r="P2" s="1069" t="s">
        <v>566</v>
      </c>
      <c r="Q2" s="1069" t="s">
        <v>567</v>
      </c>
      <c r="R2" s="1069" t="s">
        <v>568</v>
      </c>
      <c r="S2" s="1069" t="s">
        <v>569</v>
      </c>
      <c r="T2" s="1069" t="s">
        <v>570</v>
      </c>
      <c r="U2" s="1069" t="s">
        <v>571</v>
      </c>
      <c r="V2" s="1069" t="s">
        <v>572</v>
      </c>
      <c r="W2" s="1069" t="s">
        <v>573</v>
      </c>
      <c r="X2" s="1069" t="s">
        <v>574</v>
      </c>
      <c r="Y2" s="1069" t="s">
        <v>575</v>
      </c>
      <c r="Z2" s="1069" t="s">
        <v>576</v>
      </c>
      <c r="AA2" s="1069" t="s">
        <v>577</v>
      </c>
      <c r="AB2" s="1069" t="s">
        <v>578</v>
      </c>
      <c r="AC2" s="1069" t="s">
        <v>579</v>
      </c>
      <c r="AD2" s="1069" t="s">
        <v>580</v>
      </c>
      <c r="AE2" s="1069" t="s">
        <v>581</v>
      </c>
      <c r="AF2" s="1069" t="s">
        <v>582</v>
      </c>
      <c r="AG2" s="1069" t="s">
        <v>583</v>
      </c>
      <c r="AH2" s="1069" t="s">
        <v>584</v>
      </c>
    </row>
    <row r="3" spans="1:34" ht="28.5">
      <c r="A3" s="1066">
        <v>1</v>
      </c>
      <c r="B3" s="1067">
        <v>1</v>
      </c>
      <c r="C3" s="1068">
        <v>41144</v>
      </c>
      <c r="D3" s="1063" t="s">
        <v>557</v>
      </c>
      <c r="E3" s="46" t="s">
        <v>556</v>
      </c>
      <c r="F3" s="1065">
        <v>25</v>
      </c>
      <c r="G3" s="1075" t="s">
        <v>559</v>
      </c>
      <c r="H3" s="1075" t="s">
        <v>560</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585</v>
      </c>
      <c r="E4" s="1064" t="s">
        <v>586</v>
      </c>
      <c r="F4" s="1065" t="s">
        <v>587</v>
      </c>
      <c r="G4" s="1075" t="s">
        <v>588</v>
      </c>
      <c r="H4" s="1075" t="s">
        <v>589</v>
      </c>
      <c r="I4" s="1068">
        <v>41148</v>
      </c>
      <c r="J4" s="46" t="s">
        <v>124</v>
      </c>
      <c r="K4" s="46"/>
    </row>
    <row r="5" spans="1:34" ht="28.5">
      <c r="A5" s="1066">
        <v>1</v>
      </c>
      <c r="B5" s="1067">
        <v>3</v>
      </c>
      <c r="C5" s="1068">
        <v>41148</v>
      </c>
      <c r="D5" s="1064" t="s">
        <v>585</v>
      </c>
      <c r="E5" s="1064" t="s">
        <v>586</v>
      </c>
      <c r="F5" s="1065" t="s">
        <v>587</v>
      </c>
      <c r="G5" s="1075" t="s">
        <v>591</v>
      </c>
      <c r="H5" s="1075" t="s">
        <v>592</v>
      </c>
      <c r="I5" s="1068">
        <f>Table1[[#This Row],[Date]]</f>
        <v>41148</v>
      </c>
      <c r="J5" s="46"/>
      <c r="K5" s="46"/>
    </row>
    <row r="6" spans="1:34" ht="28.5">
      <c r="A6" s="1066">
        <v>1</v>
      </c>
      <c r="B6" s="1067">
        <v>4</v>
      </c>
      <c r="C6" s="1068">
        <v>41148</v>
      </c>
      <c r="D6" s="1064" t="s">
        <v>585</v>
      </c>
      <c r="E6" s="1064" t="s">
        <v>586</v>
      </c>
      <c r="F6" s="1065" t="s">
        <v>590</v>
      </c>
      <c r="G6" s="1075" t="s">
        <v>591</v>
      </c>
      <c r="H6" s="1075" t="s">
        <v>592</v>
      </c>
      <c r="I6" s="1068">
        <f>Table1[[#This Row],[Date]]</f>
        <v>41148</v>
      </c>
      <c r="J6" s="46"/>
      <c r="K6" s="46"/>
    </row>
    <row r="7" spans="1:34">
      <c r="A7" s="1066">
        <v>1</v>
      </c>
      <c r="B7" s="1067">
        <v>5</v>
      </c>
      <c r="C7" s="1068">
        <v>41148</v>
      </c>
      <c r="D7" s="1064" t="s">
        <v>585</v>
      </c>
      <c r="E7" s="1064" t="s">
        <v>367</v>
      </c>
      <c r="F7" s="1065" t="s">
        <v>593</v>
      </c>
      <c r="G7" s="1075" t="s">
        <v>594</v>
      </c>
      <c r="H7" s="1075" t="s">
        <v>595</v>
      </c>
      <c r="I7" s="1068">
        <f>Table1[[#This Row],[Date]]</f>
        <v>41148</v>
      </c>
      <c r="J7" s="46"/>
      <c r="K7" s="46"/>
    </row>
    <row r="8" spans="1:34">
      <c r="A8" s="1066">
        <v>1</v>
      </c>
      <c r="B8" s="1067">
        <v>6</v>
      </c>
      <c r="C8" s="1068">
        <v>41148</v>
      </c>
      <c r="D8" s="1064" t="s">
        <v>585</v>
      </c>
      <c r="E8" s="1064" t="s">
        <v>367</v>
      </c>
      <c r="F8" s="1065" t="s">
        <v>587</v>
      </c>
      <c r="G8" s="1075" t="s">
        <v>588</v>
      </c>
      <c r="H8" s="1075" t="s">
        <v>589</v>
      </c>
      <c r="I8" s="1068">
        <f>Table1[[#This Row],[Date]]</f>
        <v>41148</v>
      </c>
      <c r="J8" s="46"/>
      <c r="K8" s="46"/>
    </row>
    <row r="9" spans="1:34" ht="28.5">
      <c r="A9" s="1066">
        <v>1</v>
      </c>
      <c r="B9" s="1067">
        <v>7</v>
      </c>
      <c r="C9" s="1068">
        <v>41148</v>
      </c>
      <c r="D9" s="1064" t="s">
        <v>585</v>
      </c>
      <c r="E9" s="1064" t="s">
        <v>367</v>
      </c>
      <c r="F9" s="1065" t="s">
        <v>593</v>
      </c>
      <c r="G9" s="1075" t="s">
        <v>591</v>
      </c>
      <c r="H9" s="1075" t="s">
        <v>592</v>
      </c>
      <c r="I9" s="1068">
        <f>Table1[[#This Row],[Date]]</f>
        <v>41148</v>
      </c>
      <c r="J9" s="46"/>
      <c r="K9" s="46"/>
    </row>
    <row r="10" spans="1:34" ht="28.5">
      <c r="A10" s="1066">
        <v>1</v>
      </c>
      <c r="B10" s="1067">
        <v>8</v>
      </c>
      <c r="C10" s="1068">
        <v>41148</v>
      </c>
      <c r="D10" s="1064" t="s">
        <v>585</v>
      </c>
      <c r="E10" s="1064" t="s">
        <v>367</v>
      </c>
      <c r="F10" s="1065" t="s">
        <v>587</v>
      </c>
      <c r="G10" s="1075" t="s">
        <v>591</v>
      </c>
      <c r="H10" s="1075" t="s">
        <v>592</v>
      </c>
      <c r="I10" s="1068">
        <f>Table1[[#This Row],[Date]]</f>
        <v>41148</v>
      </c>
      <c r="J10" s="46"/>
      <c r="K10" s="46"/>
    </row>
    <row r="11" spans="1:34" ht="28.5">
      <c r="A11" s="1066">
        <v>1</v>
      </c>
      <c r="B11" s="1067">
        <v>9</v>
      </c>
      <c r="C11" s="1068">
        <v>41148</v>
      </c>
      <c r="D11" s="1064" t="s">
        <v>585</v>
      </c>
      <c r="E11" s="1064" t="s">
        <v>368</v>
      </c>
      <c r="F11" s="1065" t="s">
        <v>587</v>
      </c>
      <c r="G11" s="1075" t="s">
        <v>591</v>
      </c>
      <c r="H11" s="1075" t="s">
        <v>592</v>
      </c>
      <c r="I11" s="1068">
        <f>Table1[[#This Row],[Date]]</f>
        <v>41148</v>
      </c>
      <c r="J11" s="46"/>
      <c r="K11" s="46"/>
    </row>
    <row r="12" spans="1:34" ht="28.5">
      <c r="A12" s="1066">
        <v>1</v>
      </c>
      <c r="B12" s="1067">
        <v>10</v>
      </c>
      <c r="C12" s="1068">
        <v>41148</v>
      </c>
      <c r="D12" s="1064" t="s">
        <v>585</v>
      </c>
      <c r="E12" s="1064" t="s">
        <v>368</v>
      </c>
      <c r="F12" s="1065" t="s">
        <v>596</v>
      </c>
      <c r="G12" s="1075" t="s">
        <v>591</v>
      </c>
      <c r="H12" s="1075" t="s">
        <v>592</v>
      </c>
      <c r="I12" s="1068">
        <f>Table1[[#This Row],[Date]]</f>
        <v>41148</v>
      </c>
      <c r="J12" s="46"/>
      <c r="K12" s="46"/>
    </row>
    <row r="13" spans="1:34">
      <c r="B13" s="1067">
        <v>11</v>
      </c>
      <c r="C13" s="1068">
        <v>41148</v>
      </c>
      <c r="D13" s="1064" t="s">
        <v>585</v>
      </c>
      <c r="E13" s="1064" t="s">
        <v>368</v>
      </c>
      <c r="F13" s="1065" t="s">
        <v>596</v>
      </c>
      <c r="G13" s="1075" t="s">
        <v>597</v>
      </c>
      <c r="H13" s="1075" t="s">
        <v>598</v>
      </c>
      <c r="I13" s="1068">
        <f>Table1[[#This Row],[Date]]</f>
        <v>41148</v>
      </c>
      <c r="J13" s="46"/>
      <c r="K13" s="46"/>
    </row>
    <row r="14" spans="1:34">
      <c r="B14" s="1067">
        <v>12</v>
      </c>
      <c r="C14" s="1068">
        <v>41148</v>
      </c>
      <c r="D14" s="1064" t="s">
        <v>585</v>
      </c>
      <c r="E14" s="1064" t="s">
        <v>368</v>
      </c>
      <c r="F14" s="1065" t="s">
        <v>599</v>
      </c>
      <c r="G14" s="1075" t="s">
        <v>604</v>
      </c>
      <c r="H14" s="1075" t="s">
        <v>605</v>
      </c>
      <c r="I14" s="1068">
        <f>Table1[[#This Row],[Date]]</f>
        <v>41148</v>
      </c>
      <c r="J14" s="46"/>
      <c r="K14" s="46"/>
    </row>
    <row r="15" spans="1:34">
      <c r="B15" s="1067">
        <v>13</v>
      </c>
      <c r="C15" s="1068">
        <v>41148</v>
      </c>
      <c r="D15" s="1064" t="s">
        <v>585</v>
      </c>
      <c r="E15" s="1064" t="s">
        <v>368</v>
      </c>
      <c r="F15" s="1065" t="s">
        <v>600</v>
      </c>
      <c r="G15" s="1075" t="s">
        <v>604</v>
      </c>
      <c r="H15" s="1075" t="s">
        <v>605</v>
      </c>
      <c r="I15" s="1068">
        <f>Table1[[#This Row],[Date]]</f>
        <v>41148</v>
      </c>
      <c r="J15" s="46"/>
      <c r="K15" s="46"/>
    </row>
    <row r="16" spans="1:34">
      <c r="B16" s="1067">
        <v>14</v>
      </c>
      <c r="C16" s="1068">
        <v>41148</v>
      </c>
      <c r="D16" s="1064" t="s">
        <v>585</v>
      </c>
      <c r="E16" s="1064" t="s">
        <v>368</v>
      </c>
      <c r="F16" s="1065" t="s">
        <v>601</v>
      </c>
      <c r="G16" s="1075" t="s">
        <v>604</v>
      </c>
      <c r="H16" s="1075" t="s">
        <v>605</v>
      </c>
      <c r="I16" s="1068">
        <f>Table1[[#This Row],[Date]]</f>
        <v>41148</v>
      </c>
      <c r="J16" s="46"/>
      <c r="K16" s="46"/>
    </row>
    <row r="17" spans="2:11">
      <c r="B17" s="1067">
        <v>15</v>
      </c>
      <c r="C17" s="1068">
        <v>41148</v>
      </c>
      <c r="D17" s="1064" t="s">
        <v>585</v>
      </c>
      <c r="E17" s="1064" t="s">
        <v>368</v>
      </c>
      <c r="F17" s="1065" t="s">
        <v>602</v>
      </c>
      <c r="G17" s="1075" t="s">
        <v>604</v>
      </c>
      <c r="H17" s="1075" t="s">
        <v>605</v>
      </c>
      <c r="I17" s="1068">
        <f>Table1[[#This Row],[Date]]</f>
        <v>41148</v>
      </c>
      <c r="J17" s="46"/>
      <c r="K17" s="46"/>
    </row>
    <row r="18" spans="2:11">
      <c r="B18" s="1067">
        <v>16</v>
      </c>
      <c r="C18" s="1068">
        <v>41148</v>
      </c>
      <c r="D18" s="1064" t="s">
        <v>585</v>
      </c>
      <c r="E18" s="1064" t="s">
        <v>368</v>
      </c>
      <c r="F18" s="1065" t="s">
        <v>603</v>
      </c>
      <c r="G18" s="1075" t="s">
        <v>604</v>
      </c>
      <c r="H18" s="1075" t="s">
        <v>605</v>
      </c>
      <c r="I18" s="1068">
        <f>Table1[[#This Row],[Date]]</f>
        <v>41148</v>
      </c>
      <c r="J18" s="46"/>
      <c r="K18" s="46"/>
    </row>
    <row r="19" spans="2:11">
      <c r="B19" s="1067">
        <v>17</v>
      </c>
      <c r="C19" s="1068">
        <v>41148</v>
      </c>
      <c r="D19" s="1064" t="s">
        <v>585</v>
      </c>
      <c r="E19" s="1064" t="s">
        <v>368</v>
      </c>
      <c r="F19" s="1065" t="s">
        <v>606</v>
      </c>
      <c r="G19" s="1075" t="s">
        <v>604</v>
      </c>
      <c r="H19" s="1075" t="s">
        <v>605</v>
      </c>
      <c r="I19" s="1068">
        <f>Table1[[#This Row],[Date]]</f>
        <v>41148</v>
      </c>
      <c r="J19" s="46"/>
      <c r="K19" s="46"/>
    </row>
    <row r="20" spans="2:11">
      <c r="B20" s="1067">
        <v>18</v>
      </c>
      <c r="C20" s="1068">
        <v>41148</v>
      </c>
      <c r="D20" s="1064" t="s">
        <v>585</v>
      </c>
      <c r="E20" s="1064" t="s">
        <v>368</v>
      </c>
      <c r="F20" s="1065" t="s">
        <v>607</v>
      </c>
      <c r="G20" s="1075" t="s">
        <v>604</v>
      </c>
      <c r="H20" s="1075" t="s">
        <v>605</v>
      </c>
      <c r="I20" s="1068">
        <f>Table1[[#This Row],[Date]]</f>
        <v>41148</v>
      </c>
      <c r="J20" s="46"/>
      <c r="K20" s="46"/>
    </row>
    <row r="21" spans="2:11">
      <c r="B21" s="1067">
        <v>19</v>
      </c>
      <c r="C21" s="1068">
        <v>41148</v>
      </c>
      <c r="D21" s="1064" t="s">
        <v>585</v>
      </c>
      <c r="E21" s="1064" t="s">
        <v>368</v>
      </c>
      <c r="F21" s="1065" t="s">
        <v>608</v>
      </c>
      <c r="G21" s="1075" t="s">
        <v>604</v>
      </c>
      <c r="H21" s="1075" t="s">
        <v>605</v>
      </c>
      <c r="I21" s="1068">
        <f>Table1[[#This Row],[Date]]</f>
        <v>41148</v>
      </c>
      <c r="J21" s="46"/>
      <c r="K21" s="46"/>
    </row>
    <row r="22" spans="2:11">
      <c r="B22" s="1067">
        <v>20</v>
      </c>
      <c r="C22" s="1068">
        <v>41148</v>
      </c>
      <c r="D22" s="1064" t="s">
        <v>585</v>
      </c>
      <c r="E22" s="1064" t="s">
        <v>368</v>
      </c>
      <c r="F22" s="1065" t="s">
        <v>609</v>
      </c>
      <c r="G22" s="1075" t="s">
        <v>604</v>
      </c>
      <c r="H22" s="1075" t="s">
        <v>605</v>
      </c>
      <c r="I22" s="1068">
        <f>Table1[[#This Row],[Date]]</f>
        <v>41148</v>
      </c>
      <c r="J22" s="46"/>
      <c r="K22" s="46"/>
    </row>
    <row r="23" spans="2:11">
      <c r="B23" s="1067">
        <v>21</v>
      </c>
      <c r="C23" s="1068">
        <v>41148</v>
      </c>
      <c r="D23" s="1064" t="s">
        <v>585</v>
      </c>
      <c r="E23" s="1064" t="s">
        <v>368</v>
      </c>
      <c r="F23" s="1065" t="s">
        <v>610</v>
      </c>
      <c r="G23" s="1075" t="s">
        <v>604</v>
      </c>
      <c r="H23" s="1075" t="s">
        <v>605</v>
      </c>
      <c r="I23" s="1068">
        <f>Table1[[#This Row],[Date]]</f>
        <v>41148</v>
      </c>
      <c r="J23" s="46"/>
      <c r="K23" s="46"/>
    </row>
    <row r="24" spans="2:11">
      <c r="B24" s="1067">
        <v>22</v>
      </c>
      <c r="C24" s="1068">
        <v>41148</v>
      </c>
      <c r="D24" s="1064" t="s">
        <v>585</v>
      </c>
      <c r="E24" s="1064" t="s">
        <v>368</v>
      </c>
      <c r="F24" s="1065" t="s">
        <v>611</v>
      </c>
      <c r="G24" s="1075" t="s">
        <v>604</v>
      </c>
      <c r="H24" s="1075" t="s">
        <v>605</v>
      </c>
      <c r="I24" s="1068">
        <f>Table1[[#This Row],[Date]]</f>
        <v>41148</v>
      </c>
      <c r="J24" s="46"/>
      <c r="K24" s="46"/>
    </row>
    <row r="25" spans="2:11">
      <c r="B25" s="1067">
        <v>23</v>
      </c>
      <c r="C25" s="1068">
        <v>41148</v>
      </c>
      <c r="D25" s="1064" t="s">
        <v>585</v>
      </c>
      <c r="E25" s="1064" t="s">
        <v>368</v>
      </c>
      <c r="F25" s="1065" t="s">
        <v>612</v>
      </c>
      <c r="G25" s="1075" t="s">
        <v>604</v>
      </c>
      <c r="H25" s="1075" t="s">
        <v>605</v>
      </c>
      <c r="I25" s="1068">
        <f>Table1[[#This Row],[Date]]</f>
        <v>41148</v>
      </c>
      <c r="J25" s="46"/>
      <c r="K25" s="46"/>
    </row>
    <row r="26" spans="2:11">
      <c r="B26" s="1067">
        <v>24</v>
      </c>
      <c r="C26" s="1068">
        <v>41148</v>
      </c>
      <c r="D26" s="1064" t="s">
        <v>585</v>
      </c>
      <c r="E26" s="1064" t="s">
        <v>368</v>
      </c>
      <c r="F26" s="1065" t="s">
        <v>613</v>
      </c>
      <c r="G26" s="1075" t="s">
        <v>604</v>
      </c>
      <c r="H26" s="1075" t="s">
        <v>605</v>
      </c>
      <c r="I26" s="1068">
        <f>Table1[[#This Row],[Date]]</f>
        <v>41148</v>
      </c>
      <c r="J26" s="46"/>
      <c r="K26" s="46"/>
    </row>
    <row r="27" spans="2:11">
      <c r="B27" s="1067">
        <v>25</v>
      </c>
      <c r="C27" s="1068">
        <v>41148</v>
      </c>
      <c r="D27" s="1064" t="s">
        <v>585</v>
      </c>
      <c r="E27" s="1064" t="s">
        <v>368</v>
      </c>
      <c r="F27" s="1065" t="s">
        <v>614</v>
      </c>
      <c r="G27" s="1075" t="s">
        <v>604</v>
      </c>
      <c r="H27" s="1075" t="s">
        <v>605</v>
      </c>
      <c r="I27" s="1068">
        <f>Table1[[#This Row],[Date]]</f>
        <v>41148</v>
      </c>
      <c r="J27" s="46"/>
      <c r="K27" s="46"/>
    </row>
    <row r="28" spans="2:11">
      <c r="B28" s="1067">
        <v>26</v>
      </c>
      <c r="C28" s="1068">
        <v>41148</v>
      </c>
      <c r="D28" s="1064" t="s">
        <v>585</v>
      </c>
      <c r="E28" s="1064" t="s">
        <v>368</v>
      </c>
      <c r="F28" s="1065" t="s">
        <v>615</v>
      </c>
      <c r="G28" s="1075" t="s">
        <v>604</v>
      </c>
      <c r="H28" s="1075" t="s">
        <v>605</v>
      </c>
      <c r="I28" s="1068">
        <f>Table1[[#This Row],[Date]]</f>
        <v>41148</v>
      </c>
      <c r="J28" s="46"/>
      <c r="K28" s="46"/>
    </row>
    <row r="29" spans="2:11">
      <c r="B29" s="1067">
        <v>27</v>
      </c>
      <c r="C29" s="1068">
        <v>41148</v>
      </c>
      <c r="D29" s="1064" t="s">
        <v>585</v>
      </c>
      <c r="E29" s="1064" t="s">
        <v>368</v>
      </c>
      <c r="F29" s="1065" t="s">
        <v>616</v>
      </c>
      <c r="G29" s="1075" t="s">
        <v>604</v>
      </c>
      <c r="H29" s="1075" t="s">
        <v>605</v>
      </c>
      <c r="I29" s="1068">
        <f>Table1[[#This Row],[Date]]</f>
        <v>41148</v>
      </c>
      <c r="J29" s="46"/>
      <c r="K29" s="46"/>
    </row>
    <row r="30" spans="2:11" ht="28.5">
      <c r="B30" s="1067">
        <v>28</v>
      </c>
      <c r="C30" s="1068">
        <v>41148</v>
      </c>
      <c r="D30" s="1064" t="s">
        <v>585</v>
      </c>
      <c r="E30" s="1064" t="s">
        <v>368</v>
      </c>
      <c r="F30" s="1065" t="s">
        <v>618</v>
      </c>
      <c r="G30" s="1075" t="s">
        <v>619</v>
      </c>
      <c r="H30" s="1075" t="s">
        <v>620</v>
      </c>
      <c r="I30" s="1068">
        <f>Table1[[#This Row],[Date]]</f>
        <v>41148</v>
      </c>
      <c r="J30" s="46"/>
      <c r="K30" s="46"/>
    </row>
    <row r="31" spans="2:11" ht="28.5">
      <c r="B31" s="1067">
        <v>29</v>
      </c>
      <c r="C31" s="1068">
        <v>41148</v>
      </c>
      <c r="D31" s="1064" t="s">
        <v>585</v>
      </c>
      <c r="E31" s="1064" t="s">
        <v>368</v>
      </c>
      <c r="F31" s="1065" t="s">
        <v>621</v>
      </c>
      <c r="G31" s="1075" t="s">
        <v>588</v>
      </c>
      <c r="H31" s="1075" t="s">
        <v>622</v>
      </c>
      <c r="I31" s="1068">
        <f>Table1[[#This Row],[Date]]</f>
        <v>41148</v>
      </c>
      <c r="J31" s="46"/>
      <c r="K31" s="46"/>
    </row>
    <row r="32" spans="2:11" ht="28.5">
      <c r="B32" s="1067">
        <v>30</v>
      </c>
      <c r="C32" s="1068">
        <v>41148</v>
      </c>
      <c r="D32" s="1064" t="s">
        <v>585</v>
      </c>
      <c r="E32" s="1064" t="s">
        <v>368</v>
      </c>
      <c r="F32" s="1065" t="s">
        <v>623</v>
      </c>
      <c r="G32" s="1075" t="s">
        <v>624</v>
      </c>
      <c r="H32" s="1075" t="s">
        <v>625</v>
      </c>
      <c r="I32" s="1068">
        <f>Table1[[#This Row],[Date]]</f>
        <v>41148</v>
      </c>
      <c r="J32" s="46"/>
      <c r="K32" s="46"/>
    </row>
    <row r="33" spans="2:11" ht="42.75">
      <c r="B33" s="1067">
        <v>31</v>
      </c>
      <c r="C33" s="1068">
        <v>41148</v>
      </c>
      <c r="D33" s="1064" t="s">
        <v>585</v>
      </c>
      <c r="E33" s="1064" t="s">
        <v>368</v>
      </c>
      <c r="F33" s="1065" t="s">
        <v>626</v>
      </c>
      <c r="G33" s="1075" t="s">
        <v>627</v>
      </c>
      <c r="H33" s="1075" t="s">
        <v>628</v>
      </c>
      <c r="I33" s="1068">
        <f>Table1[[#This Row],[Date]]</f>
        <v>41148</v>
      </c>
      <c r="J33" s="46"/>
      <c r="K33" s="46"/>
    </row>
    <row r="34" spans="2:11">
      <c r="B34" s="1067">
        <v>32</v>
      </c>
      <c r="C34" s="1068">
        <v>41148</v>
      </c>
      <c r="D34" s="1064" t="s">
        <v>585</v>
      </c>
      <c r="E34" s="1064" t="s">
        <v>367</v>
      </c>
      <c r="F34" s="1065" t="s">
        <v>629</v>
      </c>
      <c r="G34" s="1075" t="s">
        <v>604</v>
      </c>
      <c r="H34" s="1075" t="s">
        <v>605</v>
      </c>
      <c r="I34" s="1068">
        <f>Table1[[#This Row],[Date]]</f>
        <v>41148</v>
      </c>
      <c r="J34" s="46"/>
      <c r="K34" s="46"/>
    </row>
    <row r="35" spans="2:11">
      <c r="B35" s="1067">
        <v>33</v>
      </c>
      <c r="C35" s="1068">
        <v>41148</v>
      </c>
      <c r="D35" s="1064" t="s">
        <v>585</v>
      </c>
      <c r="E35" s="1064" t="s">
        <v>367</v>
      </c>
      <c r="F35" s="1065" t="s">
        <v>630</v>
      </c>
      <c r="G35" s="1075" t="s">
        <v>604</v>
      </c>
      <c r="H35" s="1075" t="s">
        <v>605</v>
      </c>
      <c r="I35" s="1068">
        <f>Table1[[#This Row],[Date]]</f>
        <v>41148</v>
      </c>
      <c r="J35" s="46"/>
      <c r="K35" s="46"/>
    </row>
    <row r="36" spans="2:11">
      <c r="B36" s="1067">
        <v>34</v>
      </c>
      <c r="C36" s="1068">
        <v>41148</v>
      </c>
      <c r="D36" s="1064" t="s">
        <v>585</v>
      </c>
      <c r="E36" s="1064" t="s">
        <v>367</v>
      </c>
      <c r="F36" s="1065" t="s">
        <v>631</v>
      </c>
      <c r="G36" s="1075" t="s">
        <v>604</v>
      </c>
      <c r="H36" s="1075" t="s">
        <v>605</v>
      </c>
      <c r="I36" s="1068">
        <f>Table1[[#This Row],[Date]]</f>
        <v>41148</v>
      </c>
      <c r="J36" s="46"/>
      <c r="K36" s="46"/>
    </row>
    <row r="37" spans="2:11">
      <c r="B37" s="1067">
        <v>35</v>
      </c>
      <c r="C37" s="1068">
        <v>41148</v>
      </c>
      <c r="D37" s="1064" t="s">
        <v>585</v>
      </c>
      <c r="E37" s="1064" t="s">
        <v>367</v>
      </c>
      <c r="F37" s="1065" t="s">
        <v>632</v>
      </c>
      <c r="G37" s="1075" t="s">
        <v>604</v>
      </c>
      <c r="H37" s="1075" t="s">
        <v>605</v>
      </c>
      <c r="I37" s="1068">
        <f>Table1[[#This Row],[Date]]</f>
        <v>41148</v>
      </c>
      <c r="J37" s="46"/>
      <c r="K37" s="46"/>
    </row>
    <row r="38" spans="2:11">
      <c r="B38" s="1067">
        <v>36</v>
      </c>
      <c r="C38" s="1068">
        <v>41148</v>
      </c>
      <c r="D38" s="1064" t="s">
        <v>585</v>
      </c>
      <c r="E38" s="1064" t="s">
        <v>367</v>
      </c>
      <c r="F38" s="1065" t="s">
        <v>633</v>
      </c>
      <c r="G38" s="1075" t="s">
        <v>604</v>
      </c>
      <c r="H38" s="1075" t="s">
        <v>605</v>
      </c>
      <c r="I38" s="1068">
        <f>Table1[[#This Row],[Date]]</f>
        <v>41148</v>
      </c>
      <c r="J38" s="46"/>
      <c r="K38" s="46"/>
    </row>
    <row r="39" spans="2:11">
      <c r="B39" s="1067">
        <v>37</v>
      </c>
      <c r="C39" s="1068">
        <v>41148</v>
      </c>
      <c r="D39" s="1064" t="s">
        <v>585</v>
      </c>
      <c r="E39" s="1064" t="s">
        <v>367</v>
      </c>
      <c r="F39" s="1065" t="s">
        <v>634</v>
      </c>
      <c r="G39" s="1075" t="s">
        <v>604</v>
      </c>
      <c r="H39" s="1075" t="s">
        <v>605</v>
      </c>
      <c r="I39" s="1068">
        <f>Table1[[#This Row],[Date]]</f>
        <v>41148</v>
      </c>
      <c r="J39" s="46"/>
      <c r="K39" s="46"/>
    </row>
    <row r="40" spans="2:11">
      <c r="B40" s="1067">
        <v>38</v>
      </c>
      <c r="C40" s="1068">
        <v>41148</v>
      </c>
      <c r="D40" s="1064" t="s">
        <v>585</v>
      </c>
      <c r="E40" s="1064" t="s">
        <v>367</v>
      </c>
      <c r="F40" s="1065" t="s">
        <v>635</v>
      </c>
      <c r="G40" s="1075" t="s">
        <v>604</v>
      </c>
      <c r="H40" s="1075" t="s">
        <v>605</v>
      </c>
      <c r="I40" s="1068">
        <f>Table1[[#This Row],[Date]]</f>
        <v>41148</v>
      </c>
      <c r="J40" s="46"/>
      <c r="K40" s="46"/>
    </row>
    <row r="41" spans="2:11">
      <c r="B41" s="1067">
        <v>39</v>
      </c>
      <c r="C41" s="1068">
        <v>41148</v>
      </c>
      <c r="D41" s="1064" t="s">
        <v>585</v>
      </c>
      <c r="E41" s="1064" t="s">
        <v>367</v>
      </c>
      <c r="F41" s="1065" t="s">
        <v>636</v>
      </c>
      <c r="G41" s="1075" t="s">
        <v>604</v>
      </c>
      <c r="H41" s="1075" t="s">
        <v>605</v>
      </c>
      <c r="I41" s="1068">
        <f>Table1[[#This Row],[Date]]</f>
        <v>41148</v>
      </c>
      <c r="J41" s="46"/>
      <c r="K41" s="46"/>
    </row>
    <row r="42" spans="2:11">
      <c r="B42" s="1067">
        <v>40</v>
      </c>
      <c r="C42" s="1068">
        <v>41148</v>
      </c>
      <c r="D42" s="1064" t="s">
        <v>585</v>
      </c>
      <c r="E42" s="1064" t="s">
        <v>367</v>
      </c>
      <c r="F42" s="1065" t="s">
        <v>637</v>
      </c>
      <c r="G42" s="1075" t="s">
        <v>604</v>
      </c>
      <c r="H42" s="1075" t="s">
        <v>605</v>
      </c>
      <c r="I42" s="1068">
        <f>Table1[[#This Row],[Date]]</f>
        <v>41148</v>
      </c>
      <c r="J42" s="46"/>
      <c r="K42" s="46"/>
    </row>
    <row r="43" spans="2:11">
      <c r="B43" s="1067">
        <v>41</v>
      </c>
      <c r="C43" s="1068">
        <v>41148</v>
      </c>
      <c r="D43" s="1080" t="s">
        <v>585</v>
      </c>
      <c r="E43" s="1080" t="s">
        <v>367</v>
      </c>
      <c r="F43" s="1065" t="s">
        <v>638</v>
      </c>
      <c r="G43" s="1075" t="s">
        <v>639</v>
      </c>
      <c r="H43" s="1075" t="s">
        <v>640</v>
      </c>
      <c r="I43" s="1068">
        <f>Table1[[#This Row],[Date]]</f>
        <v>41148</v>
      </c>
      <c r="J43" s="46"/>
      <c r="K43" s="46"/>
    </row>
    <row r="44" spans="2:11">
      <c r="B44" s="1067">
        <v>42</v>
      </c>
      <c r="C44" s="1068">
        <v>41148</v>
      </c>
      <c r="D44" s="1080" t="s">
        <v>585</v>
      </c>
      <c r="E44" s="1080" t="s">
        <v>367</v>
      </c>
      <c r="F44" s="1065" t="s">
        <v>641</v>
      </c>
      <c r="G44" s="1075" t="s">
        <v>604</v>
      </c>
      <c r="H44" s="1075" t="s">
        <v>605</v>
      </c>
      <c r="I44" s="1068">
        <f>Table1[[#This Row],[Date]]</f>
        <v>41148</v>
      </c>
      <c r="J44" s="46"/>
      <c r="K44" s="46"/>
    </row>
    <row r="45" spans="2:11">
      <c r="B45" s="1067">
        <v>43</v>
      </c>
      <c r="C45" s="1068">
        <v>41148</v>
      </c>
      <c r="D45" s="1080" t="s">
        <v>585</v>
      </c>
      <c r="E45" s="1080" t="s">
        <v>367</v>
      </c>
      <c r="F45" s="1065" t="s">
        <v>642</v>
      </c>
      <c r="G45" s="1075" t="s">
        <v>604</v>
      </c>
      <c r="H45" s="1075" t="s">
        <v>605</v>
      </c>
      <c r="I45" s="1068">
        <f>Table1[[#This Row],[Date]]</f>
        <v>41148</v>
      </c>
      <c r="J45" s="46"/>
      <c r="K45" s="46"/>
    </row>
    <row r="46" spans="2:11">
      <c r="B46" s="1067">
        <v>44</v>
      </c>
      <c r="C46" s="1068">
        <v>41148</v>
      </c>
      <c r="D46" s="1080" t="s">
        <v>585</v>
      </c>
      <c r="E46" s="1080" t="s">
        <v>367</v>
      </c>
      <c r="F46" s="1065" t="s">
        <v>644</v>
      </c>
      <c r="G46" s="1075" t="s">
        <v>604</v>
      </c>
      <c r="H46" s="1075" t="s">
        <v>605</v>
      </c>
      <c r="I46" s="1068">
        <f>Table1[[#This Row],[Date]]</f>
        <v>41148</v>
      </c>
      <c r="J46" s="46"/>
      <c r="K46" s="46"/>
    </row>
    <row r="47" spans="2:11" ht="28.5">
      <c r="B47" s="1067">
        <v>45</v>
      </c>
      <c r="C47" s="1068">
        <v>41149</v>
      </c>
      <c r="D47" s="1080" t="s">
        <v>585</v>
      </c>
      <c r="E47" s="1080" t="s">
        <v>586</v>
      </c>
      <c r="F47" s="1065" t="s">
        <v>647</v>
      </c>
      <c r="G47" s="1075" t="s">
        <v>648</v>
      </c>
      <c r="H47" s="1075" t="s">
        <v>649</v>
      </c>
      <c r="I47" s="1068">
        <f>Table1[[#This Row],[Date]]</f>
        <v>41149</v>
      </c>
      <c r="J47" s="46"/>
      <c r="K47" s="46"/>
    </row>
    <row r="48" spans="2:11">
      <c r="B48" s="1067">
        <v>46</v>
      </c>
      <c r="C48" s="1068">
        <v>41149</v>
      </c>
      <c r="D48" s="1080" t="s">
        <v>585</v>
      </c>
      <c r="E48" s="1080" t="s">
        <v>586</v>
      </c>
      <c r="F48" s="1065" t="s">
        <v>650</v>
      </c>
      <c r="G48" s="1075" t="s">
        <v>604</v>
      </c>
      <c r="H48" s="1075" t="s">
        <v>605</v>
      </c>
      <c r="I48" s="1068">
        <f>Table1[[#This Row],[Date]]</f>
        <v>41149</v>
      </c>
      <c r="J48" s="46"/>
      <c r="K48" s="46"/>
    </row>
    <row r="49" spans="2:11">
      <c r="B49" s="1067">
        <v>47</v>
      </c>
      <c r="C49" s="1068">
        <v>41149</v>
      </c>
      <c r="D49" s="1080" t="s">
        <v>585</v>
      </c>
      <c r="E49" s="1080" t="s">
        <v>586</v>
      </c>
      <c r="F49" s="1065" t="s">
        <v>651</v>
      </c>
      <c r="G49" s="1075" t="s">
        <v>604</v>
      </c>
      <c r="H49" s="1075" t="s">
        <v>605</v>
      </c>
      <c r="I49" s="1068">
        <f>Table1[[#This Row],[Date]]</f>
        <v>41149</v>
      </c>
      <c r="J49" s="46"/>
      <c r="K49" s="46"/>
    </row>
    <row r="50" spans="2:11">
      <c r="B50" s="1067">
        <v>48</v>
      </c>
      <c r="C50" s="1068">
        <v>41149</v>
      </c>
      <c r="D50" s="1080" t="s">
        <v>585</v>
      </c>
      <c r="E50" s="1080" t="s">
        <v>586</v>
      </c>
      <c r="F50" s="1065" t="s">
        <v>652</v>
      </c>
      <c r="G50" s="1075" t="s">
        <v>604</v>
      </c>
      <c r="H50" s="1075" t="s">
        <v>605</v>
      </c>
      <c r="I50" s="1068">
        <f>Table1[[#This Row],[Date]]</f>
        <v>41149</v>
      </c>
      <c r="J50" s="46"/>
      <c r="K50" s="46"/>
    </row>
    <row r="51" spans="2:11">
      <c r="B51" s="1067">
        <v>49</v>
      </c>
      <c r="C51" s="1068">
        <v>41149</v>
      </c>
      <c r="D51" s="1080" t="s">
        <v>585</v>
      </c>
      <c r="E51" s="1080" t="s">
        <v>586</v>
      </c>
      <c r="F51" s="1065" t="s">
        <v>653</v>
      </c>
      <c r="G51" s="1075" t="s">
        <v>604</v>
      </c>
      <c r="H51" s="1075" t="s">
        <v>605</v>
      </c>
      <c r="I51" s="1068">
        <f>Table1[[#This Row],[Date]]</f>
        <v>41149</v>
      </c>
      <c r="J51" s="46"/>
      <c r="K51" s="46"/>
    </row>
    <row r="52" spans="2:11">
      <c r="B52" s="1067">
        <v>50</v>
      </c>
      <c r="C52" s="1068">
        <v>41149</v>
      </c>
      <c r="D52" s="1080" t="s">
        <v>585</v>
      </c>
      <c r="E52" s="1080" t="s">
        <v>586</v>
      </c>
      <c r="F52" s="1065" t="s">
        <v>654</v>
      </c>
      <c r="G52" s="1075" t="s">
        <v>604</v>
      </c>
      <c r="H52" s="1075" t="s">
        <v>605</v>
      </c>
      <c r="I52" s="1068">
        <f>Table1[[#This Row],[Date]]</f>
        <v>41149</v>
      </c>
      <c r="J52" s="46"/>
      <c r="K52" s="46"/>
    </row>
    <row r="53" spans="2:11">
      <c r="B53" s="1067">
        <v>51</v>
      </c>
      <c r="C53" s="1068">
        <v>41149</v>
      </c>
      <c r="D53" s="1080" t="s">
        <v>585</v>
      </c>
      <c r="E53" s="1080" t="s">
        <v>586</v>
      </c>
      <c r="F53" s="1065" t="s">
        <v>655</v>
      </c>
      <c r="G53" s="1075" t="s">
        <v>604</v>
      </c>
      <c r="H53" s="1075" t="s">
        <v>605</v>
      </c>
      <c r="I53" s="1068">
        <f>Table1[[#This Row],[Date]]</f>
        <v>41149</v>
      </c>
      <c r="J53" s="46"/>
      <c r="K53" s="46"/>
    </row>
    <row r="54" spans="2:11">
      <c r="B54" s="1067">
        <v>52</v>
      </c>
      <c r="C54" s="1068">
        <v>41149</v>
      </c>
      <c r="D54" s="1080" t="s">
        <v>585</v>
      </c>
      <c r="E54" s="1080" t="s">
        <v>586</v>
      </c>
      <c r="F54" s="1065" t="s">
        <v>656</v>
      </c>
      <c r="G54" s="1075" t="s">
        <v>604</v>
      </c>
      <c r="H54" s="1075" t="s">
        <v>605</v>
      </c>
      <c r="I54" s="1068">
        <f>Table1[[#This Row],[Date]]</f>
        <v>41149</v>
      </c>
      <c r="J54" s="46"/>
      <c r="K54" s="46"/>
    </row>
    <row r="55" spans="2:11">
      <c r="B55" s="1067">
        <v>53</v>
      </c>
      <c r="C55" s="1068">
        <v>41149</v>
      </c>
      <c r="D55" s="1080" t="s">
        <v>585</v>
      </c>
      <c r="E55" s="1080" t="s">
        <v>586</v>
      </c>
      <c r="F55" s="1065" t="s">
        <v>657</v>
      </c>
      <c r="G55" s="1075" t="s">
        <v>604</v>
      </c>
      <c r="H55" s="1075" t="s">
        <v>605</v>
      </c>
      <c r="I55" s="1068">
        <f>Table1[[#This Row],[Date]]</f>
        <v>41149</v>
      </c>
      <c r="J55" s="46"/>
      <c r="K55" s="46"/>
    </row>
    <row r="56" spans="2:11" ht="42.75">
      <c r="B56" s="1067">
        <v>54</v>
      </c>
      <c r="C56" s="1068">
        <v>41149</v>
      </c>
      <c r="D56" s="1080" t="s">
        <v>585</v>
      </c>
      <c r="E56" s="1080" t="s">
        <v>586</v>
      </c>
      <c r="F56" s="1065" t="s">
        <v>658</v>
      </c>
      <c r="G56" s="1075" t="s">
        <v>660</v>
      </c>
      <c r="H56" s="1075" t="s">
        <v>661</v>
      </c>
      <c r="I56" s="1068">
        <f>Table1[[#This Row],[Date]]</f>
        <v>41149</v>
      </c>
      <c r="J56" s="46"/>
      <c r="K56" s="46"/>
    </row>
    <row r="57" spans="2:11" ht="42.75">
      <c r="B57" s="1067">
        <v>55</v>
      </c>
      <c r="C57" s="1068">
        <v>41149</v>
      </c>
      <c r="D57" s="1080" t="s">
        <v>585</v>
      </c>
      <c r="E57" s="1080" t="s">
        <v>586</v>
      </c>
      <c r="F57" s="1065" t="s">
        <v>659</v>
      </c>
      <c r="G57" s="1075" t="s">
        <v>660</v>
      </c>
      <c r="H57" s="1075" t="s">
        <v>661</v>
      </c>
      <c r="I57" s="1068">
        <f>Table1[[#This Row],[Date]]</f>
        <v>41149</v>
      </c>
      <c r="J57" s="46"/>
      <c r="K57" s="46"/>
    </row>
    <row r="58" spans="2:11" ht="28.5">
      <c r="B58" s="1067">
        <v>56</v>
      </c>
      <c r="C58" s="1068">
        <v>41149</v>
      </c>
      <c r="D58" s="1080" t="s">
        <v>585</v>
      </c>
      <c r="E58" s="1080" t="s">
        <v>586</v>
      </c>
      <c r="F58" s="1065" t="s">
        <v>662</v>
      </c>
      <c r="G58" s="1075" t="s">
        <v>667</v>
      </c>
      <c r="H58" s="1075" t="s">
        <v>668</v>
      </c>
      <c r="I58" s="1068">
        <f>Table1[[#This Row],[Date]]</f>
        <v>41149</v>
      </c>
      <c r="J58" s="46"/>
      <c r="K58" s="46"/>
    </row>
    <row r="59" spans="2:11" ht="28.5">
      <c r="B59" s="1067">
        <v>57</v>
      </c>
      <c r="C59" s="1068">
        <v>41149</v>
      </c>
      <c r="D59" s="1080" t="s">
        <v>585</v>
      </c>
      <c r="E59" s="1080" t="s">
        <v>586</v>
      </c>
      <c r="F59" s="1065" t="s">
        <v>663</v>
      </c>
      <c r="G59" s="1075" t="s">
        <v>667</v>
      </c>
      <c r="H59" s="1075" t="s">
        <v>668</v>
      </c>
      <c r="I59" s="1068">
        <f>Table1[[#This Row],[Date]]</f>
        <v>41149</v>
      </c>
      <c r="J59" s="46"/>
      <c r="K59" s="46"/>
    </row>
    <row r="60" spans="2:11" ht="28.5">
      <c r="B60" s="1067">
        <v>58</v>
      </c>
      <c r="C60" s="1068">
        <v>41149</v>
      </c>
      <c r="D60" s="1080" t="s">
        <v>585</v>
      </c>
      <c r="E60" s="1080" t="s">
        <v>586</v>
      </c>
      <c r="F60" s="1065" t="s">
        <v>664</v>
      </c>
      <c r="G60" s="1075" t="s">
        <v>667</v>
      </c>
      <c r="H60" s="1075" t="s">
        <v>669</v>
      </c>
      <c r="I60" s="1068">
        <f>Table1[[#This Row],[Date]]</f>
        <v>41149</v>
      </c>
      <c r="J60" s="46"/>
      <c r="K60" s="46"/>
    </row>
    <row r="61" spans="2:11" ht="28.5">
      <c r="B61" s="1067">
        <v>59</v>
      </c>
      <c r="C61" s="1068">
        <v>41149</v>
      </c>
      <c r="D61" s="1080" t="s">
        <v>585</v>
      </c>
      <c r="E61" s="1080" t="s">
        <v>586</v>
      </c>
      <c r="F61" s="1065" t="s">
        <v>665</v>
      </c>
      <c r="G61" s="1075" t="s">
        <v>667</v>
      </c>
      <c r="H61" s="1075" t="s">
        <v>669</v>
      </c>
      <c r="I61" s="1068">
        <f>Table1[[#This Row],[Date]]</f>
        <v>41149</v>
      </c>
      <c r="J61" s="46"/>
      <c r="K61" s="46"/>
    </row>
    <row r="62" spans="2:11" ht="42.75">
      <c r="B62" s="1067">
        <v>60</v>
      </c>
      <c r="C62" s="1068">
        <v>41149</v>
      </c>
      <c r="D62" s="1080" t="s">
        <v>585</v>
      </c>
      <c r="E62" s="1080" t="s">
        <v>586</v>
      </c>
      <c r="F62" s="1065" t="s">
        <v>666</v>
      </c>
      <c r="G62" s="1075" t="s">
        <v>670</v>
      </c>
      <c r="H62" s="1075" t="s">
        <v>671</v>
      </c>
      <c r="I62" s="1068">
        <f>Table1[[#This Row],[Date]]</f>
        <v>41149</v>
      </c>
      <c r="J62" s="46"/>
      <c r="K62" s="46"/>
    </row>
    <row r="63" spans="2:11" ht="28.5">
      <c r="B63" s="1067">
        <v>61</v>
      </c>
      <c r="C63" s="1068">
        <v>41149</v>
      </c>
      <c r="D63" s="1080" t="s">
        <v>585</v>
      </c>
      <c r="E63" s="1080" t="s">
        <v>367</v>
      </c>
      <c r="F63" s="1065" t="s">
        <v>672</v>
      </c>
      <c r="G63" s="1075" t="s">
        <v>673</v>
      </c>
      <c r="H63" s="1075" t="s">
        <v>674</v>
      </c>
      <c r="I63" s="1068">
        <f>Table1[[#This Row],[Date]]</f>
        <v>41149</v>
      </c>
      <c r="J63" s="46"/>
      <c r="K63" s="46"/>
    </row>
    <row r="64" spans="2:11">
      <c r="B64" s="1067">
        <v>62</v>
      </c>
      <c r="C64" s="1068">
        <v>41149</v>
      </c>
      <c r="D64" s="1080" t="s">
        <v>585</v>
      </c>
      <c r="E64" s="1080" t="s">
        <v>367</v>
      </c>
      <c r="F64" s="1065" t="s">
        <v>672</v>
      </c>
      <c r="G64" s="1075" t="s">
        <v>675</v>
      </c>
      <c r="H64" s="1075" t="s">
        <v>676</v>
      </c>
      <c r="I64" s="1068">
        <f>Table1[[#This Row],[Date]]</f>
        <v>41149</v>
      </c>
      <c r="J64" s="46"/>
      <c r="K64" s="46"/>
    </row>
    <row r="65" spans="2:11" ht="28.5">
      <c r="B65" s="1067">
        <v>63</v>
      </c>
      <c r="C65" s="1068">
        <v>41149</v>
      </c>
      <c r="D65" s="1080" t="s">
        <v>585</v>
      </c>
      <c r="E65" s="1080" t="s">
        <v>367</v>
      </c>
      <c r="F65" s="1065" t="s">
        <v>677</v>
      </c>
      <c r="G65" s="1075" t="s">
        <v>673</v>
      </c>
      <c r="H65" s="1075" t="s">
        <v>674</v>
      </c>
      <c r="I65" s="1068">
        <f>Table1[[#This Row],[Date]]</f>
        <v>41149</v>
      </c>
      <c r="J65" s="46"/>
      <c r="K65" s="46"/>
    </row>
    <row r="66" spans="2:11" ht="28.5">
      <c r="B66" s="1067">
        <v>64</v>
      </c>
      <c r="C66" s="1068">
        <v>41149</v>
      </c>
      <c r="D66" s="1080" t="s">
        <v>585</v>
      </c>
      <c r="E66" s="1080" t="s">
        <v>367</v>
      </c>
      <c r="F66" s="1065" t="s">
        <v>678</v>
      </c>
      <c r="G66" s="1075" t="s">
        <v>673</v>
      </c>
      <c r="H66" s="1075" t="s">
        <v>674</v>
      </c>
      <c r="I66" s="1068">
        <f>Table1[[#This Row],[Date]]</f>
        <v>41149</v>
      </c>
      <c r="J66" s="46"/>
      <c r="K66" s="46"/>
    </row>
    <row r="67" spans="2:11" ht="28.5">
      <c r="B67" s="1067">
        <v>65</v>
      </c>
      <c r="C67" s="1068">
        <v>41149</v>
      </c>
      <c r="D67" s="1080" t="s">
        <v>585</v>
      </c>
      <c r="E67" s="1080" t="s">
        <v>367</v>
      </c>
      <c r="F67" s="1065" t="s">
        <v>679</v>
      </c>
      <c r="G67" s="1075" t="s">
        <v>673</v>
      </c>
      <c r="H67" s="1075" t="s">
        <v>674</v>
      </c>
      <c r="I67" s="1068">
        <f>Table1[[#This Row],[Date]]</f>
        <v>41149</v>
      </c>
      <c r="J67" s="46"/>
      <c r="K67" s="46"/>
    </row>
    <row r="68" spans="2:11" ht="28.5">
      <c r="B68" s="1067">
        <v>66</v>
      </c>
      <c r="C68" s="1068">
        <v>41149</v>
      </c>
      <c r="D68" s="1080" t="s">
        <v>585</v>
      </c>
      <c r="E68" s="1080" t="s">
        <v>367</v>
      </c>
      <c r="F68" s="1065" t="s">
        <v>680</v>
      </c>
      <c r="G68" s="1075" t="s">
        <v>673</v>
      </c>
      <c r="H68" s="1075" t="s">
        <v>674</v>
      </c>
      <c r="I68" s="1068">
        <f>Table1[[#This Row],[Date]]</f>
        <v>41149</v>
      </c>
      <c r="J68" s="46"/>
      <c r="K68" s="46"/>
    </row>
    <row r="69" spans="2:11" ht="28.5">
      <c r="B69" s="1067">
        <v>67</v>
      </c>
      <c r="C69" s="1068">
        <v>41149</v>
      </c>
      <c r="D69" s="1080" t="s">
        <v>585</v>
      </c>
      <c r="E69" s="1080" t="s">
        <v>367</v>
      </c>
      <c r="F69" s="1065" t="s">
        <v>681</v>
      </c>
      <c r="G69" s="1075" t="s">
        <v>673</v>
      </c>
      <c r="H69" s="1075" t="s">
        <v>674</v>
      </c>
      <c r="I69" s="1068">
        <f>Table1[[#This Row],[Date]]</f>
        <v>41149</v>
      </c>
      <c r="J69" s="46"/>
      <c r="K69" s="46"/>
    </row>
    <row r="70" spans="2:11" ht="28.5">
      <c r="B70" s="1067">
        <v>68</v>
      </c>
      <c r="C70" s="1068">
        <v>41149</v>
      </c>
      <c r="D70" s="1080" t="s">
        <v>585</v>
      </c>
      <c r="E70" s="1080" t="s">
        <v>367</v>
      </c>
      <c r="F70" s="1065" t="s">
        <v>682</v>
      </c>
      <c r="G70" s="1075" t="s">
        <v>673</v>
      </c>
      <c r="H70" s="1075" t="s">
        <v>674</v>
      </c>
      <c r="I70" s="1068">
        <f>Table1[[#This Row],[Date]]</f>
        <v>41149</v>
      </c>
      <c r="J70" s="46"/>
      <c r="K70" s="46"/>
    </row>
    <row r="71" spans="2:11" ht="28.5">
      <c r="B71" s="1067">
        <v>69</v>
      </c>
      <c r="C71" s="1068">
        <v>41149</v>
      </c>
      <c r="D71" s="1080" t="s">
        <v>585</v>
      </c>
      <c r="E71" s="1080" t="s">
        <v>367</v>
      </c>
      <c r="F71" s="1065" t="s">
        <v>683</v>
      </c>
      <c r="G71" s="1075" t="s">
        <v>673</v>
      </c>
      <c r="H71" s="1075" t="s">
        <v>674</v>
      </c>
      <c r="I71" s="1068">
        <f>Table1[[#This Row],[Date]]</f>
        <v>41149</v>
      </c>
      <c r="J71" s="46"/>
      <c r="K71" s="46"/>
    </row>
    <row r="72" spans="2:11">
      <c r="B72" s="1067">
        <v>70</v>
      </c>
      <c r="C72" s="1068">
        <v>41149</v>
      </c>
      <c r="D72" s="1080" t="s">
        <v>585</v>
      </c>
      <c r="E72" s="1080" t="s">
        <v>367</v>
      </c>
      <c r="F72" s="1065" t="s">
        <v>677</v>
      </c>
      <c r="G72" s="1075" t="s">
        <v>675</v>
      </c>
      <c r="H72" s="1075" t="s">
        <v>676</v>
      </c>
      <c r="I72" s="1068">
        <f>Table1[[#This Row],[Date]]</f>
        <v>41149</v>
      </c>
      <c r="J72" s="46"/>
      <c r="K72" s="46"/>
    </row>
    <row r="73" spans="2:11">
      <c r="B73" s="1067">
        <v>71</v>
      </c>
      <c r="C73" s="1068">
        <v>41149</v>
      </c>
      <c r="D73" s="1080" t="s">
        <v>585</v>
      </c>
      <c r="E73" s="1080" t="s">
        <v>367</v>
      </c>
      <c r="F73" s="1065" t="s">
        <v>678</v>
      </c>
      <c r="G73" s="1075" t="s">
        <v>675</v>
      </c>
      <c r="H73" s="1075" t="s">
        <v>676</v>
      </c>
      <c r="I73" s="1068">
        <f>Table1[[#This Row],[Date]]</f>
        <v>41149</v>
      </c>
      <c r="J73" s="46"/>
      <c r="K73" s="46"/>
    </row>
    <row r="74" spans="2:11">
      <c r="B74" s="1067">
        <v>72</v>
      </c>
      <c r="C74" s="1068">
        <v>41149</v>
      </c>
      <c r="D74" s="1080" t="s">
        <v>585</v>
      </c>
      <c r="E74" s="1080" t="s">
        <v>367</v>
      </c>
      <c r="F74" s="1065" t="s">
        <v>679</v>
      </c>
      <c r="G74" s="1075" t="s">
        <v>675</v>
      </c>
      <c r="H74" s="1075" t="s">
        <v>676</v>
      </c>
      <c r="I74" s="1068">
        <f>Table1[[#This Row],[Date]]</f>
        <v>41149</v>
      </c>
      <c r="J74" s="46"/>
      <c r="K74" s="46"/>
    </row>
    <row r="75" spans="2:11">
      <c r="B75" s="1067">
        <v>73</v>
      </c>
      <c r="C75" s="1068">
        <v>41149</v>
      </c>
      <c r="D75" s="1080" t="s">
        <v>585</v>
      </c>
      <c r="E75" s="1080" t="s">
        <v>367</v>
      </c>
      <c r="F75" s="1065" t="s">
        <v>680</v>
      </c>
      <c r="G75" s="1075" t="s">
        <v>675</v>
      </c>
      <c r="H75" s="1075" t="s">
        <v>676</v>
      </c>
      <c r="I75" s="1068">
        <f>Table1[[#This Row],[Date]]</f>
        <v>41149</v>
      </c>
      <c r="J75" s="46"/>
      <c r="K75" s="46"/>
    </row>
    <row r="76" spans="2:11">
      <c r="B76" s="1067">
        <v>74</v>
      </c>
      <c r="C76" s="1068">
        <v>41149</v>
      </c>
      <c r="D76" s="1080" t="s">
        <v>585</v>
      </c>
      <c r="E76" s="1080" t="s">
        <v>367</v>
      </c>
      <c r="F76" s="1065" t="s">
        <v>681</v>
      </c>
      <c r="G76" s="1075" t="s">
        <v>675</v>
      </c>
      <c r="H76" s="1075" t="s">
        <v>676</v>
      </c>
      <c r="I76" s="1068">
        <f>Table1[[#This Row],[Date]]</f>
        <v>41149</v>
      </c>
      <c r="J76" s="46"/>
      <c r="K76" s="46"/>
    </row>
    <row r="77" spans="2:11">
      <c r="B77" s="1067">
        <v>75</v>
      </c>
      <c r="C77" s="1068">
        <v>41149</v>
      </c>
      <c r="D77" s="1080" t="s">
        <v>585</v>
      </c>
      <c r="E77" s="1080" t="s">
        <v>367</v>
      </c>
      <c r="F77" s="1065" t="s">
        <v>682</v>
      </c>
      <c r="G77" s="1075" t="s">
        <v>675</v>
      </c>
      <c r="H77" s="1075" t="s">
        <v>676</v>
      </c>
      <c r="I77" s="1068">
        <f>Table1[[#This Row],[Date]]</f>
        <v>41149</v>
      </c>
      <c r="J77" s="46"/>
      <c r="K77" s="46"/>
    </row>
    <row r="78" spans="2:11">
      <c r="B78" s="1067">
        <v>76</v>
      </c>
      <c r="C78" s="1068">
        <v>41149</v>
      </c>
      <c r="D78" s="1080" t="s">
        <v>585</v>
      </c>
      <c r="E78" s="1080" t="s">
        <v>367</v>
      </c>
      <c r="F78" s="1065" t="s">
        <v>683</v>
      </c>
      <c r="G78" s="1075" t="s">
        <v>675</v>
      </c>
      <c r="H78" s="1075" t="s">
        <v>676</v>
      </c>
      <c r="I78" s="1068">
        <f>Table1[[#This Row],[Date]]</f>
        <v>41149</v>
      </c>
      <c r="J78" s="46"/>
      <c r="K78" s="46"/>
    </row>
    <row r="79" spans="2:11" ht="28.5">
      <c r="B79" s="1067">
        <v>77</v>
      </c>
      <c r="C79" s="1068">
        <v>41149</v>
      </c>
      <c r="D79" s="1080" t="s">
        <v>585</v>
      </c>
      <c r="E79" s="1080" t="s">
        <v>367</v>
      </c>
      <c r="F79" s="1065" t="s">
        <v>684</v>
      </c>
      <c r="G79" s="1075" t="s">
        <v>685</v>
      </c>
      <c r="H79" s="1075" t="s">
        <v>686</v>
      </c>
      <c r="I79" s="1068">
        <f>Table1[[#This Row],[Date]]</f>
        <v>41149</v>
      </c>
      <c r="J79" s="46"/>
      <c r="K79" s="46"/>
    </row>
    <row r="80" spans="2:11" ht="28.5">
      <c r="B80" s="1067">
        <v>78</v>
      </c>
      <c r="C80" s="1068">
        <v>41149</v>
      </c>
      <c r="D80" s="1080" t="s">
        <v>585</v>
      </c>
      <c r="E80" s="1080" t="s">
        <v>367</v>
      </c>
      <c r="F80" s="1065" t="s">
        <v>687</v>
      </c>
      <c r="G80" s="1075" t="s">
        <v>685</v>
      </c>
      <c r="H80" s="1075" t="s">
        <v>686</v>
      </c>
      <c r="I80" s="1068">
        <f>Table1[[#This Row],[Date]]</f>
        <v>41149</v>
      </c>
      <c r="J80" s="46"/>
      <c r="K80" s="46"/>
    </row>
    <row r="81" spans="2:11" ht="42.75">
      <c r="B81" s="1067">
        <v>79</v>
      </c>
      <c r="C81" s="1068">
        <v>41149</v>
      </c>
      <c r="D81" s="1080" t="s">
        <v>585</v>
      </c>
      <c r="E81" s="1080" t="s">
        <v>367</v>
      </c>
      <c r="F81" s="1065" t="s">
        <v>688</v>
      </c>
      <c r="G81" s="1075" t="s">
        <v>689</v>
      </c>
      <c r="H81" s="1075" t="s">
        <v>690</v>
      </c>
      <c r="I81" s="1068">
        <f>Table1[[#This Row],[Date]]</f>
        <v>41149</v>
      </c>
      <c r="J81" s="46"/>
      <c r="K81" s="46"/>
    </row>
    <row r="82" spans="2:11" ht="42.75">
      <c r="B82" s="1067">
        <v>80</v>
      </c>
      <c r="C82" s="1068">
        <v>41149</v>
      </c>
      <c r="D82" s="1080" t="s">
        <v>585</v>
      </c>
      <c r="E82" s="1080" t="s">
        <v>367</v>
      </c>
      <c r="F82" s="1065" t="s">
        <v>691</v>
      </c>
      <c r="G82" s="1075" t="s">
        <v>693</v>
      </c>
      <c r="H82" s="1075" t="s">
        <v>694</v>
      </c>
      <c r="I82" s="1068">
        <f>Table1[[#This Row],[Date]]</f>
        <v>41149</v>
      </c>
      <c r="J82" s="46"/>
      <c r="K82" s="46"/>
    </row>
    <row r="83" spans="2:11" ht="42.75">
      <c r="B83" s="1067">
        <v>81</v>
      </c>
      <c r="C83" s="1068">
        <v>41149</v>
      </c>
      <c r="D83" s="1080" t="s">
        <v>585</v>
      </c>
      <c r="E83" s="1080" t="s">
        <v>367</v>
      </c>
      <c r="F83" s="1065" t="s">
        <v>692</v>
      </c>
      <c r="G83" s="1075" t="s">
        <v>693</v>
      </c>
      <c r="H83" s="1075" t="s">
        <v>694</v>
      </c>
      <c r="I83" s="1068">
        <f>Table1[[#This Row],[Date]]</f>
        <v>41149</v>
      </c>
      <c r="J83" s="46"/>
      <c r="K83" s="46"/>
    </row>
    <row r="84" spans="2:11" ht="28.5">
      <c r="B84" s="1067">
        <v>82</v>
      </c>
      <c r="C84" s="1068">
        <v>41149</v>
      </c>
      <c r="D84" s="1080" t="s">
        <v>585</v>
      </c>
      <c r="E84" s="1080" t="s">
        <v>367</v>
      </c>
      <c r="F84" s="1065" t="s">
        <v>691</v>
      </c>
      <c r="G84" s="1075" t="s">
        <v>695</v>
      </c>
      <c r="H84" s="1075" t="s">
        <v>696</v>
      </c>
      <c r="I84" s="1068">
        <f>Table1[[#This Row],[Date]]</f>
        <v>41149</v>
      </c>
      <c r="J84" s="46"/>
      <c r="K84" s="46"/>
    </row>
    <row r="85" spans="2:11" ht="28.5">
      <c r="B85" s="1067">
        <v>83</v>
      </c>
      <c r="C85" s="1068">
        <v>41149</v>
      </c>
      <c r="D85" s="1080" t="s">
        <v>585</v>
      </c>
      <c r="E85" s="1080" t="s">
        <v>367</v>
      </c>
      <c r="F85" s="1065" t="s">
        <v>692</v>
      </c>
      <c r="G85" s="1075" t="s">
        <v>695</v>
      </c>
      <c r="H85" s="1075" t="s">
        <v>696</v>
      </c>
      <c r="I85" s="1068">
        <f>Table1[[#This Row],[Date]]</f>
        <v>41149</v>
      </c>
      <c r="J85" s="46"/>
      <c r="K85" s="46"/>
    </row>
    <row r="86" spans="2:11">
      <c r="B86" s="1067">
        <v>84</v>
      </c>
      <c r="C86" s="1068">
        <v>41149</v>
      </c>
      <c r="D86" s="1080" t="s">
        <v>585</v>
      </c>
      <c r="E86" s="1080" t="s">
        <v>440</v>
      </c>
      <c r="F86" s="1065" t="s">
        <v>697</v>
      </c>
      <c r="G86" s="1075" t="s">
        <v>588</v>
      </c>
      <c r="H86" s="1075" t="s">
        <v>598</v>
      </c>
      <c r="I86" s="1068">
        <f>Table1[[#This Row],[Date]]</f>
        <v>41149</v>
      </c>
      <c r="J86" s="46"/>
      <c r="K86" s="46"/>
    </row>
    <row r="87" spans="2:11" ht="28.5">
      <c r="B87" s="1067">
        <v>85</v>
      </c>
      <c r="C87" s="1068">
        <v>41149</v>
      </c>
      <c r="D87" s="1080" t="s">
        <v>585</v>
      </c>
      <c r="E87" s="1080" t="s">
        <v>367</v>
      </c>
      <c r="F87" s="1065" t="s">
        <v>698</v>
      </c>
      <c r="G87" s="1075" t="s">
        <v>699</v>
      </c>
      <c r="H87" s="1075" t="s">
        <v>700</v>
      </c>
      <c r="I87" s="1068">
        <f>Table1[[#This Row],[Date]]</f>
        <v>41149</v>
      </c>
      <c r="J87" s="46"/>
      <c r="K87" s="46"/>
    </row>
    <row r="88" spans="2:11">
      <c r="B88" s="1067">
        <v>86</v>
      </c>
      <c r="C88" s="1068">
        <v>41149</v>
      </c>
      <c r="D88" s="1080" t="s">
        <v>585</v>
      </c>
      <c r="E88" s="1080" t="s">
        <v>368</v>
      </c>
      <c r="F88" s="1065" t="s">
        <v>704</v>
      </c>
      <c r="G88" s="1075" t="s">
        <v>702</v>
      </c>
      <c r="H88" s="1075" t="s">
        <v>703</v>
      </c>
      <c r="I88" s="1068">
        <f>Table1[[#This Row],[Date]]</f>
        <v>41149</v>
      </c>
      <c r="J88" s="46"/>
      <c r="K88" s="46"/>
    </row>
    <row r="89" spans="2:11">
      <c r="B89" s="1067">
        <v>87</v>
      </c>
      <c r="C89" s="1068">
        <v>41149</v>
      </c>
      <c r="D89" s="1080" t="s">
        <v>585</v>
      </c>
      <c r="E89" s="1080" t="s">
        <v>368</v>
      </c>
      <c r="F89" s="1065" t="s">
        <v>618</v>
      </c>
      <c r="G89" s="1075" t="s">
        <v>706</v>
      </c>
      <c r="H89" s="1075" t="s">
        <v>707</v>
      </c>
      <c r="I89" s="1068">
        <f>Table1[[#This Row],[Date]]</f>
        <v>41149</v>
      </c>
      <c r="J89" s="46"/>
      <c r="K89" s="46"/>
    </row>
    <row r="90" spans="2:11">
      <c r="B90" s="1067">
        <v>88</v>
      </c>
      <c r="C90" s="1068">
        <v>41149</v>
      </c>
      <c r="D90" s="1080" t="s">
        <v>585</v>
      </c>
      <c r="E90" s="1080" t="s">
        <v>368</v>
      </c>
      <c r="F90" s="1065" t="s">
        <v>705</v>
      </c>
      <c r="G90" s="1075" t="s">
        <v>706</v>
      </c>
      <c r="H90" s="1075" t="s">
        <v>708</v>
      </c>
      <c r="I90" s="1068">
        <f>Table1[[#This Row],[Date]]</f>
        <v>41149</v>
      </c>
      <c r="J90" s="46"/>
      <c r="K90" s="46"/>
    </row>
    <row r="91" spans="2:11" ht="28.5">
      <c r="B91" s="1067">
        <v>89</v>
      </c>
      <c r="C91" s="1068">
        <v>41149</v>
      </c>
      <c r="D91" s="1080" t="s">
        <v>585</v>
      </c>
      <c r="E91" s="1080" t="s">
        <v>368</v>
      </c>
      <c r="F91" s="1065" t="s">
        <v>709</v>
      </c>
      <c r="G91" s="1075" t="s">
        <v>710</v>
      </c>
      <c r="H91" s="1075" t="s">
        <v>711</v>
      </c>
      <c r="I91" s="1068">
        <f>Table1[[#This Row],[Date]]</f>
        <v>41149</v>
      </c>
      <c r="J91" s="46"/>
      <c r="K91" s="46"/>
    </row>
    <row r="92" spans="2:11" ht="28.5">
      <c r="B92" s="1067">
        <v>90</v>
      </c>
      <c r="C92" s="1068">
        <v>41149</v>
      </c>
      <c r="D92" s="1080" t="s">
        <v>585</v>
      </c>
      <c r="E92" s="1080" t="s">
        <v>368</v>
      </c>
      <c r="F92" s="1065" t="s">
        <v>712</v>
      </c>
      <c r="G92" s="1075" t="s">
        <v>713</v>
      </c>
      <c r="H92" s="1075" t="s">
        <v>714</v>
      </c>
      <c r="I92" s="1068">
        <f>Table1[[#This Row],[Date]]</f>
        <v>41149</v>
      </c>
      <c r="J92" s="46"/>
      <c r="K92" s="46"/>
    </row>
    <row r="93" spans="2:11" ht="42.75">
      <c r="B93" s="1067">
        <v>91</v>
      </c>
      <c r="C93" s="1068">
        <v>41149</v>
      </c>
      <c r="D93" s="1080" t="s">
        <v>585</v>
      </c>
      <c r="E93" s="1080" t="s">
        <v>368</v>
      </c>
      <c r="F93" s="1065" t="s">
        <v>715</v>
      </c>
      <c r="G93" s="1075" t="s">
        <v>716</v>
      </c>
      <c r="H93" s="1075" t="s">
        <v>717</v>
      </c>
      <c r="I93" s="1068">
        <f>Table1[[#This Row],[Date]]</f>
        <v>41149</v>
      </c>
      <c r="J93" s="46"/>
      <c r="K93" s="46"/>
    </row>
    <row r="94" spans="2:11" ht="42.75">
      <c r="B94" s="1067">
        <v>92</v>
      </c>
      <c r="C94" s="1068">
        <v>41149</v>
      </c>
      <c r="D94" s="1080" t="s">
        <v>585</v>
      </c>
      <c r="E94" s="1080" t="s">
        <v>368</v>
      </c>
      <c r="F94" s="1065" t="s">
        <v>658</v>
      </c>
      <c r="G94" s="1075" t="s">
        <v>716</v>
      </c>
      <c r="H94" s="1075" t="s">
        <v>717</v>
      </c>
      <c r="I94" s="1068">
        <f>Table1[[#This Row],[Date]]</f>
        <v>41149</v>
      </c>
      <c r="J94" s="46"/>
      <c r="K94" s="46"/>
    </row>
    <row r="95" spans="2:11" ht="28.5">
      <c r="B95" s="1067">
        <v>93</v>
      </c>
      <c r="C95" s="1068">
        <v>41149</v>
      </c>
      <c r="D95" s="1080" t="s">
        <v>585</v>
      </c>
      <c r="E95" s="1080" t="s">
        <v>368</v>
      </c>
      <c r="F95" s="1065" t="s">
        <v>718</v>
      </c>
      <c r="G95" s="1075" t="s">
        <v>728</v>
      </c>
      <c r="H95" s="1075" t="s">
        <v>729</v>
      </c>
      <c r="I95" s="1068">
        <f>Table1[[#This Row],[Date]]</f>
        <v>41149</v>
      </c>
      <c r="J95" s="46"/>
      <c r="K95" s="46"/>
    </row>
    <row r="96" spans="2:11" ht="28.5">
      <c r="B96" s="1067">
        <v>94</v>
      </c>
      <c r="C96" s="1068">
        <v>41149</v>
      </c>
      <c r="D96" s="1080" t="s">
        <v>585</v>
      </c>
      <c r="E96" s="1080" t="s">
        <v>368</v>
      </c>
      <c r="F96" s="1065" t="s">
        <v>719</v>
      </c>
      <c r="G96" s="1075" t="s">
        <v>728</v>
      </c>
      <c r="H96" s="1075" t="s">
        <v>730</v>
      </c>
      <c r="I96" s="1068">
        <f>Table1[[#This Row],[Date]]</f>
        <v>41149</v>
      </c>
      <c r="J96" s="46"/>
      <c r="K96" s="46"/>
    </row>
    <row r="97" spans="2:30" ht="28.5">
      <c r="B97" s="1067">
        <v>95</v>
      </c>
      <c r="C97" s="1068">
        <v>41149</v>
      </c>
      <c r="D97" s="1080" t="s">
        <v>585</v>
      </c>
      <c r="E97" s="1080" t="s">
        <v>368</v>
      </c>
      <c r="F97" s="1065" t="s">
        <v>720</v>
      </c>
      <c r="G97" s="1075" t="s">
        <v>728</v>
      </c>
      <c r="H97" s="1075" t="s">
        <v>731</v>
      </c>
      <c r="I97" s="1068">
        <f>Table1[[#This Row],[Date]]</f>
        <v>41149</v>
      </c>
      <c r="J97" s="46"/>
      <c r="K97" s="46"/>
    </row>
    <row r="98" spans="2:30" ht="28.5">
      <c r="B98" s="1067">
        <v>96</v>
      </c>
      <c r="C98" s="1068">
        <v>41149</v>
      </c>
      <c r="D98" s="1080" t="s">
        <v>585</v>
      </c>
      <c r="E98" s="1080" t="s">
        <v>368</v>
      </c>
      <c r="F98" s="1065" t="s">
        <v>721</v>
      </c>
      <c r="G98" s="1075" t="s">
        <v>728</v>
      </c>
      <c r="H98" s="1075" t="s">
        <v>732</v>
      </c>
      <c r="I98" s="1068">
        <f>Table1[[#This Row],[Date]]</f>
        <v>41149</v>
      </c>
      <c r="J98" s="46"/>
      <c r="K98" s="46"/>
    </row>
    <row r="99" spans="2:30" ht="28.5">
      <c r="B99" s="1067">
        <v>97</v>
      </c>
      <c r="C99" s="1068">
        <v>41149</v>
      </c>
      <c r="D99" s="1080" t="s">
        <v>585</v>
      </c>
      <c r="E99" s="1080" t="s">
        <v>368</v>
      </c>
      <c r="F99" s="1065" t="s">
        <v>722</v>
      </c>
      <c r="G99" s="1075" t="s">
        <v>728</v>
      </c>
      <c r="H99" s="1075" t="s">
        <v>733</v>
      </c>
      <c r="I99" s="1068">
        <f>Table1[[#This Row],[Date]]</f>
        <v>41149</v>
      </c>
      <c r="J99" s="46"/>
      <c r="K99" s="46"/>
    </row>
    <row r="100" spans="2:30" ht="28.5">
      <c r="B100" s="1067">
        <v>98</v>
      </c>
      <c r="C100" s="1068">
        <v>41149</v>
      </c>
      <c r="D100" s="1080" t="s">
        <v>585</v>
      </c>
      <c r="E100" s="1080" t="s">
        <v>368</v>
      </c>
      <c r="F100" s="1065" t="s">
        <v>723</v>
      </c>
      <c r="G100" s="1075" t="s">
        <v>728</v>
      </c>
      <c r="H100" s="1075" t="s">
        <v>734</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585</v>
      </c>
      <c r="E101" s="1080" t="s">
        <v>368</v>
      </c>
      <c r="F101" s="1065" t="s">
        <v>724</v>
      </c>
      <c r="G101" s="1075" t="s">
        <v>728</v>
      </c>
      <c r="H101" s="1075" t="s">
        <v>735</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585</v>
      </c>
      <c r="E102" s="1080" t="s">
        <v>368</v>
      </c>
      <c r="F102" s="1065" t="s">
        <v>725</v>
      </c>
      <c r="G102" s="1075" t="s">
        <v>728</v>
      </c>
      <c r="H102" s="1075" t="s">
        <v>736</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585</v>
      </c>
      <c r="E103" s="1080" t="s">
        <v>368</v>
      </c>
      <c r="F103" s="1065" t="s">
        <v>726</v>
      </c>
      <c r="G103" s="1075" t="s">
        <v>728</v>
      </c>
      <c r="H103" s="1075" t="s">
        <v>737</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585</v>
      </c>
      <c r="E104" s="1080" t="s">
        <v>368</v>
      </c>
      <c r="F104" s="1065" t="s">
        <v>727</v>
      </c>
      <c r="G104" s="1075" t="s">
        <v>728</v>
      </c>
      <c r="H104" s="1075" t="s">
        <v>738</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585</v>
      </c>
      <c r="E105" s="1080" t="s">
        <v>349</v>
      </c>
      <c r="F105" s="1065" t="s">
        <v>587</v>
      </c>
      <c r="G105" s="1075" t="s">
        <v>739</v>
      </c>
      <c r="H105" s="1075" t="s">
        <v>714</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585</v>
      </c>
      <c r="E106" s="1080" t="s">
        <v>349</v>
      </c>
      <c r="F106" s="1065" t="s">
        <v>740</v>
      </c>
      <c r="G106" s="1075" t="s">
        <v>739</v>
      </c>
      <c r="H106" s="1075" t="s">
        <v>714</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585</v>
      </c>
      <c r="E107" s="1080" t="s">
        <v>349</v>
      </c>
      <c r="F107" s="1065" t="s">
        <v>740</v>
      </c>
      <c r="G107" s="1075" t="s">
        <v>741</v>
      </c>
      <c r="H107" s="1075" t="s">
        <v>742</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585</v>
      </c>
      <c r="E108" s="1080" t="s">
        <v>349</v>
      </c>
      <c r="F108" s="1065" t="s">
        <v>744</v>
      </c>
      <c r="G108" s="1075" t="s">
        <v>745</v>
      </c>
      <c r="H108" s="1075" t="s">
        <v>746</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585</v>
      </c>
      <c r="E109" s="1080" t="s">
        <v>349</v>
      </c>
      <c r="F109" s="1065" t="s">
        <v>747</v>
      </c>
      <c r="G109" s="1075" t="s">
        <v>745</v>
      </c>
      <c r="H109" s="1075" t="s">
        <v>748</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585</v>
      </c>
      <c r="E110" s="1080" t="s">
        <v>349</v>
      </c>
      <c r="F110" s="1065" t="s">
        <v>650</v>
      </c>
      <c r="G110" s="1075" t="s">
        <v>749</v>
      </c>
      <c r="H110" s="1075" t="s">
        <v>750</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585</v>
      </c>
      <c r="E111" s="1080" t="s">
        <v>349</v>
      </c>
      <c r="F111" s="1065" t="s">
        <v>722</v>
      </c>
      <c r="G111" s="1075" t="s">
        <v>754</v>
      </c>
      <c r="H111" s="1075" t="s">
        <v>755</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585</v>
      </c>
      <c r="E112" s="1080" t="s">
        <v>349</v>
      </c>
      <c r="F112" s="1065" t="s">
        <v>761</v>
      </c>
      <c r="G112" s="1075" t="s">
        <v>627</v>
      </c>
      <c r="H112" s="1075" t="s">
        <v>628</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585</v>
      </c>
      <c r="E113" s="1080" t="s">
        <v>349</v>
      </c>
      <c r="F113" s="1065" t="s">
        <v>764</v>
      </c>
      <c r="G113" s="1075" t="s">
        <v>745</v>
      </c>
      <c r="H113" s="1075" t="s">
        <v>748</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585</v>
      </c>
      <c r="E114" s="1080" t="s">
        <v>440</v>
      </c>
      <c r="F114" s="1065" t="s">
        <v>753</v>
      </c>
      <c r="G114" s="1075" t="s">
        <v>751</v>
      </c>
      <c r="H114" s="1075" t="s">
        <v>752</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585</v>
      </c>
      <c r="E115" s="1080" t="s">
        <v>440</v>
      </c>
      <c r="F115" s="1065" t="s">
        <v>756</v>
      </c>
      <c r="G115" s="1075" t="s">
        <v>757</v>
      </c>
      <c r="H115" s="1075" t="s">
        <v>758</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585</v>
      </c>
      <c r="E116" s="1080" t="s">
        <v>368</v>
      </c>
      <c r="F116" s="1065" t="s">
        <v>587</v>
      </c>
      <c r="G116" s="1075" t="s">
        <v>759</v>
      </c>
      <c r="H116" s="1075" t="s">
        <v>760</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585</v>
      </c>
      <c r="E117" s="1080" t="s">
        <v>349</v>
      </c>
      <c r="F117" s="1065" t="s">
        <v>765</v>
      </c>
      <c r="G117" s="1075" t="s">
        <v>745</v>
      </c>
      <c r="H117" s="1075" t="s">
        <v>748</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585</v>
      </c>
      <c r="E118" s="1080" t="s">
        <v>349</v>
      </c>
      <c r="F118" s="1065" t="s">
        <v>766</v>
      </c>
      <c r="G118" s="1075" t="s">
        <v>749</v>
      </c>
      <c r="H118" s="1075" t="s">
        <v>750</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585</v>
      </c>
      <c r="E119" s="1080" t="s">
        <v>100</v>
      </c>
      <c r="F119" s="1065" t="s">
        <v>587</v>
      </c>
      <c r="G119" s="1075" t="s">
        <v>739</v>
      </c>
      <c r="H119" s="1075" t="s">
        <v>714</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585</v>
      </c>
      <c r="E120" s="1080" t="s">
        <v>100</v>
      </c>
      <c r="F120" s="1065" t="s">
        <v>601</v>
      </c>
      <c r="G120" s="1075" t="s">
        <v>739</v>
      </c>
      <c r="H120" s="1075" t="s">
        <v>714</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585</v>
      </c>
      <c r="E121" s="1080" t="s">
        <v>100</v>
      </c>
      <c r="F121" s="1065" t="s">
        <v>767</v>
      </c>
      <c r="G121" s="1075" t="s">
        <v>739</v>
      </c>
      <c r="H121" s="1075" t="s">
        <v>714</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585</v>
      </c>
      <c r="E122" s="1080" t="s">
        <v>100</v>
      </c>
      <c r="F122" s="1065" t="s">
        <v>770</v>
      </c>
      <c r="G122" s="1075" t="s">
        <v>745</v>
      </c>
      <c r="H122" s="1075" t="s">
        <v>748</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585</v>
      </c>
      <c r="E123" s="1080" t="s">
        <v>100</v>
      </c>
      <c r="F123" s="1065" t="s">
        <v>744</v>
      </c>
      <c r="G123" s="1075" t="s">
        <v>745</v>
      </c>
      <c r="H123" s="1075" t="s">
        <v>771</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585</v>
      </c>
      <c r="E124" s="1080" t="s">
        <v>100</v>
      </c>
      <c r="F124" s="1065" t="s">
        <v>772</v>
      </c>
      <c r="G124" s="1075" t="s">
        <v>749</v>
      </c>
      <c r="H124" s="1075" t="s">
        <v>773</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585</v>
      </c>
      <c r="E125" s="1080" t="s">
        <v>100</v>
      </c>
      <c r="F125" s="1065" t="s">
        <v>774</v>
      </c>
      <c r="G125" s="1075" t="s">
        <v>775</v>
      </c>
      <c r="H125" s="1075" t="s">
        <v>776</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585</v>
      </c>
      <c r="E126" s="1080" t="s">
        <v>100</v>
      </c>
      <c r="F126" s="1065" t="s">
        <v>719</v>
      </c>
      <c r="G126" s="1075" t="s">
        <v>777</v>
      </c>
      <c r="H126" s="1075" t="s">
        <v>778</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585</v>
      </c>
      <c r="E127" s="1080" t="s">
        <v>100</v>
      </c>
      <c r="F127" s="1065" t="s">
        <v>720</v>
      </c>
      <c r="G127" s="1075" t="s">
        <v>779</v>
      </c>
      <c r="H127" s="1075" t="s">
        <v>780</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585</v>
      </c>
      <c r="E128" s="1080" t="s">
        <v>100</v>
      </c>
      <c r="F128" s="1065" t="s">
        <v>726</v>
      </c>
      <c r="G128" s="1075" t="s">
        <v>779</v>
      </c>
      <c r="H128" s="1075" t="s">
        <v>780</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585</v>
      </c>
      <c r="E129" s="1080" t="s">
        <v>100</v>
      </c>
      <c r="F129" s="1065" t="s">
        <v>727</v>
      </c>
      <c r="G129" s="1075" t="s">
        <v>781</v>
      </c>
      <c r="H129" s="1075" t="s">
        <v>782</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585</v>
      </c>
      <c r="E130" s="1080" t="s">
        <v>100</v>
      </c>
      <c r="F130" s="1065" t="s">
        <v>783</v>
      </c>
      <c r="G130" s="1075" t="s">
        <v>779</v>
      </c>
      <c r="H130" s="1075" t="s">
        <v>780</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585</v>
      </c>
      <c r="E131" s="1080" t="s">
        <v>100</v>
      </c>
      <c r="F131" s="1065" t="s">
        <v>784</v>
      </c>
      <c r="G131" s="1075" t="s">
        <v>785</v>
      </c>
      <c r="H131" s="1075" t="s">
        <v>786</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585</v>
      </c>
      <c r="E132" s="1080" t="s">
        <v>100</v>
      </c>
      <c r="F132" s="1065" t="s">
        <v>787</v>
      </c>
      <c r="G132" s="1075" t="s">
        <v>749</v>
      </c>
      <c r="H132" s="1075" t="s">
        <v>773</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585</v>
      </c>
      <c r="E133" s="1080" t="s">
        <v>100</v>
      </c>
      <c r="F133" s="1065" t="s">
        <v>788</v>
      </c>
      <c r="G133" s="1075" t="s">
        <v>627</v>
      </c>
      <c r="H133" s="1075" t="s">
        <v>628</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585</v>
      </c>
      <c r="E134" s="1080" t="s">
        <v>100</v>
      </c>
      <c r="F134" s="1065" t="s">
        <v>601</v>
      </c>
      <c r="G134" s="1075" t="s">
        <v>588</v>
      </c>
      <c r="H134" s="1075" t="s">
        <v>789</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585</v>
      </c>
      <c r="E135" s="1080" t="s">
        <v>101</v>
      </c>
      <c r="F135" s="1065" t="s">
        <v>587</v>
      </c>
      <c r="G135" s="1075" t="s">
        <v>739</v>
      </c>
      <c r="H135" s="1075" t="s">
        <v>714</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585</v>
      </c>
      <c r="E136" s="1080" t="s">
        <v>101</v>
      </c>
      <c r="F136" s="1065" t="s">
        <v>612</v>
      </c>
      <c r="G136" s="1075" t="s">
        <v>739</v>
      </c>
      <c r="H136" s="1075" t="s">
        <v>714</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585</v>
      </c>
      <c r="E137" s="1080" t="s">
        <v>101</v>
      </c>
      <c r="F137" s="1065" t="s">
        <v>612</v>
      </c>
      <c r="G137" s="1075" t="s">
        <v>790</v>
      </c>
      <c r="H137" s="1075" t="s">
        <v>791</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585</v>
      </c>
      <c r="E138" s="1080" t="s">
        <v>101</v>
      </c>
      <c r="F138" s="1065" t="s">
        <v>631</v>
      </c>
      <c r="G138" s="1075" t="s">
        <v>745</v>
      </c>
      <c r="H138" s="1075" t="s">
        <v>793</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585</v>
      </c>
      <c r="E139" s="1080" t="s">
        <v>101</v>
      </c>
      <c r="F139" s="1065" t="s">
        <v>630</v>
      </c>
      <c r="G139" s="1075" t="s">
        <v>794</v>
      </c>
      <c r="H139" s="1075" t="s">
        <v>795</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585</v>
      </c>
      <c r="E140" s="1080" t="s">
        <v>101</v>
      </c>
      <c r="F140" s="1065" t="s">
        <v>632</v>
      </c>
      <c r="G140" s="1075" t="s">
        <v>604</v>
      </c>
      <c r="H140" s="1075" t="s">
        <v>605</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585</v>
      </c>
      <c r="E141" s="1080" t="s">
        <v>101</v>
      </c>
      <c r="F141" s="1065" t="s">
        <v>633</v>
      </c>
      <c r="G141" s="1075" t="s">
        <v>604</v>
      </c>
      <c r="H141" s="1075" t="s">
        <v>605</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585</v>
      </c>
      <c r="E142" s="1080" t="s">
        <v>101</v>
      </c>
      <c r="F142" s="1065" t="s">
        <v>634</v>
      </c>
      <c r="G142" s="1075" t="s">
        <v>604</v>
      </c>
      <c r="H142" s="1075" t="s">
        <v>605</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585</v>
      </c>
      <c r="E143" s="1080" t="s">
        <v>101</v>
      </c>
      <c r="F143" s="1065" t="s">
        <v>635</v>
      </c>
      <c r="G143" s="1075" t="s">
        <v>604</v>
      </c>
      <c r="H143" s="1075" t="s">
        <v>605</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585</v>
      </c>
      <c r="E144" s="1080" t="s">
        <v>101</v>
      </c>
      <c r="F144" s="1065" t="s">
        <v>723</v>
      </c>
      <c r="G144" s="1075" t="s">
        <v>627</v>
      </c>
      <c r="H144" s="1075" t="s">
        <v>628</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585</v>
      </c>
      <c r="E145" s="1080" t="s">
        <v>101</v>
      </c>
      <c r="F145" s="1065" t="s">
        <v>796</v>
      </c>
      <c r="G145" s="1075" t="s">
        <v>749</v>
      </c>
      <c r="H145" s="1075" t="s">
        <v>773</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585</v>
      </c>
      <c r="E146" s="1080" t="s">
        <v>367</v>
      </c>
      <c r="F146" s="1065" t="s">
        <v>797</v>
      </c>
      <c r="G146" s="1075" t="s">
        <v>799</v>
      </c>
      <c r="H146" s="1075" t="s">
        <v>800</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585</v>
      </c>
      <c r="E147" s="1080" t="s">
        <v>367</v>
      </c>
      <c r="F147" s="1065" t="s">
        <v>798</v>
      </c>
      <c r="G147" s="1075" t="s">
        <v>799</v>
      </c>
      <c r="H147" s="1075" t="s">
        <v>801</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585</v>
      </c>
      <c r="E148" s="1080" t="s">
        <v>368</v>
      </c>
      <c r="F148" s="1065" t="s">
        <v>798</v>
      </c>
      <c r="G148" s="1075" t="s">
        <v>802</v>
      </c>
      <c r="H148" s="1075" t="s">
        <v>803</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585</v>
      </c>
      <c r="E149" s="1080" t="s">
        <v>100</v>
      </c>
      <c r="F149" s="1065" t="s">
        <v>798</v>
      </c>
      <c r="G149" s="1075" t="s">
        <v>804</v>
      </c>
      <c r="H149" s="1075" t="s">
        <v>805</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585</v>
      </c>
      <c r="E150" s="1080" t="s">
        <v>101</v>
      </c>
      <c r="F150" s="1065" t="s">
        <v>798</v>
      </c>
      <c r="G150" s="1075" t="s">
        <v>804</v>
      </c>
      <c r="H150" s="1075" t="s">
        <v>806</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585</v>
      </c>
      <c r="E151" s="1080" t="s">
        <v>298</v>
      </c>
      <c r="F151" s="1065" t="s">
        <v>807</v>
      </c>
      <c r="G151" s="1075" t="s">
        <v>739</v>
      </c>
      <c r="H151" s="1075" t="s">
        <v>714</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585</v>
      </c>
      <c r="E152" s="1080" t="s">
        <v>298</v>
      </c>
      <c r="F152" s="1065" t="s">
        <v>590</v>
      </c>
      <c r="G152" s="1075" t="s">
        <v>739</v>
      </c>
      <c r="H152" s="1075" t="s">
        <v>714</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585</v>
      </c>
      <c r="E153" s="1080" t="s">
        <v>298</v>
      </c>
      <c r="F153" s="1065" t="s">
        <v>587</v>
      </c>
      <c r="G153" s="1075" t="s">
        <v>739</v>
      </c>
      <c r="H153" s="1075" t="s">
        <v>714</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585</v>
      </c>
      <c r="E154" s="1080" t="s">
        <v>298</v>
      </c>
      <c r="F154" s="1065" t="s">
        <v>590</v>
      </c>
      <c r="G154" s="1075" t="s">
        <v>808</v>
      </c>
      <c r="H154" s="1075" t="s">
        <v>809</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585</v>
      </c>
      <c r="E155" s="1080" t="s">
        <v>298</v>
      </c>
      <c r="F155" s="1065" t="s">
        <v>807</v>
      </c>
      <c r="G155" s="1075" t="s">
        <v>810</v>
      </c>
      <c r="H155" s="1075" t="s">
        <v>811</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585</v>
      </c>
      <c r="E156" s="1080" t="s">
        <v>298</v>
      </c>
      <c r="F156" s="1065" t="s">
        <v>812</v>
      </c>
      <c r="G156" s="1075" t="s">
        <v>813</v>
      </c>
      <c r="H156" s="1075" t="s">
        <v>814</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585</v>
      </c>
      <c r="E157" s="1080" t="s">
        <v>298</v>
      </c>
      <c r="F157" s="1065" t="s">
        <v>747</v>
      </c>
      <c r="G157" s="1075" t="s">
        <v>815</v>
      </c>
      <c r="H157" s="1075" t="s">
        <v>816</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585</v>
      </c>
      <c r="E158" s="1080" t="s">
        <v>298</v>
      </c>
      <c r="F158" s="1065" t="s">
        <v>819</v>
      </c>
      <c r="G158" s="1075" t="s">
        <v>749</v>
      </c>
      <c r="H158" s="1075" t="s">
        <v>773</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585</v>
      </c>
      <c r="E159" s="1080" t="s">
        <v>298</v>
      </c>
      <c r="F159" s="1065" t="s">
        <v>820</v>
      </c>
      <c r="G159" s="1075" t="s">
        <v>821</v>
      </c>
      <c r="H159" s="1075" t="s">
        <v>822</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585</v>
      </c>
      <c r="E160" s="1080" t="s">
        <v>586</v>
      </c>
      <c r="F160" s="1065" t="s">
        <v>817</v>
      </c>
      <c r="G160" s="1075" t="s">
        <v>818</v>
      </c>
      <c r="H160" s="1075" t="s">
        <v>711</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585</v>
      </c>
      <c r="E161" s="1080" t="s">
        <v>298</v>
      </c>
      <c r="F161" s="1065" t="s">
        <v>672</v>
      </c>
      <c r="G161" s="1075" t="s">
        <v>826</v>
      </c>
      <c r="H161" s="1075" t="s">
        <v>711</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585</v>
      </c>
      <c r="E162" s="1080" t="s">
        <v>298</v>
      </c>
      <c r="F162" s="1065" t="s">
        <v>677</v>
      </c>
      <c r="G162" s="1075" t="s">
        <v>826</v>
      </c>
      <c r="H162" s="1075" t="s">
        <v>711</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585</v>
      </c>
      <c r="E163" s="1080" t="s">
        <v>298</v>
      </c>
      <c r="F163" s="1065" t="s">
        <v>678</v>
      </c>
      <c r="G163" s="1075" t="s">
        <v>826</v>
      </c>
      <c r="H163" s="1075" t="s">
        <v>711</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585</v>
      </c>
      <c r="E164" s="1080" t="s">
        <v>298</v>
      </c>
      <c r="F164" s="1065" t="s">
        <v>679</v>
      </c>
      <c r="G164" s="1075" t="s">
        <v>826</v>
      </c>
      <c r="H164" s="1075" t="s">
        <v>711</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585</v>
      </c>
      <c r="E165" s="1080" t="s">
        <v>298</v>
      </c>
      <c r="F165" s="1065" t="s">
        <v>680</v>
      </c>
      <c r="G165" s="1075" t="s">
        <v>826</v>
      </c>
      <c r="H165" s="1075" t="s">
        <v>711</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585</v>
      </c>
      <c r="E166" s="1080" t="s">
        <v>298</v>
      </c>
      <c r="F166" s="1065" t="s">
        <v>681</v>
      </c>
      <c r="G166" s="1075" t="s">
        <v>825</v>
      </c>
      <c r="H166" s="1075" t="s">
        <v>696</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585</v>
      </c>
      <c r="E167" s="1080" t="s">
        <v>298</v>
      </c>
      <c r="F167" s="1065" t="s">
        <v>682</v>
      </c>
      <c r="G167" s="1075" t="s">
        <v>825</v>
      </c>
      <c r="H167" s="1075" t="s">
        <v>696</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585</v>
      </c>
      <c r="E168" s="1080" t="s">
        <v>298</v>
      </c>
      <c r="F168" s="1065" t="s">
        <v>824</v>
      </c>
      <c r="G168" s="1075" t="s">
        <v>827</v>
      </c>
      <c r="H168" s="1075" t="s">
        <v>828</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585</v>
      </c>
      <c r="E169" s="1080" t="s">
        <v>298</v>
      </c>
      <c r="F169" s="1065" t="s">
        <v>829</v>
      </c>
      <c r="G169" s="1075" t="s">
        <v>827</v>
      </c>
      <c r="H169" s="1075" t="s">
        <v>828</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585</v>
      </c>
      <c r="E170" s="1080" t="s">
        <v>298</v>
      </c>
      <c r="F170" s="1065" t="s">
        <v>830</v>
      </c>
      <c r="G170" s="1075" t="s">
        <v>827</v>
      </c>
      <c r="H170" s="1075" t="s">
        <v>828</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585</v>
      </c>
      <c r="E171" s="1080" t="s">
        <v>298</v>
      </c>
      <c r="F171" s="1065" t="s">
        <v>831</v>
      </c>
      <c r="G171" s="1075" t="s">
        <v>827</v>
      </c>
      <c r="H171" s="1075" t="s">
        <v>828</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585</v>
      </c>
      <c r="E172" s="1080" t="s">
        <v>298</v>
      </c>
      <c r="F172" s="1065" t="s">
        <v>832</v>
      </c>
      <c r="G172" s="1075" t="s">
        <v>827</v>
      </c>
      <c r="H172" s="1075" t="s">
        <v>828</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585</v>
      </c>
      <c r="E173" s="1080" t="s">
        <v>298</v>
      </c>
      <c r="F173" s="1065" t="s">
        <v>833</v>
      </c>
      <c r="G173" s="1075" t="s">
        <v>827</v>
      </c>
      <c r="H173" s="1075" t="s">
        <v>828</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585</v>
      </c>
      <c r="E174" s="1080" t="s">
        <v>298</v>
      </c>
      <c r="F174" s="1065" t="s">
        <v>834</v>
      </c>
      <c r="G174" s="1075" t="s">
        <v>827</v>
      </c>
      <c r="H174" s="1075" t="s">
        <v>828</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585</v>
      </c>
      <c r="E175" s="1080" t="s">
        <v>298</v>
      </c>
      <c r="F175" s="1065" t="s">
        <v>835</v>
      </c>
      <c r="G175" s="1075" t="s">
        <v>827</v>
      </c>
      <c r="H175" s="1075" t="s">
        <v>828</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585</v>
      </c>
      <c r="E176" s="1080" t="s">
        <v>298</v>
      </c>
      <c r="F176" s="1065" t="s">
        <v>836</v>
      </c>
      <c r="G176" s="1075" t="s">
        <v>827</v>
      </c>
      <c r="H176" s="1075" t="s">
        <v>828</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585</v>
      </c>
      <c r="E177" s="1080" t="s">
        <v>298</v>
      </c>
      <c r="F177" s="1065" t="s">
        <v>837</v>
      </c>
      <c r="G177" s="1075" t="s">
        <v>827</v>
      </c>
      <c r="H177" s="1075" t="s">
        <v>828</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585</v>
      </c>
      <c r="E178" s="1080" t="s">
        <v>298</v>
      </c>
      <c r="F178" s="1065" t="s">
        <v>838</v>
      </c>
      <c r="G178" s="1075" t="s">
        <v>826</v>
      </c>
      <c r="H178" s="1075" t="s">
        <v>711</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585</v>
      </c>
      <c r="E179" s="1080" t="s">
        <v>298</v>
      </c>
      <c r="F179" s="1065" t="s">
        <v>839</v>
      </c>
      <c r="G179" s="1075" t="s">
        <v>749</v>
      </c>
      <c r="H179" s="1075" t="s">
        <v>773</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585</v>
      </c>
      <c r="E180" s="1080" t="s">
        <v>298</v>
      </c>
      <c r="F180" s="1065" t="s">
        <v>841</v>
      </c>
      <c r="G180" s="1075" t="s">
        <v>804</v>
      </c>
      <c r="H180" s="1075" t="s">
        <v>806</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585</v>
      </c>
      <c r="E181" s="1080" t="s">
        <v>298</v>
      </c>
      <c r="F181" s="1065" t="s">
        <v>842</v>
      </c>
      <c r="G181" s="1075" t="s">
        <v>627</v>
      </c>
      <c r="H181" s="1075" t="s">
        <v>628</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585</v>
      </c>
      <c r="E182" s="1080" t="s">
        <v>102</v>
      </c>
      <c r="F182" s="1065" t="s">
        <v>843</v>
      </c>
      <c r="G182" s="1075" t="s">
        <v>844</v>
      </c>
      <c r="H182" s="1075" t="s">
        <v>845</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585</v>
      </c>
      <c r="E183" s="1080" t="s">
        <v>102</v>
      </c>
      <c r="F183" s="1065" t="s">
        <v>587</v>
      </c>
      <c r="G183" s="1075" t="s">
        <v>739</v>
      </c>
      <c r="H183" s="1075" t="s">
        <v>714</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585</v>
      </c>
      <c r="E184" s="1080" t="s">
        <v>102</v>
      </c>
      <c r="F184" s="1065" t="s">
        <v>843</v>
      </c>
      <c r="G184" s="1075" t="s">
        <v>739</v>
      </c>
      <c r="H184" s="1075" t="s">
        <v>714</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585</v>
      </c>
      <c r="E185" s="1080" t="s">
        <v>102</v>
      </c>
      <c r="F185" s="1065" t="s">
        <v>847</v>
      </c>
      <c r="G185" s="1075" t="s">
        <v>804</v>
      </c>
      <c r="H185" s="1075" t="s">
        <v>805</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585</v>
      </c>
      <c r="E186" s="1080" t="s">
        <v>102</v>
      </c>
      <c r="F186" s="1065" t="s">
        <v>848</v>
      </c>
      <c r="G186" s="1075" t="s">
        <v>745</v>
      </c>
      <c r="H186" s="1075" t="s">
        <v>793</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585</v>
      </c>
      <c r="E187" s="1080" t="s">
        <v>102</v>
      </c>
      <c r="F187" s="1065" t="s">
        <v>849</v>
      </c>
      <c r="G187" s="1075" t="s">
        <v>745</v>
      </c>
      <c r="H187" s="1075" t="s">
        <v>793</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585</v>
      </c>
      <c r="E188" s="1080" t="s">
        <v>102</v>
      </c>
      <c r="F188" s="1065" t="s">
        <v>656</v>
      </c>
      <c r="G188" s="1075" t="s">
        <v>749</v>
      </c>
      <c r="H188" s="1075" t="s">
        <v>773</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585</v>
      </c>
      <c r="E189" s="1080" t="s">
        <v>102</v>
      </c>
      <c r="F189" s="1065" t="s">
        <v>850</v>
      </c>
      <c r="G189" s="1075" t="s">
        <v>749</v>
      </c>
      <c r="H189" s="1075" t="s">
        <v>773</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585</v>
      </c>
      <c r="E190" s="1080" t="s">
        <v>102</v>
      </c>
      <c r="F190" s="1065" t="s">
        <v>851</v>
      </c>
      <c r="G190" s="1075" t="s">
        <v>852</v>
      </c>
      <c r="H190" s="1075" t="s">
        <v>853</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585</v>
      </c>
      <c r="E191" s="1080" t="s">
        <v>102</v>
      </c>
      <c r="F191" s="1065" t="s">
        <v>854</v>
      </c>
      <c r="G191" s="1075" t="s">
        <v>852</v>
      </c>
      <c r="H191" s="1075" t="s">
        <v>856</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585</v>
      </c>
      <c r="E192" s="1080" t="s">
        <v>102</v>
      </c>
      <c r="F192" s="1065" t="s">
        <v>855</v>
      </c>
      <c r="G192" s="1075" t="s">
        <v>852</v>
      </c>
      <c r="H192" s="1075" t="s">
        <v>857</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585</v>
      </c>
      <c r="E193" s="1087" t="s">
        <v>102</v>
      </c>
      <c r="F193" s="1065" t="s">
        <v>858</v>
      </c>
      <c r="G193" s="1075" t="s">
        <v>859</v>
      </c>
      <c r="H193" s="1075" t="s">
        <v>860</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585</v>
      </c>
      <c r="E194" s="1087" t="s">
        <v>102</v>
      </c>
      <c r="F194" s="1065" t="s">
        <v>681</v>
      </c>
      <c r="G194" s="1075" t="s">
        <v>775</v>
      </c>
      <c r="H194" s="1075" t="s">
        <v>861</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585</v>
      </c>
      <c r="E195" s="1087" t="s">
        <v>102</v>
      </c>
      <c r="F195" s="1065" t="s">
        <v>718</v>
      </c>
      <c r="G195" s="1075" t="s">
        <v>863</v>
      </c>
      <c r="H195" s="1075" t="s">
        <v>864</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585</v>
      </c>
      <c r="E196" s="1087" t="s">
        <v>102</v>
      </c>
      <c r="F196" s="1065" t="s">
        <v>682</v>
      </c>
      <c r="G196" s="1075" t="s">
        <v>826</v>
      </c>
      <c r="H196" s="1075" t="s">
        <v>711</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585</v>
      </c>
      <c r="E197" s="1087" t="s">
        <v>102</v>
      </c>
      <c r="F197" s="1065" t="s">
        <v>683</v>
      </c>
      <c r="G197" s="1075" t="s">
        <v>826</v>
      </c>
      <c r="H197" s="1075" t="s">
        <v>711</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585</v>
      </c>
      <c r="E198" s="1087" t="s">
        <v>102</v>
      </c>
      <c r="F198" s="1065" t="s">
        <v>865</v>
      </c>
      <c r="G198" s="1075" t="s">
        <v>826</v>
      </c>
      <c r="H198" s="1075" t="s">
        <v>711</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585</v>
      </c>
      <c r="E199" s="1087" t="s">
        <v>102</v>
      </c>
      <c r="F199" s="1065" t="s">
        <v>820</v>
      </c>
      <c r="G199" s="1075" t="s">
        <v>826</v>
      </c>
      <c r="H199" s="1075" t="s">
        <v>711</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585</v>
      </c>
      <c r="E200" s="1087" t="s">
        <v>102</v>
      </c>
      <c r="F200" s="1065" t="s">
        <v>866</v>
      </c>
      <c r="G200" s="1075" t="s">
        <v>826</v>
      </c>
      <c r="H200" s="1075" t="s">
        <v>711</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585</v>
      </c>
      <c r="E201" s="1087" t="s">
        <v>102</v>
      </c>
      <c r="F201" s="1065" t="s">
        <v>867</v>
      </c>
      <c r="G201" s="1075" t="s">
        <v>825</v>
      </c>
      <c r="H201" s="1075" t="s">
        <v>696</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585</v>
      </c>
      <c r="E202" s="1087" t="s">
        <v>102</v>
      </c>
      <c r="F202" s="1065" t="s">
        <v>868</v>
      </c>
      <c r="G202" s="1075" t="s">
        <v>825</v>
      </c>
      <c r="H202" s="1075" t="s">
        <v>696</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585</v>
      </c>
      <c r="E203" s="1087" t="s">
        <v>368</v>
      </c>
      <c r="F203" s="1065" t="s">
        <v>727</v>
      </c>
      <c r="G203" s="1075" t="s">
        <v>825</v>
      </c>
      <c r="H203" s="1075" t="s">
        <v>696</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585</v>
      </c>
      <c r="E204" s="1087" t="s">
        <v>102</v>
      </c>
      <c r="F204" s="1065" t="s">
        <v>820</v>
      </c>
      <c r="G204" s="1075" t="s">
        <v>869</v>
      </c>
      <c r="H204" s="1075" t="s">
        <v>870</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585</v>
      </c>
      <c r="E205" s="1087" t="s">
        <v>102</v>
      </c>
      <c r="F205" s="1065" t="s">
        <v>871</v>
      </c>
      <c r="G205" s="1075" t="s">
        <v>627</v>
      </c>
      <c r="H205" s="1075" t="s">
        <v>628</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585</v>
      </c>
      <c r="E206" s="1087" t="s">
        <v>327</v>
      </c>
      <c r="F206" s="1065" t="s">
        <v>587</v>
      </c>
      <c r="G206" s="1075" t="s">
        <v>591</v>
      </c>
      <c r="H206" s="1075" t="s">
        <v>592</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585</v>
      </c>
      <c r="E207" s="1087" t="s">
        <v>327</v>
      </c>
      <c r="F207" s="1065" t="s">
        <v>590</v>
      </c>
      <c r="G207" s="1075" t="s">
        <v>591</v>
      </c>
      <c r="H207" s="1075" t="s">
        <v>592</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585</v>
      </c>
      <c r="E208" s="1087" t="s">
        <v>327</v>
      </c>
      <c r="F208" s="1065" t="s">
        <v>590</v>
      </c>
      <c r="G208" s="1075" t="s">
        <v>872</v>
      </c>
      <c r="H208" s="1075" t="s">
        <v>873</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585</v>
      </c>
      <c r="E209" s="1087" t="s">
        <v>327</v>
      </c>
      <c r="F209" s="1065" t="s">
        <v>655</v>
      </c>
      <c r="G209" s="1075" t="s">
        <v>874</v>
      </c>
      <c r="H209" s="1075" t="s">
        <v>875</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585</v>
      </c>
      <c r="E210" s="1087" t="s">
        <v>102</v>
      </c>
      <c r="F210" s="1065" t="s">
        <v>657</v>
      </c>
      <c r="G210" s="1075" t="s">
        <v>874</v>
      </c>
      <c r="H210" s="1075" t="s">
        <v>875</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585</v>
      </c>
      <c r="E211" s="1087" t="s">
        <v>327</v>
      </c>
      <c r="F211" s="1065" t="s">
        <v>655</v>
      </c>
      <c r="G211" s="1075" t="s">
        <v>876</v>
      </c>
      <c r="H211" s="1075" t="s">
        <v>877</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585</v>
      </c>
      <c r="E212" s="1087" t="s">
        <v>327</v>
      </c>
      <c r="F212" s="1065" t="s">
        <v>878</v>
      </c>
      <c r="G212" s="1075" t="s">
        <v>627</v>
      </c>
      <c r="H212" s="1075" t="s">
        <v>628</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585</v>
      </c>
      <c r="E213" s="1087" t="s">
        <v>326</v>
      </c>
      <c r="F213" s="1065" t="s">
        <v>587</v>
      </c>
      <c r="G213" s="1075" t="s">
        <v>591</v>
      </c>
      <c r="H213" s="1075" t="s">
        <v>592</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585</v>
      </c>
      <c r="E214" s="1087" t="s">
        <v>326</v>
      </c>
      <c r="F214" s="1065" t="s">
        <v>879</v>
      </c>
      <c r="G214" s="1075" t="s">
        <v>591</v>
      </c>
      <c r="H214" s="1075" t="s">
        <v>592</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585</v>
      </c>
      <c r="E215" s="1087" t="s">
        <v>326</v>
      </c>
      <c r="F215" s="1065" t="s">
        <v>879</v>
      </c>
      <c r="G215" s="1075" t="s">
        <v>872</v>
      </c>
      <c r="H215" s="1075" t="s">
        <v>880</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585</v>
      </c>
      <c r="E216" s="1087" t="s">
        <v>326</v>
      </c>
      <c r="F216" s="1065" t="s">
        <v>704</v>
      </c>
      <c r="G216" s="1075" t="s">
        <v>881</v>
      </c>
      <c r="H216" s="1075" t="s">
        <v>882</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585</v>
      </c>
      <c r="E217" s="1087" t="s">
        <v>326</v>
      </c>
      <c r="F217" s="1065" t="s">
        <v>883</v>
      </c>
      <c r="G217" s="1075" t="s">
        <v>745</v>
      </c>
      <c r="H217" s="1075" t="s">
        <v>793</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585</v>
      </c>
      <c r="E218" s="1087" t="s">
        <v>326</v>
      </c>
      <c r="F218" s="1065" t="s">
        <v>884</v>
      </c>
      <c r="G218" s="1075" t="s">
        <v>745</v>
      </c>
      <c r="H218" s="1075" t="s">
        <v>793</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585</v>
      </c>
      <c r="E219" s="1087" t="s">
        <v>327</v>
      </c>
      <c r="F219" s="1065" t="s">
        <v>885</v>
      </c>
      <c r="G219" s="1075" t="s">
        <v>745</v>
      </c>
      <c r="H219" s="1075" t="s">
        <v>793</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585</v>
      </c>
      <c r="E220" s="1087" t="s">
        <v>327</v>
      </c>
      <c r="F220" s="1065" t="s">
        <v>886</v>
      </c>
      <c r="G220" s="1075" t="s">
        <v>745</v>
      </c>
      <c r="H220" s="1075" t="s">
        <v>793</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585</v>
      </c>
      <c r="E221" s="1087" t="s">
        <v>326</v>
      </c>
      <c r="F221" s="1065" t="s">
        <v>887</v>
      </c>
      <c r="G221" s="1075" t="s">
        <v>627</v>
      </c>
      <c r="H221" s="1075" t="s">
        <v>628</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585</v>
      </c>
      <c r="E222" s="1087" t="s">
        <v>326</v>
      </c>
      <c r="F222" s="1065" t="s">
        <v>652</v>
      </c>
      <c r="G222" s="1075" t="s">
        <v>874</v>
      </c>
      <c r="H222" s="1075" t="s">
        <v>875</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585</v>
      </c>
      <c r="E223" s="1087" t="s">
        <v>327</v>
      </c>
      <c r="F223" s="1065" t="s">
        <v>655</v>
      </c>
      <c r="G223" s="1075" t="s">
        <v>888</v>
      </c>
      <c r="H223" s="1075" t="s">
        <v>889</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585</v>
      </c>
      <c r="E224" s="1087" t="s">
        <v>326</v>
      </c>
      <c r="F224" s="1065" t="s">
        <v>652</v>
      </c>
      <c r="G224" s="1075" t="s">
        <v>888</v>
      </c>
      <c r="H224" s="1075" t="s">
        <v>890</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585</v>
      </c>
      <c r="E225" s="1087" t="s">
        <v>369</v>
      </c>
      <c r="F225" s="1065" t="s">
        <v>891</v>
      </c>
      <c r="G225" s="1075" t="s">
        <v>745</v>
      </c>
      <c r="H225" s="1075" t="s">
        <v>793</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585</v>
      </c>
      <c r="E226" s="1087" t="s">
        <v>369</v>
      </c>
      <c r="F226" s="1065" t="s">
        <v>892</v>
      </c>
      <c r="G226" s="1075" t="s">
        <v>745</v>
      </c>
      <c r="H226" s="1075" t="s">
        <v>793</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585</v>
      </c>
      <c r="E227" s="1087" t="s">
        <v>369</v>
      </c>
      <c r="F227" s="1065" t="s">
        <v>893</v>
      </c>
      <c r="G227" s="1075" t="s">
        <v>894</v>
      </c>
      <c r="H227" s="1075" t="s">
        <v>870</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585</v>
      </c>
      <c r="E228" s="1087" t="s">
        <v>369</v>
      </c>
      <c r="F228" s="1065" t="s">
        <v>772</v>
      </c>
      <c r="G228" s="1075" t="s">
        <v>874</v>
      </c>
      <c r="H228" s="1075" t="s">
        <v>875</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585</v>
      </c>
      <c r="E229" s="1087" t="s">
        <v>369</v>
      </c>
      <c r="F229" s="1065" t="s">
        <v>772</v>
      </c>
      <c r="G229" s="1075" t="s">
        <v>896</v>
      </c>
      <c r="H229" s="1075" t="s">
        <v>890</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585</v>
      </c>
      <c r="E230" s="1087" t="s">
        <v>369</v>
      </c>
      <c r="F230" s="1065" t="s">
        <v>887</v>
      </c>
      <c r="G230" s="1075" t="s">
        <v>627</v>
      </c>
      <c r="H230" s="1075" t="s">
        <v>628</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585</v>
      </c>
      <c r="E231" s="1087" t="s">
        <v>369</v>
      </c>
      <c r="F231" s="1065" t="s">
        <v>587</v>
      </c>
      <c r="G231" s="1075" t="s">
        <v>591</v>
      </c>
      <c r="H231" s="1075" t="s">
        <v>592</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585</v>
      </c>
      <c r="E232" s="1087" t="s">
        <v>369</v>
      </c>
      <c r="F232" s="1065" t="s">
        <v>879</v>
      </c>
      <c r="G232" s="1075" t="s">
        <v>591</v>
      </c>
      <c r="H232" s="1075" t="s">
        <v>592</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585</v>
      </c>
      <c r="E233" s="1087" t="s">
        <v>327</v>
      </c>
      <c r="F233" s="1065" t="s">
        <v>797</v>
      </c>
      <c r="G233" s="1075" t="s">
        <v>897</v>
      </c>
      <c r="H233" s="1075" t="s">
        <v>898</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585</v>
      </c>
      <c r="E234" s="1087" t="s">
        <v>327</v>
      </c>
      <c r="F234" s="1065" t="s">
        <v>798</v>
      </c>
      <c r="G234" s="1075" t="s">
        <v>897</v>
      </c>
      <c r="H234" s="1075" t="s">
        <v>898</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585</v>
      </c>
      <c r="E235" s="1087" t="s">
        <v>326</v>
      </c>
      <c r="F235" s="1065" t="s">
        <v>797</v>
      </c>
      <c r="G235" s="1075" t="s">
        <v>897</v>
      </c>
      <c r="H235" s="1075" t="s">
        <v>898</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585</v>
      </c>
      <c r="E236" s="1087" t="s">
        <v>326</v>
      </c>
      <c r="F236" s="1065" t="s">
        <v>798</v>
      </c>
      <c r="G236" s="1075" t="s">
        <v>897</v>
      </c>
      <c r="H236" s="1075" t="s">
        <v>898</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585</v>
      </c>
      <c r="E237" s="1087" t="s">
        <v>369</v>
      </c>
      <c r="F237" s="1065" t="s">
        <v>797</v>
      </c>
      <c r="G237" s="1075" t="s">
        <v>897</v>
      </c>
      <c r="H237" s="1075" t="s">
        <v>898</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585</v>
      </c>
      <c r="E238" s="1087" t="s">
        <v>369</v>
      </c>
      <c r="F238" s="1065" t="s">
        <v>798</v>
      </c>
      <c r="G238" s="1075" t="s">
        <v>897</v>
      </c>
      <c r="H238" s="1075" t="s">
        <v>898</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585</v>
      </c>
      <c r="E239" s="1087" t="s">
        <v>329</v>
      </c>
      <c r="F239" s="1065" t="s">
        <v>797</v>
      </c>
      <c r="G239" s="1075" t="s">
        <v>897</v>
      </c>
      <c r="H239" s="1075" t="s">
        <v>898</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585</v>
      </c>
      <c r="E240" s="1087" t="s">
        <v>329</v>
      </c>
      <c r="F240" s="1065" t="s">
        <v>798</v>
      </c>
      <c r="G240" s="1075" t="s">
        <v>897</v>
      </c>
      <c r="H240" s="1075" t="s">
        <v>898</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585</v>
      </c>
      <c r="E241" s="1087" t="s">
        <v>329</v>
      </c>
      <c r="F241" s="1065" t="s">
        <v>899</v>
      </c>
      <c r="G241" s="1075" t="s">
        <v>900</v>
      </c>
      <c r="H241" s="1075" t="s">
        <v>901</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585</v>
      </c>
      <c r="E242" s="1087" t="s">
        <v>329</v>
      </c>
      <c r="F242" s="1065" t="s">
        <v>587</v>
      </c>
      <c r="G242" s="1075" t="s">
        <v>591</v>
      </c>
      <c r="H242" s="1075" t="s">
        <v>592</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585</v>
      </c>
      <c r="E243" s="1087" t="s">
        <v>329</v>
      </c>
      <c r="F243" s="1065" t="s">
        <v>899</v>
      </c>
      <c r="G243" s="1075" t="s">
        <v>591</v>
      </c>
      <c r="H243" s="1075" t="s">
        <v>592</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585</v>
      </c>
      <c r="E244" s="1087" t="s">
        <v>329</v>
      </c>
      <c r="F244" s="1065" t="s">
        <v>891</v>
      </c>
      <c r="G244" s="1075" t="s">
        <v>745</v>
      </c>
      <c r="H244" s="1075" t="s">
        <v>793</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585</v>
      </c>
      <c r="E245" s="1087" t="s">
        <v>329</v>
      </c>
      <c r="F245" s="1065" t="s">
        <v>892</v>
      </c>
      <c r="G245" s="1075" t="s">
        <v>745</v>
      </c>
      <c r="H245" s="1075" t="s">
        <v>793</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585</v>
      </c>
      <c r="E246" s="1087" t="s">
        <v>329</v>
      </c>
      <c r="F246" s="1065" t="s">
        <v>895</v>
      </c>
      <c r="G246" s="1075" t="s">
        <v>874</v>
      </c>
      <c r="H246" s="1075" t="s">
        <v>875</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585</v>
      </c>
      <c r="E247" s="1087" t="s">
        <v>329</v>
      </c>
      <c r="F247" s="1065" t="s">
        <v>772</v>
      </c>
      <c r="G247" s="1075" t="s">
        <v>896</v>
      </c>
      <c r="H247" s="1075" t="s">
        <v>902</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585</v>
      </c>
      <c r="E248" s="1087" t="s">
        <v>329</v>
      </c>
      <c r="F248" s="1065" t="s">
        <v>905</v>
      </c>
      <c r="G248" s="1075" t="s">
        <v>903</v>
      </c>
      <c r="H248" s="1075" t="s">
        <v>904</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585</v>
      </c>
      <c r="E249" s="1087" t="s">
        <v>440</v>
      </c>
      <c r="F249" s="1065" t="s">
        <v>906</v>
      </c>
      <c r="G249" s="1075" t="s">
        <v>872</v>
      </c>
      <c r="H249" s="1075" t="s">
        <v>907</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585</v>
      </c>
      <c r="E250" s="1087" t="s">
        <v>440</v>
      </c>
      <c r="F250" s="1065" t="s">
        <v>908</v>
      </c>
      <c r="G250" s="1075" t="s">
        <v>775</v>
      </c>
      <c r="H250" s="1075" t="s">
        <v>909</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585</v>
      </c>
      <c r="E251" s="1087" t="s">
        <v>440</v>
      </c>
      <c r="F251" s="1065" t="s">
        <v>908</v>
      </c>
      <c r="G251" s="1075" t="s">
        <v>872</v>
      </c>
      <c r="H251" s="1075" t="s">
        <v>910</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585</v>
      </c>
      <c r="E252" s="1087" t="s">
        <v>440</v>
      </c>
      <c r="F252" s="1065" t="s">
        <v>911</v>
      </c>
      <c r="G252" s="1075" t="s">
        <v>872</v>
      </c>
      <c r="H252" s="1075" t="s">
        <v>912</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585</v>
      </c>
      <c r="E253" s="1087" t="s">
        <v>440</v>
      </c>
      <c r="F253" s="1065" t="s">
        <v>913</v>
      </c>
      <c r="G253" s="1075" t="s">
        <v>872</v>
      </c>
      <c r="H253" s="1075" t="s">
        <v>917</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585</v>
      </c>
      <c r="E254" s="1087" t="s">
        <v>440</v>
      </c>
      <c r="F254" s="1065" t="s">
        <v>914</v>
      </c>
      <c r="G254" s="1075" t="s">
        <v>872</v>
      </c>
      <c r="H254" s="1075" t="s">
        <v>918</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585</v>
      </c>
      <c r="E255" s="1087" t="s">
        <v>440</v>
      </c>
      <c r="F255" s="1065" t="s">
        <v>915</v>
      </c>
      <c r="G255" s="1075" t="s">
        <v>872</v>
      </c>
      <c r="H255" s="1075" t="s">
        <v>873</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585</v>
      </c>
      <c r="E256" s="1087" t="s">
        <v>440</v>
      </c>
      <c r="F256" s="1065" t="s">
        <v>916</v>
      </c>
      <c r="G256" s="1075" t="s">
        <v>872</v>
      </c>
      <c r="H256" s="1075" t="s">
        <v>880</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585</v>
      </c>
      <c r="E257" s="1087" t="s">
        <v>440</v>
      </c>
      <c r="F257" s="1065" t="s">
        <v>919</v>
      </c>
      <c r="G257" s="1075" t="s">
        <v>872</v>
      </c>
      <c r="H257" s="1075" t="s">
        <v>921</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585</v>
      </c>
      <c r="E258" s="1087" t="s">
        <v>440</v>
      </c>
      <c r="F258" s="1065" t="s">
        <v>920</v>
      </c>
      <c r="G258" s="1075" t="s">
        <v>872</v>
      </c>
      <c r="H258" s="1075" t="s">
        <v>922</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585</v>
      </c>
      <c r="E259" s="1087" t="s">
        <v>440</v>
      </c>
      <c r="F259" s="1065" t="s">
        <v>911</v>
      </c>
      <c r="G259" s="1075" t="s">
        <v>775</v>
      </c>
      <c r="H259" s="1075" t="s">
        <v>909</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585</v>
      </c>
      <c r="E260" s="1087" t="s">
        <v>440</v>
      </c>
      <c r="F260" s="1065" t="s">
        <v>915</v>
      </c>
      <c r="G260" s="1075" t="s">
        <v>775</v>
      </c>
      <c r="H260" s="1075" t="s">
        <v>909</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585</v>
      </c>
      <c r="E261" s="1087" t="s">
        <v>440</v>
      </c>
      <c r="F261" s="1065" t="s">
        <v>913</v>
      </c>
      <c r="G261" s="1075" t="s">
        <v>775</v>
      </c>
      <c r="H261" s="1075" t="s">
        <v>909</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585</v>
      </c>
      <c r="E262" s="1087" t="s">
        <v>349</v>
      </c>
      <c r="F262" s="1065" t="s">
        <v>650</v>
      </c>
      <c r="G262" s="1075" t="s">
        <v>896</v>
      </c>
      <c r="H262" s="1075" t="s">
        <v>902</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585</v>
      </c>
      <c r="E263" s="1087" t="s">
        <v>349</v>
      </c>
      <c r="F263" s="1065" t="s">
        <v>766</v>
      </c>
      <c r="G263" s="1075" t="s">
        <v>896</v>
      </c>
      <c r="H263" s="1075" t="s">
        <v>902</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585</v>
      </c>
      <c r="E264" s="1087" t="s">
        <v>349</v>
      </c>
      <c r="F264" s="1065" t="s">
        <v>923</v>
      </c>
      <c r="G264" s="1075" t="s">
        <v>874</v>
      </c>
      <c r="H264" s="1075" t="s">
        <v>924</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585</v>
      </c>
      <c r="E265" s="1087" t="s">
        <v>100</v>
      </c>
      <c r="F265" s="1065" t="s">
        <v>925</v>
      </c>
      <c r="G265" s="1075" t="s">
        <v>874</v>
      </c>
      <c r="H265" s="1075" t="s">
        <v>927</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585</v>
      </c>
      <c r="E266" s="1087" t="s">
        <v>100</v>
      </c>
      <c r="F266" s="1065" t="s">
        <v>926</v>
      </c>
      <c r="G266" s="1075" t="s">
        <v>896</v>
      </c>
      <c r="H266" s="1075" t="s">
        <v>902</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585</v>
      </c>
      <c r="E267" s="1087" t="s">
        <v>101</v>
      </c>
      <c r="F267" s="1065" t="s">
        <v>928</v>
      </c>
      <c r="G267" s="1075" t="s">
        <v>874</v>
      </c>
      <c r="H267" s="1075" t="s">
        <v>927</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585</v>
      </c>
      <c r="E268" s="1087" t="s">
        <v>101</v>
      </c>
      <c r="F268" s="1065" t="s">
        <v>928</v>
      </c>
      <c r="G268" s="1075" t="s">
        <v>896</v>
      </c>
      <c r="H268" s="1075" t="s">
        <v>773</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585</v>
      </c>
      <c r="E269" s="1087" t="s">
        <v>298</v>
      </c>
      <c r="F269" s="1065" t="s">
        <v>839</v>
      </c>
      <c r="G269" s="1075" t="s">
        <v>896</v>
      </c>
      <c r="H269" s="1075" t="s">
        <v>773</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585</v>
      </c>
      <c r="E270" s="1087" t="s">
        <v>298</v>
      </c>
      <c r="F270" s="1065" t="s">
        <v>764</v>
      </c>
      <c r="G270" s="1075" t="s">
        <v>935</v>
      </c>
      <c r="H270" s="1075" t="s">
        <v>605</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585</v>
      </c>
      <c r="E271" s="1087" t="s">
        <v>298</v>
      </c>
      <c r="F271" s="1065" t="s">
        <v>849</v>
      </c>
      <c r="G271" s="1075" t="s">
        <v>935</v>
      </c>
      <c r="H271" s="1075" t="s">
        <v>605</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585</v>
      </c>
      <c r="E272" s="1087" t="s">
        <v>298</v>
      </c>
      <c r="F272" s="1065" t="s">
        <v>765</v>
      </c>
      <c r="G272" s="1075" t="s">
        <v>935</v>
      </c>
      <c r="H272" s="1075" t="s">
        <v>605</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585</v>
      </c>
      <c r="E273" s="1087" t="s">
        <v>298</v>
      </c>
      <c r="F273" s="1065" t="s">
        <v>929</v>
      </c>
      <c r="G273" s="1075" t="s">
        <v>935</v>
      </c>
      <c r="H273" s="1075" t="s">
        <v>605</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585</v>
      </c>
      <c r="E274" s="1087" t="s">
        <v>298</v>
      </c>
      <c r="F274" s="1065" t="s">
        <v>930</v>
      </c>
      <c r="G274" s="1075" t="s">
        <v>935</v>
      </c>
      <c r="H274" s="1075" t="s">
        <v>605</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585</v>
      </c>
      <c r="E275" s="1087" t="s">
        <v>298</v>
      </c>
      <c r="F275" s="1065" t="s">
        <v>931</v>
      </c>
      <c r="G275" s="1075" t="s">
        <v>935</v>
      </c>
      <c r="H275" s="1075" t="s">
        <v>605</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585</v>
      </c>
      <c r="E276" s="1087" t="s">
        <v>298</v>
      </c>
      <c r="F276" s="1065" t="s">
        <v>932</v>
      </c>
      <c r="G276" s="1075" t="s">
        <v>935</v>
      </c>
      <c r="H276" s="1075" t="s">
        <v>605</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585</v>
      </c>
      <c r="E277" s="1087" t="s">
        <v>298</v>
      </c>
      <c r="F277" s="1065" t="s">
        <v>933</v>
      </c>
      <c r="G277" s="1075" t="s">
        <v>935</v>
      </c>
      <c r="H277" s="1075" t="s">
        <v>605</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585</v>
      </c>
      <c r="E278" s="1087" t="s">
        <v>298</v>
      </c>
      <c r="F278" s="1065" t="s">
        <v>934</v>
      </c>
      <c r="G278" s="1075" t="s">
        <v>935</v>
      </c>
      <c r="H278" s="1075" t="s">
        <v>605</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585</v>
      </c>
      <c r="E279" s="1087" t="s">
        <v>102</v>
      </c>
      <c r="F279" s="1065" t="s">
        <v>936</v>
      </c>
      <c r="G279" s="1075" t="s">
        <v>896</v>
      </c>
      <c r="H279" s="1075" t="s">
        <v>773</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585</v>
      </c>
      <c r="E280" s="1087" t="s">
        <v>100</v>
      </c>
      <c r="F280" s="1065" t="s">
        <v>937</v>
      </c>
      <c r="G280" s="1075" t="s">
        <v>896</v>
      </c>
      <c r="H280" s="1075" t="s">
        <v>938</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585</v>
      </c>
      <c r="E281" s="1087" t="s">
        <v>368</v>
      </c>
      <c r="F281" s="1065" t="s">
        <v>939</v>
      </c>
      <c r="G281" s="1075" t="s">
        <v>940</v>
      </c>
      <c r="H281" s="1075" t="s">
        <v>941</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585</v>
      </c>
      <c r="E282" s="1087" t="s">
        <v>349</v>
      </c>
      <c r="F282" s="1065" t="s">
        <v>942</v>
      </c>
      <c r="G282" s="1075" t="s">
        <v>896</v>
      </c>
      <c r="H282" s="1075" t="s">
        <v>938</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585</v>
      </c>
      <c r="E283" s="1087" t="s">
        <v>101</v>
      </c>
      <c r="F283" s="1065" t="s">
        <v>943</v>
      </c>
      <c r="G283" s="1075" t="s">
        <v>944</v>
      </c>
      <c r="H283" s="1075" t="s">
        <v>945</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585</v>
      </c>
      <c r="E284" s="1087" t="s">
        <v>298</v>
      </c>
      <c r="F284" s="1065" t="s">
        <v>946</v>
      </c>
      <c r="G284" s="1075" t="s">
        <v>944</v>
      </c>
      <c r="H284" s="1075" t="s">
        <v>947</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585</v>
      </c>
      <c r="E285" s="1087" t="s">
        <v>298</v>
      </c>
      <c r="F285" s="1065" t="s">
        <v>939</v>
      </c>
      <c r="G285" s="1075" t="s">
        <v>948</v>
      </c>
      <c r="H285" s="1075" t="s">
        <v>949</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585</v>
      </c>
      <c r="E286" s="1087" t="s">
        <v>102</v>
      </c>
      <c r="F286" s="1065" t="s">
        <v>797</v>
      </c>
      <c r="G286" s="1075" t="s">
        <v>950</v>
      </c>
      <c r="H286" s="1075" t="s">
        <v>814</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585</v>
      </c>
      <c r="E287" s="1087" t="s">
        <v>102</v>
      </c>
      <c r="F287" s="1065" t="s">
        <v>951</v>
      </c>
      <c r="G287" s="1075" t="s">
        <v>944</v>
      </c>
      <c r="H287" s="1075" t="s">
        <v>947</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585</v>
      </c>
      <c r="E288" s="1087" t="s">
        <v>102</v>
      </c>
      <c r="F288" s="1065" t="s">
        <v>698</v>
      </c>
      <c r="G288" s="1075" t="s">
        <v>948</v>
      </c>
      <c r="H288" s="1075" t="s">
        <v>949</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585</v>
      </c>
      <c r="E289" s="1087" t="s">
        <v>102</v>
      </c>
      <c r="F289" s="1065" t="s">
        <v>698</v>
      </c>
      <c r="G289" s="1075" t="s">
        <v>952</v>
      </c>
      <c r="H289" s="1075" t="s">
        <v>953</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585</v>
      </c>
      <c r="E290" s="1087" t="s">
        <v>327</v>
      </c>
      <c r="F290" s="1065" t="s">
        <v>954</v>
      </c>
      <c r="G290" s="1075" t="s">
        <v>944</v>
      </c>
      <c r="H290" s="1075" t="s">
        <v>955</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585</v>
      </c>
      <c r="E291" s="1087" t="s">
        <v>327</v>
      </c>
      <c r="F291" s="1065" t="s">
        <v>956</v>
      </c>
      <c r="G291" s="1075" t="s">
        <v>896</v>
      </c>
      <c r="H291" s="1075" t="s">
        <v>957</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585</v>
      </c>
      <c r="E292" s="1087" t="s">
        <v>102</v>
      </c>
      <c r="F292" s="1065" t="s">
        <v>951</v>
      </c>
      <c r="G292" s="1075" t="s">
        <v>896</v>
      </c>
      <c r="H292" s="1075" t="s">
        <v>957</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585</v>
      </c>
      <c r="E293" s="1087" t="s">
        <v>298</v>
      </c>
      <c r="F293" s="1065" t="s">
        <v>946</v>
      </c>
      <c r="G293" s="1075" t="s">
        <v>896</v>
      </c>
      <c r="H293" s="1075" t="s">
        <v>957</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585</v>
      </c>
      <c r="E294" s="1087" t="s">
        <v>101</v>
      </c>
      <c r="F294" s="1065" t="s">
        <v>942</v>
      </c>
      <c r="G294" s="1075" t="s">
        <v>896</v>
      </c>
      <c r="H294" s="1075" t="s">
        <v>957</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585</v>
      </c>
      <c r="E295" s="1087" t="s">
        <v>327</v>
      </c>
      <c r="F295" s="1065" t="s">
        <v>698</v>
      </c>
      <c r="G295" s="1075" t="s">
        <v>948</v>
      </c>
      <c r="H295" s="1075" t="s">
        <v>949</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585</v>
      </c>
      <c r="E296" s="1087" t="s">
        <v>326</v>
      </c>
      <c r="F296" s="1065" t="s">
        <v>958</v>
      </c>
      <c r="G296" s="1075" t="s">
        <v>896</v>
      </c>
      <c r="H296" s="1075" t="s">
        <v>957</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585</v>
      </c>
      <c r="E297" s="1087" t="s">
        <v>326</v>
      </c>
      <c r="F297" s="1065" t="s">
        <v>698</v>
      </c>
      <c r="G297" s="1075" t="s">
        <v>948</v>
      </c>
      <c r="H297" s="1075" t="s">
        <v>949</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585</v>
      </c>
      <c r="E298" s="1087" t="s">
        <v>326</v>
      </c>
      <c r="F298" s="1065" t="s">
        <v>698</v>
      </c>
      <c r="G298" s="1075" t="s">
        <v>959</v>
      </c>
      <c r="H298" s="1075" t="s">
        <v>960</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585</v>
      </c>
      <c r="E299" s="1087" t="s">
        <v>369</v>
      </c>
      <c r="F299" s="1065" t="s">
        <v>958</v>
      </c>
      <c r="G299" s="1075" t="s">
        <v>896</v>
      </c>
      <c r="H299" s="1075" t="s">
        <v>957</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585</v>
      </c>
      <c r="E300" s="1087" t="s">
        <v>369</v>
      </c>
      <c r="F300" s="1065" t="s">
        <v>698</v>
      </c>
      <c r="G300" s="1075" t="s">
        <v>948</v>
      </c>
      <c r="H300" s="1075" t="s">
        <v>949</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585</v>
      </c>
      <c r="E301" s="1087" t="s">
        <v>369</v>
      </c>
      <c r="F301" s="1065" t="s">
        <v>698</v>
      </c>
      <c r="G301" s="1075" t="s">
        <v>896</v>
      </c>
      <c r="H301" s="1075" t="s">
        <v>957</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585</v>
      </c>
      <c r="E302" s="1087" t="s">
        <v>329</v>
      </c>
      <c r="F302" s="1065" t="s">
        <v>958</v>
      </c>
      <c r="G302" s="1075" t="s">
        <v>896</v>
      </c>
      <c r="H302" s="1075" t="s">
        <v>957</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585</v>
      </c>
      <c r="E303" s="1087" t="s">
        <v>329</v>
      </c>
      <c r="F303" s="1065" t="s">
        <v>698</v>
      </c>
      <c r="G303" s="1075" t="s">
        <v>948</v>
      </c>
      <c r="H303" s="1075" t="s">
        <v>949</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585</v>
      </c>
      <c r="E304" s="1087" t="s">
        <v>329</v>
      </c>
      <c r="F304" s="1065" t="s">
        <v>698</v>
      </c>
      <c r="G304" s="1075" t="s">
        <v>896</v>
      </c>
      <c r="H304" s="1075" t="s">
        <v>957</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585</v>
      </c>
      <c r="E305" s="1087" t="s">
        <v>440</v>
      </c>
      <c r="F305" s="1065" t="s">
        <v>697</v>
      </c>
      <c r="G305" s="1075" t="s">
        <v>775</v>
      </c>
      <c r="H305" s="1075" t="s">
        <v>870</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585</v>
      </c>
      <c r="E306" s="1087" t="s">
        <v>586</v>
      </c>
      <c r="F306" s="1065" t="s">
        <v>772</v>
      </c>
      <c r="G306" s="1075" t="s">
        <v>745</v>
      </c>
      <c r="H306" s="1075" t="s">
        <v>793</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585</v>
      </c>
      <c r="E307" s="1087" t="s">
        <v>586</v>
      </c>
      <c r="F307" s="1065" t="s">
        <v>650</v>
      </c>
      <c r="G307" s="1075" t="s">
        <v>935</v>
      </c>
      <c r="H307" s="1075" t="s">
        <v>962</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585</v>
      </c>
      <c r="E308" s="1087" t="s">
        <v>586</v>
      </c>
      <c r="F308" s="1065" t="s">
        <v>651</v>
      </c>
      <c r="G308" s="1075" t="s">
        <v>935</v>
      </c>
      <c r="H308" s="1075" t="s">
        <v>963</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585</v>
      </c>
      <c r="E309" s="1087" t="s">
        <v>586</v>
      </c>
      <c r="F309" s="1065" t="s">
        <v>652</v>
      </c>
      <c r="G309" s="1075" t="s">
        <v>935</v>
      </c>
      <c r="H309" s="1075" t="s">
        <v>964</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585</v>
      </c>
      <c r="E310" s="1087" t="s">
        <v>586</v>
      </c>
      <c r="F310" s="1065" t="s">
        <v>653</v>
      </c>
      <c r="G310" s="1075" t="s">
        <v>935</v>
      </c>
      <c r="H310" s="1075" t="s">
        <v>965</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585</v>
      </c>
      <c r="E311" s="1087" t="s">
        <v>586</v>
      </c>
      <c r="F311" s="1065" t="s">
        <v>654</v>
      </c>
      <c r="G311" s="1075" t="s">
        <v>935</v>
      </c>
      <c r="H311" s="1075" t="s">
        <v>966</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585</v>
      </c>
      <c r="E312" s="1087" t="s">
        <v>586</v>
      </c>
      <c r="F312" s="1065" t="s">
        <v>655</v>
      </c>
      <c r="G312" s="1075" t="s">
        <v>935</v>
      </c>
      <c r="H312" s="1075" t="s">
        <v>967</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585</v>
      </c>
      <c r="E313" s="1087" t="s">
        <v>586</v>
      </c>
      <c r="F313" s="1065" t="s">
        <v>656</v>
      </c>
      <c r="G313" s="1075" t="s">
        <v>935</v>
      </c>
      <c r="H313" s="1075" t="s">
        <v>968</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585</v>
      </c>
      <c r="E314" s="1087" t="s">
        <v>586</v>
      </c>
      <c r="F314" s="1065" t="s">
        <v>657</v>
      </c>
      <c r="G314" s="1075" t="s">
        <v>935</v>
      </c>
      <c r="H314" s="1075" t="s">
        <v>969</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585</v>
      </c>
      <c r="E315" s="1087" t="s">
        <v>367</v>
      </c>
      <c r="F315" s="1065" t="s">
        <v>971</v>
      </c>
      <c r="G315" s="1075" t="s">
        <v>972</v>
      </c>
      <c r="H315" s="1075" t="s">
        <v>973</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585</v>
      </c>
      <c r="E316" s="1087" t="s">
        <v>368</v>
      </c>
      <c r="F316" s="1065" t="s">
        <v>975</v>
      </c>
      <c r="G316" s="1075" t="s">
        <v>976</v>
      </c>
      <c r="H316" s="1075" t="s">
        <v>977</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585</v>
      </c>
      <c r="E317" s="1087" t="s">
        <v>368</v>
      </c>
      <c r="F317" s="1065" t="s">
        <v>978</v>
      </c>
      <c r="G317" s="1075" t="s">
        <v>976</v>
      </c>
      <c r="H317" s="1075" t="s">
        <v>977</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585</v>
      </c>
      <c r="E318" s="1087" t="s">
        <v>368</v>
      </c>
      <c r="F318" s="1065" t="s">
        <v>979</v>
      </c>
      <c r="G318" s="1075" t="s">
        <v>976</v>
      </c>
      <c r="H318" s="1075" t="s">
        <v>977</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585</v>
      </c>
      <c r="E319" s="1087" t="s">
        <v>368</v>
      </c>
      <c r="F319" s="1065" t="s">
        <v>980</v>
      </c>
      <c r="G319" s="1075" t="s">
        <v>976</v>
      </c>
      <c r="H319" s="1075" t="s">
        <v>977</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585</v>
      </c>
      <c r="E320" s="1087" t="s">
        <v>368</v>
      </c>
      <c r="F320" s="1065" t="s">
        <v>981</v>
      </c>
      <c r="G320" s="1075" t="s">
        <v>976</v>
      </c>
      <c r="H320" s="1075" t="s">
        <v>977</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585</v>
      </c>
      <c r="E321" s="1087" t="s">
        <v>368</v>
      </c>
      <c r="F321" s="1065" t="s">
        <v>982</v>
      </c>
      <c r="G321" s="1075" t="s">
        <v>976</v>
      </c>
      <c r="H321" s="1075" t="s">
        <v>977</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585</v>
      </c>
      <c r="E322" s="1087" t="s">
        <v>368</v>
      </c>
      <c r="F322" s="1065" t="s">
        <v>983</v>
      </c>
      <c r="G322" s="1075" t="s">
        <v>976</v>
      </c>
      <c r="H322" s="1075" t="s">
        <v>977</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585</v>
      </c>
      <c r="E323" s="1087" t="s">
        <v>368</v>
      </c>
      <c r="F323" s="1065" t="s">
        <v>984</v>
      </c>
      <c r="G323" s="1075" t="s">
        <v>976</v>
      </c>
      <c r="H323" s="1075" t="s">
        <v>977</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585</v>
      </c>
      <c r="E324" s="1087" t="s">
        <v>368</v>
      </c>
      <c r="F324" s="1065" t="s">
        <v>985</v>
      </c>
      <c r="G324" s="1075" t="s">
        <v>976</v>
      </c>
      <c r="H324" s="1075" t="s">
        <v>977</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585</v>
      </c>
      <c r="E325" s="1087" t="s">
        <v>368</v>
      </c>
      <c r="F325" s="1065" t="s">
        <v>986</v>
      </c>
      <c r="G325" s="1075" t="s">
        <v>976</v>
      </c>
      <c r="H325" s="1075" t="s">
        <v>977</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585</v>
      </c>
      <c r="E326" s="1087" t="s">
        <v>368</v>
      </c>
      <c r="F326" s="1065" t="s">
        <v>987</v>
      </c>
      <c r="G326" s="1075" t="s">
        <v>976</v>
      </c>
      <c r="H326" s="1075" t="s">
        <v>977</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585</v>
      </c>
      <c r="E327" s="1087" t="s">
        <v>349</v>
      </c>
      <c r="F327" s="1065" t="s">
        <v>988</v>
      </c>
      <c r="G327" s="1075" t="s">
        <v>989</v>
      </c>
      <c r="H327" s="1075" t="s">
        <v>990</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585</v>
      </c>
      <c r="E328" s="1087" t="s">
        <v>100</v>
      </c>
      <c r="F328" s="1065" t="s">
        <v>988</v>
      </c>
      <c r="G328" s="1075" t="s">
        <v>992</v>
      </c>
      <c r="H328" s="1075" t="s">
        <v>993</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585</v>
      </c>
      <c r="E329" s="1087" t="s">
        <v>101</v>
      </c>
      <c r="F329" s="1065" t="s">
        <v>971</v>
      </c>
      <c r="G329" s="1075" t="s">
        <v>991</v>
      </c>
      <c r="H329" s="1075" t="s">
        <v>990</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585</v>
      </c>
      <c r="E330" s="1087" t="s">
        <v>298</v>
      </c>
      <c r="F330" s="1065" t="s">
        <v>988</v>
      </c>
      <c r="G330" s="1075" t="s">
        <v>989</v>
      </c>
      <c r="H330" s="1075" t="s">
        <v>990</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585</v>
      </c>
      <c r="E331" s="1087" t="s">
        <v>327</v>
      </c>
      <c r="F331" s="1065" t="s">
        <v>905</v>
      </c>
      <c r="G331" s="1075" t="s">
        <v>994</v>
      </c>
      <c r="H331" s="1075" t="s">
        <v>995</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585</v>
      </c>
      <c r="E332" s="1087" t="s">
        <v>326</v>
      </c>
      <c r="F332" s="1065" t="s">
        <v>905</v>
      </c>
      <c r="G332" s="1075" t="s">
        <v>997</v>
      </c>
      <c r="H332" s="1075" t="s">
        <v>996</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585</v>
      </c>
      <c r="E333" s="1087" t="s">
        <v>369</v>
      </c>
      <c r="F333" s="1065" t="s">
        <v>905</v>
      </c>
      <c r="G333" s="1075" t="s">
        <v>998</v>
      </c>
      <c r="H333" s="1075" t="s">
        <v>990</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585</v>
      </c>
      <c r="E334" s="1087" t="s">
        <v>329</v>
      </c>
      <c r="F334" s="1065" t="s">
        <v>891</v>
      </c>
      <c r="G334" s="1075" t="s">
        <v>999</v>
      </c>
      <c r="H334" s="1075" t="s">
        <v>1000</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557</v>
      </c>
      <c r="E335" s="1093" t="s">
        <v>440</v>
      </c>
      <c r="F335" s="1065" t="s">
        <v>1001</v>
      </c>
      <c r="G335" s="1075" t="s">
        <v>1002</v>
      </c>
      <c r="H335" s="1075" t="s">
        <v>1003</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557</v>
      </c>
      <c r="E336" s="1107" t="s">
        <v>368</v>
      </c>
      <c r="F336" s="1110" t="s">
        <v>1005</v>
      </c>
      <c r="G336" s="1075" t="s">
        <v>1004</v>
      </c>
      <c r="H336" s="1075" t="s">
        <v>1006</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557</v>
      </c>
      <c r="E337" s="1107" t="s">
        <v>368</v>
      </c>
      <c r="F337" s="1110" t="s">
        <v>1010</v>
      </c>
      <c r="G337" s="1075" t="s">
        <v>1011</v>
      </c>
      <c r="H337" s="1075" t="s">
        <v>1012</v>
      </c>
      <c r="I337" s="1068">
        <f>Table1[[#This Row],[Date]]</f>
        <v>41150</v>
      </c>
      <c r="J337" s="46"/>
      <c r="K337" s="46"/>
      <c r="AE337" s="1065"/>
      <c r="AF337" s="1065"/>
      <c r="AG337" s="1065"/>
      <c r="AH337" s="1065"/>
    </row>
    <row r="338" spans="1:34" ht="28.5">
      <c r="B338" s="1067">
        <v>335</v>
      </c>
      <c r="C338" s="1068">
        <v>41150</v>
      </c>
      <c r="D338" s="1107" t="s">
        <v>557</v>
      </c>
      <c r="E338" s="1107" t="s">
        <v>349</v>
      </c>
      <c r="F338" s="1065" t="s">
        <v>1007</v>
      </c>
      <c r="G338" s="1075" t="s">
        <v>1004</v>
      </c>
      <c r="H338" s="1075" t="s">
        <v>1006</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557</v>
      </c>
      <c r="E339" s="1107" t="s">
        <v>101</v>
      </c>
      <c r="F339" s="1110" t="s">
        <v>1008</v>
      </c>
      <c r="G339" s="1075" t="s">
        <v>1004</v>
      </c>
      <c r="H339" s="1075" t="s">
        <v>1006</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557</v>
      </c>
      <c r="E340" s="1107" t="s">
        <v>298</v>
      </c>
      <c r="F340" s="1065" t="s">
        <v>1009</v>
      </c>
      <c r="G340" s="1075" t="s">
        <v>1004</v>
      </c>
      <c r="H340" s="1075" t="s">
        <v>1006</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557</v>
      </c>
      <c r="E341" s="1107" t="s">
        <v>102</v>
      </c>
      <c r="F341" s="1110" t="s">
        <v>1013</v>
      </c>
      <c r="G341" s="1075" t="s">
        <v>1004</v>
      </c>
      <c r="H341" s="1075" t="s">
        <v>1006</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557</v>
      </c>
      <c r="E342" s="1107" t="s">
        <v>369</v>
      </c>
      <c r="F342" s="1065" t="s">
        <v>1014</v>
      </c>
      <c r="G342" s="1075" t="s">
        <v>1004</v>
      </c>
      <c r="H342" s="1075" t="s">
        <v>1006</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557</v>
      </c>
      <c r="E343" s="1107" t="s">
        <v>329</v>
      </c>
      <c r="F343" s="1065" t="s">
        <v>1015</v>
      </c>
      <c r="G343" s="1075" t="s">
        <v>1004</v>
      </c>
      <c r="H343" s="1075" t="s">
        <v>1006</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585</v>
      </c>
      <c r="E344" s="1108" t="s">
        <v>298</v>
      </c>
      <c r="F344" s="1065" t="s">
        <v>1017</v>
      </c>
      <c r="G344" s="1075" t="s">
        <v>1019</v>
      </c>
      <c r="H344" s="1075" t="s">
        <v>1020</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585</v>
      </c>
      <c r="E345" s="1108" t="s">
        <v>298</v>
      </c>
      <c r="F345" s="1065" t="s">
        <v>1018</v>
      </c>
      <c r="G345" s="1075" t="s">
        <v>1019</v>
      </c>
      <c r="H345" s="1075" t="s">
        <v>1020</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1016</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585</v>
      </c>
      <c r="E347" s="1130" t="s">
        <v>298</v>
      </c>
      <c r="F347" s="1065" t="s">
        <v>1023</v>
      </c>
      <c r="G347" s="1075" t="s">
        <v>1024</v>
      </c>
      <c r="H347" s="1075" t="s">
        <v>1025</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557</v>
      </c>
      <c r="E348" s="1131" t="s">
        <v>367</v>
      </c>
      <c r="G348" s="1075" t="s">
        <v>1026</v>
      </c>
      <c r="H348" s="1075" t="s">
        <v>1027</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557</v>
      </c>
      <c r="E349" s="1131" t="s">
        <v>101</v>
      </c>
      <c r="F349" s="1065" t="s">
        <v>1030</v>
      </c>
      <c r="G349" s="1075" t="s">
        <v>1031</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585</v>
      </c>
      <c r="E350" s="1132" t="s">
        <v>367</v>
      </c>
      <c r="F350" s="1065" t="s">
        <v>1032</v>
      </c>
      <c r="G350" s="1075" t="s">
        <v>1033</v>
      </c>
      <c r="H350" s="1075" t="s">
        <v>1035</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585</v>
      </c>
      <c r="E351" s="1132" t="s">
        <v>102</v>
      </c>
      <c r="F351" s="1065" t="s">
        <v>718</v>
      </c>
      <c r="G351" s="1075" t="s">
        <v>1034</v>
      </c>
      <c r="H351" s="1075" t="s">
        <v>1036</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585</v>
      </c>
      <c r="E352" s="1132" t="s">
        <v>368</v>
      </c>
      <c r="F352" s="1065" t="s">
        <v>1038</v>
      </c>
      <c r="G352" s="1075" t="s">
        <v>1037</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585</v>
      </c>
      <c r="E353" s="1132" t="s">
        <v>440</v>
      </c>
      <c r="F353" s="1065" t="s">
        <v>1039</v>
      </c>
      <c r="G353" s="1075" t="s">
        <v>1040</v>
      </c>
      <c r="H353" s="1075" t="s">
        <v>1053</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585</v>
      </c>
      <c r="E354" s="1132" t="s">
        <v>101</v>
      </c>
      <c r="F354" s="1065" t="s">
        <v>1041</v>
      </c>
      <c r="G354" s="1075" t="s">
        <v>1058</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585</v>
      </c>
      <c r="E355" s="1132" t="s">
        <v>327</v>
      </c>
      <c r="F355" s="1065" t="s">
        <v>704</v>
      </c>
      <c r="G355" s="1075" t="s">
        <v>1042</v>
      </c>
      <c r="H355" s="1075" t="s">
        <v>1054</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585</v>
      </c>
      <c r="E356" s="1132" t="s">
        <v>326</v>
      </c>
      <c r="F356" s="1065" t="s">
        <v>812</v>
      </c>
      <c r="G356" s="1075" t="s">
        <v>1043</v>
      </c>
      <c r="H356" s="1075" t="s">
        <v>1055</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585</v>
      </c>
      <c r="E357" s="1132" t="s">
        <v>298</v>
      </c>
      <c r="F357" s="1065" t="s">
        <v>1023</v>
      </c>
      <c r="G357" s="1075" t="s">
        <v>1044</v>
      </c>
      <c r="H357" s="1075" t="s">
        <v>1056</v>
      </c>
      <c r="I357" s="1068" t="s">
        <v>1057</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585</v>
      </c>
      <c r="E358" s="1133" t="s">
        <v>440</v>
      </c>
      <c r="F358" s="1065" t="s">
        <v>1045</v>
      </c>
      <c r="G358" s="1075" t="s">
        <v>1048</v>
      </c>
      <c r="H358" s="1075" t="s">
        <v>1047</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585</v>
      </c>
      <c r="E359" s="1133" t="s">
        <v>440</v>
      </c>
      <c r="F359" s="1065" t="s">
        <v>1052</v>
      </c>
      <c r="G359" s="1075" t="s">
        <v>1046</v>
      </c>
      <c r="H359" s="1075" t="s">
        <v>1051</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585</v>
      </c>
      <c r="E360" s="1133" t="s">
        <v>440</v>
      </c>
      <c r="F360" s="1065" t="s">
        <v>1052</v>
      </c>
      <c r="G360" s="1075" t="s">
        <v>1046</v>
      </c>
      <c r="H360" s="1075" t="s">
        <v>1050</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585</v>
      </c>
      <c r="E361" s="1133" t="s">
        <v>440</v>
      </c>
      <c r="F361" s="1065" t="s">
        <v>1052</v>
      </c>
      <c r="G361" s="1075" t="s">
        <v>1046</v>
      </c>
      <c r="H361" s="1075" t="s">
        <v>1049</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585</v>
      </c>
      <c r="E362" s="1133" t="s">
        <v>326</v>
      </c>
      <c r="F362" s="1065" t="s">
        <v>1060</v>
      </c>
      <c r="G362" s="1075" t="s">
        <v>1061</v>
      </c>
      <c r="H362" s="1075" t="s">
        <v>1062</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1" zoomScaleNormal="100" workbookViewId="0">
      <selection activeCell="L18" sqref="J7:L1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41226</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Division 12 Updates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Compliance and Enforcement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Description entered on the 2Basics worksheet- row 5</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3</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3</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3</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2012</v>
      </c>
      <c r="E22" s="1161"/>
      <c r="F22" s="1161"/>
      <c r="G22" s="1162"/>
      <c r="H22" s="1160">
        <f>D22+1</f>
        <v>2013</v>
      </c>
      <c r="I22" s="1161"/>
      <c r="J22" s="1161"/>
      <c r="K22" s="1162"/>
      <c r="L22" s="1160">
        <f>D22+2</f>
        <v>2014</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Effective&gt;</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&lt;AdvCom</v>
      </c>
      <c r="H25" s="155" t="str">
        <f>IF(OR(G25="&lt;AdvCom&gt;",G25="End&gt;"),"",IF(AND(C.6SACStartYr=$H$22,C.6SACStartQtr=1,C.6SACEndYr=$H$22,C.7SACEndQtr=1),"&lt;AdvCom&gt;",IF(AND(C.6SACStartYr=$H$22,C.6SACStartQtr=1),"&lt;AdvCom",IF(AND(C.6SACEndYr=$H$22,C.7SACEndQtr=1),"End&gt;",IF(OR(G25="&lt;AdvCom",G25="---"),"---","")))))</f>
        <v>End&gt;</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&lt;Notice&gt;</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3</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1063</v>
      </c>
      <c r="E29" s="1159"/>
      <c r="F29" s="1159"/>
      <c r="G29" s="1159"/>
      <c r="H29" s="120"/>
      <c r="I29" s="989" t="s">
        <v>130</v>
      </c>
      <c r="K29" s="783"/>
      <c r="L29" s="822">
        <f>C.2ComplianceRating</f>
        <v>8</v>
      </c>
      <c r="M29" s="1171" t="str">
        <f>'2Basics'!AA52</f>
        <v>new</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indirectly.</v>
      </c>
      <c r="E30" s="1152"/>
      <c r="F30" s="1152"/>
      <c r="G30" s="1152"/>
      <c r="H30" s="1152"/>
      <c r="I30" s="990" t="s">
        <v>131</v>
      </c>
      <c r="J30" s="120"/>
      <c r="K30" s="806"/>
      <c r="L30" s="824">
        <f>C.2PenaltyRating</f>
        <v>10</v>
      </c>
      <c r="M30" s="1172" t="str">
        <f>C.2Penalties</f>
        <v>expanded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1 action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do not have a selection for Natural Step support at this time.</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Align civil penalties with current statutory authority.  Align class and magnitudes with current program priorities.</v>
      </c>
      <c r="E39" s="1167"/>
      <c r="F39" s="1167"/>
      <c r="G39" s="1167"/>
      <c r="H39" s="1166" t="str">
        <f>C.2Reality</f>
        <v>Increases antiquated penalty amounts to align with current statutory authority passed in SB105 by the 2009 legislature.</v>
      </c>
      <c r="I39" s="1166"/>
      <c r="J39" s="1166"/>
      <c r="K39" s="1166"/>
      <c r="L39" s="1165" t="str">
        <f>C.2Consequences</f>
        <v>DEQ cannot implement higher penalties, even in the most egregious cases.  Without adequate penalties, DEQ could be at risk of losing delegation of federal programs.  Violators may be confused by different penalty maximums in DEQ rules and statutues.</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 xml:space="preserve"> Alternatives entered on 2Basics worksheet - row 31</v>
      </c>
      <c r="E41" s="1158"/>
      <c r="F41" s="1158"/>
      <c r="G41" s="1158"/>
      <c r="H41" s="1195" t="str">
        <f>C.2Research</f>
        <v>No research or data needed to develop this proposal.</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4.7272727272727275</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medium. DEQ plans to appoint a new advisory committee and estimates we will meet 4 times. We plan to ask the committee to provide rule language, implementation, and spill penaltyadvice.</v>
      </c>
      <c r="E43" s="1159"/>
      <c r="F43" s="1159"/>
      <c r="G43" s="1159"/>
      <c r="I43" s="854" t="str">
        <f>'3Stakeholders'!D8</f>
        <v>Business</v>
      </c>
      <c r="J43" s="855"/>
      <c r="K43" s="871">
        <f>'3Stakeholders'!AB8</f>
        <v>5</v>
      </c>
      <c r="L43" s="1154" t="str">
        <f>'3Stakeholders'!AA8</f>
        <v>affects  thousands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2</v>
      </c>
      <c r="L46" s="858" t="str">
        <f>'3Stakeholders'!AA11</f>
        <v>affects  currently regulated</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41226</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Compliance and Enforcement</v>
      </c>
      <c r="D3" s="965"/>
      <c r="E3" s="914"/>
      <c r="F3" s="913"/>
      <c r="G3" s="913"/>
      <c r="H3" s="913"/>
      <c r="I3" s="913"/>
      <c r="J3" s="913"/>
      <c r="K3" s="1205"/>
    </row>
    <row r="4" spans="1:11" ht="19.5" customHeight="1">
      <c r="A4" s="914"/>
      <c r="B4" s="1206" t="str">
        <f>C.2Divisions</f>
        <v>011, 012</v>
      </c>
      <c r="C4" s="1206"/>
      <c r="D4" s="966"/>
      <c r="E4" s="914"/>
      <c r="F4" s="913"/>
      <c r="G4" s="913"/>
      <c r="H4" s="913"/>
      <c r="I4" s="913"/>
      <c r="J4" s="913"/>
      <c r="K4" s="1205"/>
    </row>
    <row r="5" spans="1:11" ht="19.5" hidden="1" customHeight="1">
      <c r="A5" s="914"/>
      <c r="B5" s="1044" t="s">
        <v>0</v>
      </c>
      <c r="C5" s="968" t="str">
        <f ca="1">CELL("filename")</f>
        <v>\\deqhq1\Rule_Development\2012 Plan\OCE-Div12Updates - Jenny Root\1-Planning\1a-Blueprint\[ConsiderationsDiv12Ver1.02.xlsx]12Implementation</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466</v>
      </c>
      <c r="B7" s="1040"/>
      <c r="C7" s="956" t="str">
        <f>C.2Summary</f>
        <v>Description entered on the 2Basics worksheet- row 5</v>
      </c>
      <c r="D7" s="898"/>
      <c r="E7" s="919"/>
    </row>
    <row r="8" spans="1:11" ht="15" customHeight="1" collapsed="1">
      <c r="A8" s="922" t="s">
        <v>451</v>
      </c>
      <c r="B8" s="1037">
        <f>AVERAGEIF(B31:B175,"&gt;0")</f>
        <v>4.3191489361702127</v>
      </c>
      <c r="C8" s="923" t="str">
        <f>LOWER(C.2PermTemp)</f>
        <v>permanent</v>
      </c>
      <c r="D8" s="912"/>
      <c r="E8" s="919"/>
    </row>
    <row r="9" spans="1:11" ht="15" customHeight="1">
      <c r="A9" s="924" t="s">
        <v>453</v>
      </c>
      <c r="B9" s="1045"/>
      <c r="C9" s="926" t="str">
        <f>C.2Divisions</f>
        <v>011, 012</v>
      </c>
      <c r="D9" s="925"/>
      <c r="E9" s="919"/>
    </row>
    <row r="10" spans="1:11" ht="15" customHeight="1">
      <c r="A10" s="924" t="s">
        <v>465</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3</v>
      </c>
      <c r="C15" s="926" t="str">
        <f>'2Basics'!H14</f>
        <v>somewhat true</v>
      </c>
      <c r="D15" s="925"/>
      <c r="E15" s="919"/>
    </row>
    <row r="16" spans="1:11" ht="15" customHeight="1">
      <c r="A16" s="918" t="s">
        <v>388</v>
      </c>
      <c r="B16" s="1046">
        <f>'2Basics'!X15</f>
        <v>3</v>
      </c>
      <c r="C16" s="926" t="str">
        <f>'2Basics'!H15</f>
        <v>somewhat true</v>
      </c>
      <c r="D16" s="925"/>
      <c r="E16" s="919"/>
    </row>
    <row r="17" spans="1:5" ht="15" customHeight="1">
      <c r="A17" s="918" t="s">
        <v>387</v>
      </c>
      <c r="B17" s="1046">
        <f>'2Basics'!X16</f>
        <v>6</v>
      </c>
      <c r="C17" s="926" t="str">
        <f>'2Basics'!H16</f>
        <v>unknown at this time</v>
      </c>
      <c r="D17" s="925"/>
      <c r="E17" s="919"/>
    </row>
    <row r="18" spans="1:5" ht="15" customHeight="1">
      <c r="A18" s="918" t="s">
        <v>454</v>
      </c>
      <c r="B18" s="1046">
        <f>'2Basics'!X17</f>
        <v>6</v>
      </c>
      <c r="C18" s="926" t="str">
        <f>'2Basics'!H17</f>
        <v>unknown at this time</v>
      </c>
      <c r="D18" s="925"/>
      <c r="E18" s="919"/>
    </row>
    <row r="19" spans="1:5" s="915" customFormat="1" ht="15" hidden="1" customHeight="1" outlineLevel="1">
      <c r="A19" s="957" t="s">
        <v>467</v>
      </c>
      <c r="B19" s="1046"/>
      <c r="C19" s="959" t="str">
        <f>C.2Ideal</f>
        <v>Align civil penalties with current statutory authority.  Align class and magnitudes with current program priorities.</v>
      </c>
      <c r="D19" s="925"/>
      <c r="E19" s="919"/>
    </row>
    <row r="20" spans="1:5" s="915" customFormat="1" ht="15" hidden="1" customHeight="1" outlineLevel="1">
      <c r="A20" s="957" t="s">
        <v>468</v>
      </c>
      <c r="B20" s="1046"/>
      <c r="C20" s="959" t="str">
        <f>C.2IdealLong</f>
        <v>blank</v>
      </c>
      <c r="D20" s="925"/>
      <c r="E20" s="919"/>
    </row>
    <row r="21" spans="1:5" s="915" customFormat="1" ht="15" hidden="1" customHeight="1" outlineLevel="1">
      <c r="A21" s="957" t="s">
        <v>473</v>
      </c>
      <c r="B21" s="1046"/>
      <c r="C21" s="959" t="str">
        <f>C.2Reality</f>
        <v>Increases antiquated penalty amounts to align with current statutory authority passed in SB105 by the 2009 legislature.</v>
      </c>
      <c r="D21" s="925"/>
      <c r="E21" s="919"/>
    </row>
    <row r="22" spans="1:5" s="915" customFormat="1" ht="15" hidden="1" customHeight="1" outlineLevel="1">
      <c r="A22" s="957" t="s">
        <v>469</v>
      </c>
      <c r="B22" s="1046"/>
      <c r="C22" s="959" t="str">
        <f>C.2Reality</f>
        <v>Increases antiquated penalty amounts to align with current statutory authority passed in SB105 by the 2009 legislature.</v>
      </c>
      <c r="D22" s="925"/>
      <c r="E22" s="919"/>
    </row>
    <row r="23" spans="1:5" s="915" customFormat="1" ht="15" hidden="1" customHeight="1" outlineLevel="1">
      <c r="A23" s="957" t="s">
        <v>470</v>
      </c>
      <c r="B23" s="1046"/>
      <c r="C23" s="959" t="str">
        <f>C.2Consequences</f>
        <v>DEQ cannot implement higher penalties, even in the most egregious cases.  Without adequate penalties, DEQ could be at risk of losing delegation of federal programs.  Violators may be confused by different penalty maximums in DEQ rules and statutues.</v>
      </c>
      <c r="D23" s="925"/>
      <c r="E23" s="919"/>
    </row>
    <row r="24" spans="1:5" s="915" customFormat="1" ht="15" hidden="1" customHeight="1" outlineLevel="1">
      <c r="A24" s="957" t="s">
        <v>471</v>
      </c>
      <c r="B24" s="1046"/>
      <c r="C24" s="959" t="str">
        <f>C.2ConsequencesLong</f>
        <v>blank</v>
      </c>
      <c r="D24" s="925"/>
      <c r="E24" s="919"/>
    </row>
    <row r="25" spans="1:5" s="915" customFormat="1" ht="15" hidden="1" customHeight="1" outlineLevel="1">
      <c r="A25" s="957" t="s">
        <v>476</v>
      </c>
      <c r="B25" s="1046"/>
      <c r="C25" s="959" t="str">
        <f>C.2Alternatives</f>
        <v xml:space="preserve"> Alternatives entered on 2Basics worksheet - row 31</v>
      </c>
      <c r="D25" s="925"/>
      <c r="E25" s="919"/>
    </row>
    <row r="26" spans="1:5" s="915" customFormat="1" ht="15" hidden="1" customHeight="1" outlineLevel="1">
      <c r="A26" s="957" t="s">
        <v>477</v>
      </c>
      <c r="B26" s="1046"/>
      <c r="C26" s="959" t="str">
        <f>C.2AlternativesLong</f>
        <v>blank</v>
      </c>
      <c r="D26" s="925"/>
      <c r="E26" s="919"/>
    </row>
    <row r="27" spans="1:5" ht="15" hidden="1" customHeight="1" outlineLevel="1">
      <c r="A27" s="924" t="s">
        <v>475</v>
      </c>
      <c r="B27" s="1045"/>
      <c r="C27" s="959" t="str">
        <f>C.2Research</f>
        <v>No research or data needed to develop this proposal.</v>
      </c>
      <c r="D27" s="925"/>
      <c r="E27" s="919"/>
    </row>
    <row r="28" spans="1:5" ht="15" hidden="1" customHeight="1" outlineLevel="1">
      <c r="A28" s="924" t="s">
        <v>474</v>
      </c>
      <c r="B28" s="1045"/>
      <c r="C28" s="959" t="str">
        <f>C.2ResearchLong</f>
        <v>blank</v>
      </c>
      <c r="D28" s="925"/>
      <c r="E28" s="919"/>
    </row>
    <row r="29" spans="1:5" s="915" customFormat="1" ht="15" hidden="1" customHeight="1" outlineLevel="1">
      <c r="A29" s="924" t="s">
        <v>478</v>
      </c>
      <c r="B29" s="1045"/>
      <c r="C29" s="959" t="str">
        <f>C.2Models</f>
        <v>None</v>
      </c>
      <c r="D29" s="925"/>
      <c r="E29" s="919"/>
    </row>
    <row r="30" spans="1:5" ht="15" hidden="1" customHeight="1" outlineLevel="1">
      <c r="A30" s="924" t="s">
        <v>479</v>
      </c>
      <c r="B30" s="1045"/>
      <c r="C30" s="958" t="s">
        <v>480</v>
      </c>
      <c r="D30" s="925"/>
      <c r="E30" s="919"/>
    </row>
    <row r="31" spans="1:5" ht="15" customHeight="1" collapsed="1">
      <c r="A31" s="924" t="s">
        <v>144</v>
      </c>
      <c r="B31" s="1046">
        <f>C.2LandUseRating</f>
        <v>0</v>
      </c>
      <c r="C31" s="928" t="str">
        <f>C.2LandUse</f>
        <v>not involved</v>
      </c>
      <c r="D31" s="927"/>
      <c r="E31" s="919"/>
    </row>
    <row r="32" spans="1:5" ht="15" customHeight="1">
      <c r="A32" s="924" t="s">
        <v>452</v>
      </c>
      <c r="B32" s="1046">
        <f>C.2SIPRating</f>
        <v>0</v>
      </c>
      <c r="C32" s="928" t="str">
        <f>C.2StateImplementatonPlan</f>
        <v>not involved</v>
      </c>
      <c r="D32" s="927"/>
      <c r="E32" s="919"/>
    </row>
    <row r="33" spans="1:10" ht="15" customHeight="1">
      <c r="A33" s="924" t="s">
        <v>130</v>
      </c>
      <c r="B33" s="1046">
        <f>C.2ComplianceRating</f>
        <v>8</v>
      </c>
      <c r="C33" s="928" t="str">
        <f>C.2Compliance</f>
        <v>new</v>
      </c>
      <c r="D33" s="927"/>
      <c r="E33" s="919"/>
    </row>
    <row r="34" spans="1:10" ht="15" customHeight="1">
      <c r="A34" s="924" t="s">
        <v>131</v>
      </c>
      <c r="B34" s="1046">
        <f>C.2PenaltyRating</f>
        <v>10</v>
      </c>
      <c r="C34" s="928" t="str">
        <f>C.2Penalties</f>
        <v>expanded</v>
      </c>
      <c r="D34" s="927"/>
      <c r="E34" s="919"/>
    </row>
    <row r="35" spans="1:10" ht="15" customHeight="1">
      <c r="A35" s="924" t="s">
        <v>464</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6</v>
      </c>
      <c r="C38" s="942" t="str">
        <f>C.3ComplexityBlurb</f>
        <v>medium, manageable opposition</v>
      </c>
      <c r="D38" s="900"/>
      <c r="E38" s="919"/>
    </row>
    <row r="39" spans="1:10">
      <c r="A39" s="930" t="s">
        <v>228</v>
      </c>
      <c r="B39" s="1037"/>
      <c r="C39" s="902"/>
      <c r="D39" s="900"/>
      <c r="E39" s="919"/>
    </row>
    <row r="40" spans="1:10" ht="28.5">
      <c r="A40" s="931" t="s">
        <v>120</v>
      </c>
      <c r="B40" s="1037">
        <f>'3Stakeholders'!AB8</f>
        <v>5</v>
      </c>
      <c r="C40" s="932" t="str">
        <f>'3Stakeholders'!AA8</f>
        <v>affects  thousands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2</v>
      </c>
      <c r="C43" s="933" t="str">
        <f>'3Stakeholders'!AA11</f>
        <v>affects  currently regulated</v>
      </c>
      <c r="D43" s="901"/>
      <c r="E43" s="919"/>
    </row>
    <row r="44" spans="1:10">
      <c r="A44" s="931" t="s">
        <v>459</v>
      </c>
      <c r="B44" s="1037">
        <f>'3Stakeholders'!AB12</f>
        <v>0</v>
      </c>
      <c r="C44" s="933" t="str">
        <f>'3Stakeholders'!AA12</f>
        <v xml:space="preserve">not affected </v>
      </c>
      <c r="D44" s="901"/>
      <c r="E44" s="919"/>
    </row>
    <row r="45" spans="1:10">
      <c r="A45" s="931" t="s">
        <v>460</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4</v>
      </c>
      <c r="C47" s="932" t="str">
        <f>'3Stakeholders'!Y20</f>
        <v>moderate interest</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8</v>
      </c>
      <c r="C49" s="932" t="str">
        <f>'3Stakeholders'!Y22</f>
        <v>considerable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4</v>
      </c>
      <c r="C51" s="932" t="str">
        <f>'3Stakeholders'!Y24</f>
        <v>moderate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6</v>
      </c>
      <c r="C54" s="932" t="str">
        <f>'3Stakeholders'!Y27</f>
        <v>unknown at this time</v>
      </c>
      <c r="D54" s="901"/>
      <c r="E54" s="919"/>
    </row>
    <row r="55" spans="1:5">
      <c r="A55" s="931" t="s">
        <v>342</v>
      </c>
      <c r="B55" s="1037">
        <f>'3Stakeholders'!X28</f>
        <v>6</v>
      </c>
      <c r="C55" s="932" t="str">
        <f>'3Stakeholders'!Y28</f>
        <v>unknown at this time</v>
      </c>
      <c r="D55" s="901"/>
      <c r="E55" s="919"/>
    </row>
    <row r="56" spans="1:5">
      <c r="A56" s="931" t="s">
        <v>213</v>
      </c>
      <c r="B56" s="1037">
        <f>'3Stakeholders'!X29</f>
        <v>6</v>
      </c>
      <c r="C56" s="932" t="str">
        <f>'3Stakeholders'!Y29</f>
        <v>unknown at this time</v>
      </c>
      <c r="D56" s="901"/>
      <c r="E56" s="919"/>
    </row>
    <row r="57" spans="1:5">
      <c r="A57" s="931" t="s">
        <v>213</v>
      </c>
      <c r="B57" s="1037">
        <f>'3Stakeholders'!X30</f>
        <v>6</v>
      </c>
      <c r="C57" s="932" t="str">
        <f>'3Stakeholders'!Y30</f>
        <v>unknown at this time</v>
      </c>
      <c r="D57" s="901"/>
      <c r="E57" s="919"/>
    </row>
    <row r="58" spans="1:5">
      <c r="A58" s="930" t="s">
        <v>211</v>
      </c>
      <c r="B58" s="1037"/>
      <c r="C58" s="935"/>
      <c r="D58" s="901"/>
      <c r="E58" s="919"/>
    </row>
    <row r="59" spans="1:5">
      <c r="A59" s="931" t="s">
        <v>481</v>
      </c>
      <c r="B59" s="1037"/>
      <c r="C59" s="935" t="str">
        <f>C.3CommiteeAppointment</f>
        <v>appoint new</v>
      </c>
      <c r="D59" s="901"/>
      <c r="E59" s="919"/>
    </row>
    <row r="60" spans="1:5" ht="42.75">
      <c r="A60" s="931" t="s">
        <v>483</v>
      </c>
      <c r="B60" s="1037"/>
      <c r="C60" s="935" t="str">
        <f>C.3CommitteeType</f>
        <v xml:space="preserve"> rule language, implementation, and spill penalty</v>
      </c>
      <c r="D60" s="900"/>
      <c r="E60" s="919"/>
    </row>
    <row r="61" spans="1:5">
      <c r="A61" s="931" t="s">
        <v>482</v>
      </c>
      <c r="B61" s="1037"/>
      <c r="C61" s="983">
        <f>C.3NoOfACMeetings</f>
        <v>4</v>
      </c>
      <c r="D61" s="900"/>
      <c r="E61" s="919"/>
    </row>
    <row r="62" spans="1:5" s="915" customFormat="1" ht="57" hidden="1" outlineLevel="1">
      <c r="A62" s="931" t="s">
        <v>484</v>
      </c>
      <c r="B62" s="1037"/>
      <c r="C62" s="984" t="str">
        <f>C.3AppointmentStrategy</f>
        <v xml:space="preserve"> We will be having two committees, one for general penalties and a separate one for spills.</v>
      </c>
      <c r="D62" s="900"/>
      <c r="E62" s="919"/>
    </row>
    <row r="63" spans="1:5" s="915" customFormat="1" ht="71.25" hidden="1" outlineLevel="1">
      <c r="A63" s="931" t="s">
        <v>485</v>
      </c>
      <c r="B63" s="1037"/>
      <c r="C63" s="984" t="str">
        <f>C.3InputUse</f>
        <v xml:space="preserve">Make recommendations, especially for small business impacts, and DEQ will consider recommendations when finalizing rules. </v>
      </c>
      <c r="D63" s="900"/>
      <c r="E63" s="919"/>
    </row>
    <row r="64" spans="1:5" s="915" customFormat="1" collapsed="1">
      <c r="A64" s="930" t="s">
        <v>487</v>
      </c>
      <c r="B64" s="1037"/>
      <c r="C64" s="988"/>
      <c r="D64" s="900"/>
      <c r="E64" s="919"/>
    </row>
    <row r="65" spans="1:5" s="915" customFormat="1">
      <c r="A65" s="931" t="s">
        <v>488</v>
      </c>
      <c r="B65" s="1037"/>
      <c r="C65" s="988" t="str">
        <f>C.3WhereInfoMtgsHeld</f>
        <v>Regions &amp; Portland area</v>
      </c>
      <c r="D65" s="900"/>
      <c r="E65" s="919"/>
    </row>
    <row r="66" spans="1:5" s="915" customFormat="1">
      <c r="A66" s="931" t="s">
        <v>482</v>
      </c>
      <c r="B66" s="1037"/>
      <c r="C66" s="988">
        <f>C.3NoHearings</f>
        <v>4</v>
      </c>
      <c r="D66" s="900"/>
      <c r="E66" s="919"/>
    </row>
    <row r="67" spans="1:5" hidden="1" outlineLevel="1">
      <c r="A67" s="931" t="s">
        <v>489</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3</v>
      </c>
      <c r="C69" s="932" t="str">
        <f>C.4RatingBlurb</f>
        <v>potential for minor complexity</v>
      </c>
      <c r="D69" s="938"/>
      <c r="E69" s="919"/>
    </row>
    <row r="70" spans="1:5" s="915" customFormat="1" ht="15.75" customHeight="1">
      <c r="A70" s="930" t="s">
        <v>455</v>
      </c>
      <c r="B70" s="1038">
        <f>C.4SeverityRating</f>
        <v>7</v>
      </c>
      <c r="C70" s="997" t="str">
        <f>C.4SeverityStmt</f>
        <v>medium to high</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7</v>
      </c>
      <c r="C73" s="997" t="str">
        <f t="shared" si="0"/>
        <v>true</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7</v>
      </c>
      <c r="C75" s="997" t="str">
        <f t="shared" si="0"/>
        <v>true</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492</v>
      </c>
      <c r="B79" s="1038"/>
      <c r="C79" s="935"/>
      <c r="D79" s="902"/>
      <c r="E79" s="919"/>
    </row>
    <row r="80" spans="1:5" s="915" customFormat="1" ht="15.75" hidden="1" customHeight="1" outlineLevel="1">
      <c r="A80" s="999" t="s">
        <v>493</v>
      </c>
      <c r="B80" s="1038"/>
      <c r="C80" s="935" t="str">
        <f>C.4SubjectProgramConsiderations</f>
        <v xml:space="preserve"> </v>
      </c>
      <c r="D80" s="902"/>
      <c r="E80" s="919"/>
    </row>
    <row r="81" spans="1:10" s="915" customFormat="1" ht="16.5" hidden="1" customHeight="1" outlineLevel="1">
      <c r="A81" s="999" t="s">
        <v>494</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496</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455</v>
      </c>
      <c r="B87" s="1052">
        <f>C.5SeverityRating</f>
        <v>3</v>
      </c>
      <c r="C87" s="932" t="str">
        <f>'5Environmental'!Y6</f>
        <v>low to 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458</v>
      </c>
      <c r="B95" s="1039" t="s">
        <v>0</v>
      </c>
      <c r="C95" s="935"/>
      <c r="D95" s="944"/>
      <c r="E95" s="919"/>
    </row>
    <row r="96" spans="1:10" ht="15.75" customHeight="1">
      <c r="A96" s="1005" t="s">
        <v>457</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456</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497</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498</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2012-Q4 to 2013-Q3</v>
      </c>
      <c r="D104" s="904"/>
      <c r="E104" s="919"/>
    </row>
    <row r="105" spans="1:10" s="915" customFormat="1" ht="15" customHeight="1">
      <c r="A105" s="946" t="s">
        <v>54</v>
      </c>
      <c r="B105" s="1041">
        <f>'6Timing'!Z11</f>
        <v>0</v>
      </c>
      <c r="C105" s="988" t="str">
        <f>C.6SACStart.YrQtr</f>
        <v>2012-Q4</v>
      </c>
      <c r="D105" s="904"/>
      <c r="E105" s="919"/>
    </row>
    <row r="106" spans="1:10" ht="15" customHeight="1">
      <c r="A106" s="945" t="s">
        <v>211</v>
      </c>
      <c r="B106" s="1041">
        <f>IF(C106="not involved",0,MAX('6Timing'!Z12,'6Timing'!AB12,'6Timing'!AC12))</f>
        <v>7</v>
      </c>
      <c r="C106" s="923" t="str">
        <f>'6Timing'!AD12</f>
        <v>2012-Q4 to 2013-Q1</v>
      </c>
      <c r="D106" s="904"/>
      <c r="E106" s="919"/>
    </row>
    <row r="107" spans="1:10" ht="15" customHeight="1">
      <c r="A107" s="946" t="s">
        <v>461</v>
      </c>
      <c r="B107" s="1041">
        <f>IF(C107="not involved",0,MAX('6Timing'!Z13,'6Timing'!AB13,'6Timing'!AC13))</f>
        <v>7</v>
      </c>
      <c r="C107" s="923" t="str">
        <f>'6Timing'!AD13</f>
        <v>2013-Q2 to 2013-Q2</v>
      </c>
      <c r="D107" s="904"/>
      <c r="E107" s="919"/>
    </row>
    <row r="108" spans="1:10" ht="15" customHeight="1">
      <c r="A108" s="946" t="s">
        <v>462</v>
      </c>
      <c r="B108" s="1041">
        <f>'6Timing'!Z14</f>
        <v>0</v>
      </c>
      <c r="C108" s="923" t="str">
        <f>C.6SEQC.YrQtr</f>
        <v>2013-Q3</v>
      </c>
      <c r="D108" s="904"/>
      <c r="E108" s="919"/>
    </row>
    <row r="109" spans="1:10">
      <c r="A109" s="946" t="s">
        <v>55</v>
      </c>
      <c r="B109" s="1041">
        <f>'6Timing'!Z15</f>
        <v>0</v>
      </c>
      <c r="C109" s="1016" t="str">
        <f>C.6SEffective.YrQtr</f>
        <v>2013-Q3</v>
      </c>
    </row>
    <row r="110" spans="1:10" ht="15.75" hidden="1" customHeight="1" outlineLevel="1">
      <c r="A110" s="943" t="s">
        <v>499</v>
      </c>
      <c r="B110" s="1045"/>
      <c r="C110" s="1014" t="str">
        <f>C.6Rational</f>
        <v xml:space="preserve">Legislature passed increased penalty authority in 2009.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455</v>
      </c>
      <c r="B113" s="1046">
        <f>C.5SeverityRating</f>
        <v>3</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463</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6</v>
      </c>
      <c r="C124" s="935" t="s">
        <v>520</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6</v>
      </c>
      <c r="C131" s="1056" t="str">
        <f>'7Financial'!Y31</f>
        <v>unknown at this time</v>
      </c>
      <c r="D131" s="950"/>
      <c r="E131" s="919"/>
    </row>
    <row r="132" spans="1:10" ht="15.75" customHeight="1">
      <c r="A132" s="947" t="s">
        <v>447</v>
      </c>
      <c r="B132" s="1051">
        <f>'7Financial'!X32</f>
        <v>0</v>
      </c>
      <c r="C132" s="1056" t="str">
        <f>'7Financial'!Y32</f>
        <v>no fiscal impacts</v>
      </c>
      <c r="D132" s="950"/>
      <c r="E132" s="919"/>
    </row>
    <row r="133" spans="1:10" ht="15.75" customHeight="1">
      <c r="A133" s="947" t="s">
        <v>459</v>
      </c>
      <c r="B133" s="1051">
        <f>'7Financial'!X33</f>
        <v>0</v>
      </c>
      <c r="C133" s="1056" t="str">
        <f>'7Financial'!Y33</f>
        <v>no fiscal impacts</v>
      </c>
      <c r="D133" s="950"/>
      <c r="E133" s="919"/>
    </row>
    <row r="134" spans="1:10" ht="15.75" customHeight="1">
      <c r="A134" s="947" t="s">
        <v>460</v>
      </c>
      <c r="B134" s="1051">
        <f>'7Financial'!X34</f>
        <v>0</v>
      </c>
      <c r="C134" s="1056" t="str">
        <f>'7Financial'!Y34</f>
        <v>no fiscal impacts</v>
      </c>
      <c r="D134" s="950"/>
      <c r="E134" s="919"/>
    </row>
    <row r="135" spans="1:10" s="915" customFormat="1" ht="15.75" hidden="1" customHeight="1" outlineLevel="1">
      <c r="A135" s="934" t="s">
        <v>443</v>
      </c>
      <c r="B135" s="1051"/>
      <c r="C135" s="959" t="str">
        <f>'7Financial'!D39</f>
        <v>The only fiscal impact to external stakeholders would be if they violate Oregon's environmental laws.</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519</v>
      </c>
      <c r="B137" s="1051"/>
      <c r="C137" s="1054" t="str">
        <f>'7Financial'!G23</f>
        <v xml:space="preserve">ORS </v>
      </c>
      <c r="D137" s="951"/>
      <c r="E137" s="919"/>
    </row>
    <row r="138" spans="1:10" s="915" customFormat="1" ht="15.75" customHeight="1">
      <c r="A138" s="999" t="s">
        <v>517</v>
      </c>
      <c r="B138" s="1051">
        <f>'7Financial'!AA19</f>
        <v>0</v>
      </c>
      <c r="C138" s="932" t="str">
        <f>'7Financial'!AB18</f>
        <v>does not apply</v>
      </c>
      <c r="D138" s="951"/>
      <c r="E138" s="919"/>
    </row>
    <row r="139" spans="1:10" s="915" customFormat="1" ht="15.75" customHeight="1">
      <c r="A139" s="1055" t="s">
        <v>512</v>
      </c>
      <c r="B139" s="1051">
        <f>IF(C139=TRUE,7,0)</f>
        <v>0</v>
      </c>
      <c r="C139" s="932" t="str">
        <f>IF('7Financial'!X19=FALSE,"does not apply",LOWER('7Financial'!X19))</f>
        <v>does not apply</v>
      </c>
      <c r="D139" s="951"/>
      <c r="E139" s="919"/>
    </row>
    <row r="140" spans="1:10" s="915" customFormat="1" ht="15.75" customHeight="1">
      <c r="A140" s="1055" t="s">
        <v>513</v>
      </c>
      <c r="B140" s="1051">
        <f t="shared" ref="B140:B141" si="1">IF(C140=TRUE,7,0)</f>
        <v>0</v>
      </c>
      <c r="C140" s="932" t="str">
        <f>IF('7Financial'!X20=FALSE,"does not apply",LOWER('7Financial'!X20))</f>
        <v>does not apply</v>
      </c>
      <c r="D140" s="951"/>
      <c r="E140" s="919"/>
    </row>
    <row r="141" spans="1:10" s="915" customFormat="1" ht="15.75" customHeight="1">
      <c r="A141" s="1055" t="s">
        <v>514</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521</v>
      </c>
      <c r="B143" s="1051"/>
      <c r="C143" s="1057" t="str">
        <f>'7Financial'!D47</f>
        <v xml:space="preserve"> </v>
      </c>
      <c r="D143" s="952"/>
      <c r="E143" s="919"/>
    </row>
    <row r="144" spans="1:10" s="819" customFormat="1" ht="30" customHeight="1" collapsed="1">
      <c r="A144" s="1058" t="s">
        <v>522</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455</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true</v>
      </c>
      <c r="D148" s="904"/>
      <c r="E148" s="919"/>
    </row>
    <row r="149" spans="1:5" s="915" customFormat="1" ht="15" customHeight="1">
      <c r="A149" s="1007" t="str">
        <f>'8Legal'!D19</f>
        <v>Failure to comply with Clean Water Act</v>
      </c>
      <c r="B149" s="1051">
        <f t="shared" si="2"/>
        <v>0</v>
      </c>
      <c r="C149" s="942" t="str">
        <f>IF('8Legal'!X19=FALSE,"does not apply",LOWER('8Legal'!X19))</f>
        <v>true</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523</v>
      </c>
      <c r="B154" s="1041"/>
      <c r="C154" s="942"/>
      <c r="D154" s="904"/>
      <c r="E154" s="919"/>
    </row>
    <row r="155" spans="1:5" s="915" customFormat="1" ht="15" hidden="1" customHeight="1" outlineLevel="1">
      <c r="A155" s="1007" t="s">
        <v>524</v>
      </c>
      <c r="B155" s="1041"/>
      <c r="C155" s="959" t="str">
        <f>'8Legal'!D5</f>
        <v xml:space="preserve">ORS 468.020, 468.130 and 468.140 </v>
      </c>
      <c r="D155" s="904"/>
      <c r="E155" s="919"/>
    </row>
    <row r="156" spans="1:5" s="915" customFormat="1" ht="15" hidden="1" customHeight="1" outlineLevel="1">
      <c r="A156" s="1007" t="s">
        <v>525</v>
      </c>
      <c r="B156" s="1041"/>
      <c r="C156" s="959" t="str">
        <f>'8Legal'!D6</f>
        <v xml:space="preserve"> </v>
      </c>
      <c r="D156" s="904"/>
      <c r="E156" s="919"/>
    </row>
    <row r="157" spans="1:5" s="915" customFormat="1" ht="15" hidden="1" customHeight="1" outlineLevel="1">
      <c r="A157" s="1007" t="s">
        <v>528</v>
      </c>
      <c r="B157" s="1041"/>
      <c r="C157" s="959" t="str">
        <f>'8Legal'!D8</f>
        <v xml:space="preserve"> </v>
      </c>
      <c r="D157" s="904"/>
      <c r="E157" s="919"/>
    </row>
    <row r="158" spans="1:5" s="915" customFormat="1" ht="15" hidden="1" customHeight="1" outlineLevel="1">
      <c r="A158" s="1007" t="s">
        <v>529</v>
      </c>
      <c r="B158" s="1041"/>
      <c r="C158" s="959" t="str">
        <f>'8Legal'!D9</f>
        <v xml:space="preserve"> </v>
      </c>
      <c r="D158" s="904"/>
      <c r="E158" s="919"/>
    </row>
    <row r="159" spans="1:5" s="915" customFormat="1" ht="15" hidden="1" customHeight="1" outlineLevel="1">
      <c r="A159" s="1007" t="s">
        <v>526</v>
      </c>
      <c r="B159" s="1041"/>
      <c r="C159" s="959" t="str">
        <f>'8Legal'!D11</f>
        <v xml:space="preserve"> </v>
      </c>
      <c r="D159" s="904"/>
      <c r="E159" s="919"/>
    </row>
    <row r="160" spans="1:5" s="915" customFormat="1" ht="15" hidden="1" customHeight="1" outlineLevel="1">
      <c r="A160" s="1007" t="s">
        <v>527</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542</v>
      </c>
      <c r="B163" s="1041">
        <f>C.9Innovation</f>
        <v>1</v>
      </c>
      <c r="C163" s="932" t="str">
        <f>C.9InnovationBlurb</f>
        <v>low</v>
      </c>
      <c r="D163" s="904"/>
      <c r="E163" s="919"/>
    </row>
    <row r="164" spans="1:10" s="915" customFormat="1" ht="16.5" customHeight="1">
      <c r="A164" s="934" t="s">
        <v>541</v>
      </c>
      <c r="B164" s="1041">
        <f>C.9Infrastructure</f>
        <v>1</v>
      </c>
      <c r="C164" s="1054" t="str">
        <f>C.9InfrastructureBlurb</f>
        <v>low</v>
      </c>
      <c r="D164" s="904"/>
      <c r="E164" s="919"/>
    </row>
    <row r="165" spans="1:10" s="915" customFormat="1" ht="16.5" hidden="1" customHeight="1" outlineLevel="1">
      <c r="A165" s="934" t="s">
        <v>521</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543</v>
      </c>
      <c r="B168" s="1041">
        <f>C.10PolicyRisk</f>
        <v>2</v>
      </c>
      <c r="C168" s="940" t="str">
        <f>C.10PolicyRiskBlurb</f>
        <v>low/medium</v>
      </c>
      <c r="D168" s="904"/>
      <c r="E168" s="919"/>
      <c r="F168" s="915"/>
      <c r="G168" s="915"/>
      <c r="H168" s="915"/>
      <c r="I168" s="915"/>
      <c r="J168" s="915"/>
    </row>
    <row r="169" spans="1:10" s="247" customFormat="1" ht="16.5" hidden="1" customHeight="1" outlineLevel="1">
      <c r="A169" s="954" t="s">
        <v>243</v>
      </c>
      <c r="B169" s="1041"/>
      <c r="C169" s="940" t="str">
        <f>C.10Description</f>
        <v>May have to update current enforcement guidance.</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3</v>
      </c>
      <c r="C171" s="940" t="str">
        <f>C.11RatingBlurb</f>
        <v>potential for minor complexity</v>
      </c>
      <c r="D171" s="904"/>
      <c r="E171" s="919"/>
      <c r="F171" s="160"/>
      <c r="G171" s="160"/>
      <c r="H171" s="160"/>
      <c r="I171" s="160"/>
      <c r="J171" s="160"/>
    </row>
    <row r="172" spans="1:10" s="247" customFormat="1" ht="15.75" hidden="1" customHeight="1" outlineLevel="1">
      <c r="A172" s="954" t="s">
        <v>243</v>
      </c>
      <c r="B172" s="1041"/>
      <c r="C172" s="940" t="str">
        <f>C.11Description</f>
        <v xml:space="preserve">How to set appropriate penalty amounts for varying seriousness of environmental laws.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3</v>
      </c>
      <c r="C174" s="940" t="str">
        <f>C.12RatingBlurb</f>
        <v>potential for minor complexity</v>
      </c>
      <c r="D174" s="904"/>
      <c r="E174" s="919"/>
      <c r="F174" s="160"/>
      <c r="G174" s="160"/>
      <c r="H174" s="160"/>
      <c r="I174" s="160"/>
      <c r="J174" s="160"/>
    </row>
    <row r="175" spans="1:10" ht="15" hidden="1" customHeight="1" outlineLevel="1">
      <c r="A175" s="934" t="s">
        <v>243</v>
      </c>
      <c r="B175" s="1040"/>
      <c r="C175" s="959" t="str">
        <f>C.12Description</f>
        <v>Will need to update the Enforcement Guidance and may have to provide training for staff.</v>
      </c>
      <c r="D175" s="898"/>
      <c r="E175" s="919"/>
    </row>
    <row r="176" spans="1:10" s="915" customFormat="1" ht="15" customHeight="1" collapsed="1">
      <c r="A176" s="934"/>
      <c r="B176" s="1040"/>
      <c r="C176" s="959"/>
      <c r="D176" s="898"/>
      <c r="E176" s="919"/>
    </row>
    <row r="177" spans="1:10" s="909" customFormat="1" ht="30" hidden="1" customHeight="1" outlineLevel="1">
      <c r="A177" s="1060" t="s">
        <v>530</v>
      </c>
      <c r="B177" s="1053"/>
      <c r="C177" s="942"/>
      <c r="D177" s="908"/>
      <c r="E177" s="919"/>
      <c r="F177" s="915"/>
      <c r="G177" s="915"/>
      <c r="H177" s="915"/>
      <c r="I177" s="915"/>
      <c r="J177" s="915"/>
    </row>
    <row r="178" spans="1:10" hidden="1" outlineLevel="1">
      <c r="A178" s="1059" t="s">
        <v>531</v>
      </c>
      <c r="B178" s="1041" t="str">
        <f>C.4Message</f>
        <v xml:space="preserve"> </v>
      </c>
      <c r="C178" s="1061" t="s">
        <v>0</v>
      </c>
      <c r="D178" s="898"/>
      <c r="E178" s="919"/>
    </row>
    <row r="179" spans="1:10" hidden="1" outlineLevel="1">
      <c r="A179" s="1059" t="s">
        <v>532</v>
      </c>
      <c r="B179" s="1040" t="str">
        <f>C.5Message</f>
        <v xml:space="preserve"> </v>
      </c>
      <c r="C179" s="902"/>
      <c r="D179" s="898"/>
      <c r="E179" s="919"/>
    </row>
    <row r="180" spans="1:10" hidden="1" outlineLevel="1">
      <c r="A180" s="1059" t="s">
        <v>533</v>
      </c>
      <c r="B180" s="1040" t="str">
        <f>C.6Message</f>
        <v xml:space="preserve"> </v>
      </c>
      <c r="C180" s="902"/>
      <c r="D180" s="898"/>
      <c r="E180" s="919"/>
    </row>
    <row r="181" spans="1:10" hidden="1" outlineLevel="1">
      <c r="A181" s="1059" t="s">
        <v>534</v>
      </c>
      <c r="B181" s="1040" t="str">
        <f>C.7Message</f>
        <v xml:space="preserve"> </v>
      </c>
      <c r="C181" s="902"/>
      <c r="D181" s="898"/>
      <c r="E181" s="919"/>
    </row>
    <row r="182" spans="1:10" s="915" customFormat="1" hidden="1" outlineLevel="1">
      <c r="A182" s="1059" t="s">
        <v>535</v>
      </c>
      <c r="B182" s="1040" t="str">
        <f>C.8Message</f>
        <v xml:space="preserve"> </v>
      </c>
      <c r="C182" s="902"/>
      <c r="D182" s="898"/>
      <c r="E182" s="919"/>
    </row>
    <row r="183" spans="1:10" s="915" customFormat="1" hidden="1" outlineLevel="1">
      <c r="A183" s="1059" t="s">
        <v>536</v>
      </c>
      <c r="B183" s="1040" t="str">
        <f>C.9Message</f>
        <v xml:space="preserve"> </v>
      </c>
      <c r="C183" s="902"/>
      <c r="D183" s="898"/>
      <c r="E183" s="919"/>
    </row>
    <row r="184" spans="1:10" s="915" customFormat="1" hidden="1" outlineLevel="1">
      <c r="A184" s="1059" t="s">
        <v>537</v>
      </c>
      <c r="B184" s="1040" t="str">
        <f>C.10Message</f>
        <v xml:space="preserve"> </v>
      </c>
      <c r="C184" s="902"/>
      <c r="D184" s="898"/>
      <c r="E184" s="919"/>
    </row>
    <row r="185" spans="1:10" hidden="1" outlineLevel="1">
      <c r="A185" s="1059" t="s">
        <v>538</v>
      </c>
      <c r="B185" s="1040" t="str">
        <f>C.11Message</f>
        <v>Y</v>
      </c>
      <c r="C185" s="902"/>
      <c r="D185" s="898"/>
      <c r="E185" s="919"/>
    </row>
    <row r="186" spans="1:10" hidden="1" outlineLevel="1">
      <c r="A186" s="1059" t="s">
        <v>539</v>
      </c>
      <c r="B186" s="1040" t="str">
        <f>C.12Message</f>
        <v xml:space="preserve"> </v>
      </c>
      <c r="C186" s="902"/>
      <c r="D186" s="898"/>
      <c r="E186" s="919"/>
    </row>
    <row r="187" spans="1:10" ht="18" hidden="1" outlineLevel="1">
      <c r="A187" s="1060" t="s">
        <v>540</v>
      </c>
      <c r="B187" s="1040"/>
      <c r="C187" s="902"/>
      <c r="D187" s="898"/>
      <c r="E187" s="919"/>
    </row>
    <row r="188" spans="1:10" hidden="1" outlineLevel="1">
      <c r="A188" s="1059" t="s">
        <v>531</v>
      </c>
      <c r="B188" s="1040" t="str">
        <f>C.4Charter</f>
        <v xml:space="preserve"> </v>
      </c>
      <c r="C188" s="902"/>
      <c r="D188" s="898"/>
      <c r="E188" s="919"/>
    </row>
    <row r="189" spans="1:10" hidden="1" outlineLevel="1">
      <c r="A189" s="1059" t="s">
        <v>532</v>
      </c>
      <c r="B189" s="1040" t="str">
        <f>C.5Charter</f>
        <v xml:space="preserve"> </v>
      </c>
      <c r="C189" s="902"/>
      <c r="D189" s="898"/>
      <c r="E189" s="919"/>
    </row>
    <row r="190" spans="1:10" hidden="1" outlineLevel="1">
      <c r="A190" s="1059" t="s">
        <v>533</v>
      </c>
      <c r="B190" s="1040" t="str">
        <f>C.6Charter</f>
        <v xml:space="preserve"> </v>
      </c>
      <c r="C190" s="902"/>
      <c r="D190" s="920"/>
      <c r="E190" s="919"/>
    </row>
    <row r="191" spans="1:10" hidden="1" outlineLevel="1">
      <c r="A191" s="1059" t="s">
        <v>534</v>
      </c>
      <c r="B191" s="1040" t="str">
        <f>C.7Charter</f>
        <v xml:space="preserve"> </v>
      </c>
      <c r="C191" s="902"/>
      <c r="D191" s="920"/>
      <c r="E191" s="919"/>
    </row>
    <row r="192" spans="1:10" hidden="1" outlineLevel="1">
      <c r="A192" s="1059" t="s">
        <v>535</v>
      </c>
      <c r="B192" s="1040" t="str">
        <f>C.8Charter</f>
        <v xml:space="preserve"> </v>
      </c>
      <c r="C192" s="902"/>
      <c r="D192" s="920"/>
      <c r="E192" s="919"/>
    </row>
    <row r="193" spans="1:5" hidden="1" outlineLevel="1">
      <c r="A193" s="1059" t="s">
        <v>536</v>
      </c>
      <c r="B193" s="1040" t="str">
        <f>C.9Charter</f>
        <v xml:space="preserve"> </v>
      </c>
      <c r="C193" s="902"/>
      <c r="D193" s="920"/>
      <c r="E193" s="919"/>
    </row>
    <row r="194" spans="1:5" hidden="1" outlineLevel="1">
      <c r="A194" s="1059" t="s">
        <v>537</v>
      </c>
      <c r="B194" s="1040" t="str">
        <f>C.10Charter</f>
        <v xml:space="preserve"> </v>
      </c>
      <c r="C194" s="902"/>
      <c r="D194" s="920"/>
      <c r="E194" s="919"/>
    </row>
    <row r="195" spans="1:5" hidden="1" outlineLevel="1">
      <c r="A195" s="1059" t="s">
        <v>538</v>
      </c>
      <c r="B195" s="1040" t="str">
        <f>C.11Charter</f>
        <v>Y</v>
      </c>
      <c r="C195" s="902"/>
      <c r="D195" s="920"/>
      <c r="E195" s="919"/>
    </row>
    <row r="196" spans="1:5" hidden="1" outlineLevel="1">
      <c r="A196" s="1059" t="s">
        <v>539</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531</v>
      </c>
      <c r="B198" s="1040" t="str">
        <f>C.4Proposal</f>
        <v xml:space="preserve"> </v>
      </c>
      <c r="C198" s="902"/>
      <c r="D198" s="898"/>
      <c r="E198" s="919"/>
    </row>
    <row r="199" spans="1:5" s="915" customFormat="1" hidden="1" outlineLevel="1">
      <c r="A199" s="1059" t="s">
        <v>532</v>
      </c>
      <c r="B199" s="1040" t="str">
        <f>C.5Proposal</f>
        <v xml:space="preserve"> </v>
      </c>
      <c r="C199" s="902"/>
      <c r="D199" s="898"/>
      <c r="E199" s="919"/>
    </row>
    <row r="200" spans="1:5" s="915" customFormat="1" hidden="1" outlineLevel="1">
      <c r="A200" s="1059" t="s">
        <v>533</v>
      </c>
      <c r="B200" s="1040" t="str">
        <f>C.6Proposal</f>
        <v xml:space="preserve"> </v>
      </c>
      <c r="C200" s="902"/>
      <c r="D200" s="920"/>
      <c r="E200" s="919"/>
    </row>
    <row r="201" spans="1:5" s="915" customFormat="1" hidden="1" outlineLevel="1">
      <c r="A201" s="1059" t="s">
        <v>534</v>
      </c>
      <c r="B201" s="1040" t="str">
        <f>C.7Proposal</f>
        <v xml:space="preserve"> </v>
      </c>
      <c r="C201" s="902"/>
      <c r="D201" s="920"/>
      <c r="E201" s="919"/>
    </row>
    <row r="202" spans="1:5" s="915" customFormat="1" hidden="1" outlineLevel="1">
      <c r="A202" s="1059" t="s">
        <v>535</v>
      </c>
      <c r="B202" s="1040" t="str">
        <f>C.8Proposal</f>
        <v xml:space="preserve"> </v>
      </c>
      <c r="C202" s="902"/>
      <c r="D202" s="920"/>
      <c r="E202" s="919"/>
    </row>
    <row r="203" spans="1:5" s="915" customFormat="1" hidden="1" outlineLevel="1">
      <c r="A203" s="1059" t="s">
        <v>536</v>
      </c>
      <c r="B203" s="1040" t="str">
        <f>C.9Proposal</f>
        <v xml:space="preserve"> </v>
      </c>
      <c r="C203" s="902"/>
      <c r="D203" s="920"/>
      <c r="E203" s="919"/>
    </row>
    <row r="204" spans="1:5" s="915" customFormat="1" hidden="1" outlineLevel="1">
      <c r="A204" s="1059" t="s">
        <v>537</v>
      </c>
      <c r="B204" s="1040" t="str">
        <f>C.10Proposal</f>
        <v xml:space="preserve"> </v>
      </c>
      <c r="C204" s="902"/>
      <c r="D204" s="920"/>
      <c r="E204" s="919"/>
    </row>
    <row r="205" spans="1:5" s="915" customFormat="1" hidden="1" outlineLevel="1">
      <c r="A205" s="1059" t="s">
        <v>538</v>
      </c>
      <c r="B205" s="1040" t="str">
        <f>C.11Proposal</f>
        <v>Y</v>
      </c>
      <c r="C205" s="902"/>
      <c r="D205" s="920"/>
      <c r="E205" s="919"/>
    </row>
    <row r="206" spans="1:5" s="915" customFormat="1" hidden="1" outlineLevel="1">
      <c r="A206" s="1059" t="s">
        <v>539</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13" sqref="F13"/>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961</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961</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961</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961</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961</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961</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961</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t="s">
        <v>1064</v>
      </c>
      <c r="E13" s="839" t="s">
        <v>1065</v>
      </c>
      <c r="F13" s="842" t="s">
        <v>1066</v>
      </c>
      <c r="G13" s="362"/>
      <c r="H13" s="556"/>
      <c r="I13" s="385" t="s">
        <v>961</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961</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491</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41226</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8" zoomScaleNormal="100" workbookViewId="0">
      <selection activeCell="D47" sqref="D47:G47"/>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1067</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1028</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449</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263" t="s">
        <v>1068</v>
      </c>
      <c r="L7" s="1264"/>
      <c r="M7" s="1264"/>
      <c r="N7" s="1264"/>
      <c r="O7" s="1264"/>
      <c r="P7" s="1264"/>
      <c r="Q7" s="1264"/>
      <c r="R7" s="1264"/>
      <c r="S7" s="1264"/>
      <c r="T7" s="1265"/>
      <c r="U7" s="205"/>
      <c r="V7" s="559"/>
      <c r="W7" s="313" t="s">
        <v>970</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384</v>
      </c>
      <c r="F10" s="1250"/>
      <c r="G10" s="1251"/>
      <c r="H10" s="1243" t="s">
        <v>9</v>
      </c>
      <c r="I10" s="1243"/>
      <c r="J10" s="225"/>
      <c r="K10" s="438">
        <v>1</v>
      </c>
      <c r="L10" s="439">
        <v>2</v>
      </c>
      <c r="M10" s="440">
        <v>3</v>
      </c>
      <c r="N10" s="441">
        <v>4</v>
      </c>
      <c r="O10" s="442">
        <v>5</v>
      </c>
      <c r="P10" s="443">
        <v>6</v>
      </c>
      <c r="Q10" s="444">
        <v>7</v>
      </c>
      <c r="R10" s="445">
        <v>8</v>
      </c>
      <c r="S10" s="446">
        <v>9</v>
      </c>
      <c r="T10" s="447">
        <v>10</v>
      </c>
      <c r="U10" s="292"/>
      <c r="V10" s="559"/>
      <c r="W10" s="313" t="s">
        <v>646</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646</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646</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646</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9</v>
      </c>
      <c r="I14" s="1243"/>
      <c r="J14" s="225"/>
      <c r="K14" s="458">
        <v>1</v>
      </c>
      <c r="L14" s="429">
        <v>2</v>
      </c>
      <c r="M14" s="430">
        <v>3</v>
      </c>
      <c r="N14" s="431">
        <v>4</v>
      </c>
      <c r="O14" s="432">
        <v>5</v>
      </c>
      <c r="P14" s="433">
        <v>6</v>
      </c>
      <c r="Q14" s="434">
        <v>7</v>
      </c>
      <c r="R14" s="435">
        <v>8</v>
      </c>
      <c r="S14" s="436">
        <v>9</v>
      </c>
      <c r="T14" s="459">
        <v>10</v>
      </c>
      <c r="U14" s="292"/>
      <c r="V14" s="559"/>
      <c r="W14" s="313" t="s">
        <v>646</v>
      </c>
      <c r="X14" s="52">
        <f t="shared" si="0"/>
        <v>3</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9</v>
      </c>
      <c r="I15" s="1243"/>
      <c r="J15" s="225"/>
      <c r="K15" s="438">
        <v>1</v>
      </c>
      <c r="L15" s="439">
        <v>2</v>
      </c>
      <c r="M15" s="440">
        <v>3</v>
      </c>
      <c r="N15" s="441">
        <v>4</v>
      </c>
      <c r="O15" s="442">
        <v>5</v>
      </c>
      <c r="P15" s="443">
        <v>6</v>
      </c>
      <c r="Q15" s="444">
        <v>7</v>
      </c>
      <c r="R15" s="445">
        <v>8</v>
      </c>
      <c r="S15" s="446">
        <v>9</v>
      </c>
      <c r="T15" s="447">
        <v>10</v>
      </c>
      <c r="U15" s="292"/>
      <c r="V15" s="559"/>
      <c r="W15" s="313" t="s">
        <v>646</v>
      </c>
      <c r="X15" s="52">
        <f t="shared" si="0"/>
        <v>3</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205</v>
      </c>
      <c r="I16" s="1243"/>
      <c r="J16" s="225"/>
      <c r="K16" s="438">
        <v>1</v>
      </c>
      <c r="L16" s="439">
        <v>2</v>
      </c>
      <c r="M16" s="440">
        <v>3</v>
      </c>
      <c r="N16" s="441">
        <v>4</v>
      </c>
      <c r="O16" s="442">
        <v>5</v>
      </c>
      <c r="P16" s="443">
        <v>6</v>
      </c>
      <c r="Q16" s="444">
        <v>7</v>
      </c>
      <c r="R16" s="445">
        <v>8</v>
      </c>
      <c r="S16" s="446">
        <v>9</v>
      </c>
      <c r="T16" s="447">
        <v>10</v>
      </c>
      <c r="U16" s="292"/>
      <c r="V16" s="559"/>
      <c r="W16" s="313" t="s">
        <v>646</v>
      </c>
      <c r="X16" s="52">
        <f t="shared" si="0"/>
        <v>6</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454</v>
      </c>
      <c r="F17" s="1250"/>
      <c r="G17" s="1251"/>
      <c r="H17" s="1243" t="s">
        <v>205</v>
      </c>
      <c r="I17" s="1243"/>
      <c r="J17" s="225"/>
      <c r="K17" s="458">
        <v>1</v>
      </c>
      <c r="L17" s="429">
        <v>2</v>
      </c>
      <c r="M17" s="430">
        <v>3</v>
      </c>
      <c r="N17" s="431">
        <v>4</v>
      </c>
      <c r="O17" s="432">
        <v>5</v>
      </c>
      <c r="P17" s="433">
        <v>6</v>
      </c>
      <c r="Q17" s="434">
        <v>7</v>
      </c>
      <c r="R17" s="435">
        <v>8</v>
      </c>
      <c r="S17" s="436">
        <v>9</v>
      </c>
      <c r="T17" s="459">
        <v>10</v>
      </c>
      <c r="U17" s="292"/>
      <c r="V17" s="559"/>
      <c r="W17" s="313" t="s">
        <v>646</v>
      </c>
      <c r="X17" s="52">
        <f t="shared" si="0"/>
        <v>6</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4.2</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30" customHeight="1">
      <c r="A22" s="599"/>
      <c r="B22" s="559"/>
      <c r="C22" s="279"/>
      <c r="D22" s="116" t="s">
        <v>196</v>
      </c>
      <c r="E22" s="1222" t="s">
        <v>1069</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472</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30" customHeight="1">
      <c r="A25" s="599"/>
      <c r="B25" s="559"/>
      <c r="C25" s="279"/>
      <c r="D25" s="116" t="s">
        <v>196</v>
      </c>
      <c r="E25" s="1256" t="s">
        <v>1070</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t="s">
        <v>472</v>
      </c>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48.75" customHeight="1">
      <c r="A28" s="599"/>
      <c r="B28" s="559"/>
      <c r="C28" s="279"/>
      <c r="D28" s="116" t="s">
        <v>196</v>
      </c>
      <c r="E28" s="1256" t="s">
        <v>1071</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472</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450</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472</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1072</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472</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411</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1073</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472</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397</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645</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645</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1074</v>
      </c>
      <c r="E45" s="1234"/>
      <c r="F45" s="1234"/>
      <c r="G45" s="1234"/>
      <c r="H45" s="1234" t="s">
        <v>1075</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1076</v>
      </c>
      <c r="E46" s="1234"/>
      <c r="F46" s="1234"/>
      <c r="G46" s="1234"/>
      <c r="H46" s="1234" t="s">
        <v>1075</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1077</v>
      </c>
      <c r="E47" s="1234"/>
      <c r="F47" s="1234"/>
      <c r="G47" s="1234"/>
      <c r="H47" s="1234" t="s">
        <v>1075</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4</v>
      </c>
      <c r="Y52" s="889" t="s">
        <v>394</v>
      </c>
      <c r="Z52" s="890">
        <f>IF(X52=1,0,X52*2)</f>
        <v>8</v>
      </c>
      <c r="AA52" s="883" t="str">
        <f>IF(X52=2,"reduced",IF(X52=3,"involved, not new or expanded",IF(X52=4,"new",IF(X52=5,"expanded","not involved"))))</f>
        <v>new</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5</v>
      </c>
      <c r="Y53" s="147"/>
      <c r="Z53" s="890">
        <f>IF(X53=1,0,X53*2)</f>
        <v>10</v>
      </c>
      <c r="AA53" s="612" t="str">
        <f>IF(X53=2,"reduced",IF(X53=3,"involved, not new or expanded",IF(X53=4,"new",IF(X53=5,"expanded","not involved"))))</f>
        <v>expanded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643</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490</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41226</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2" yWindow="213"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2" workbookViewId="0">
      <selection activeCell="D56" sqref="D56:R5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Division 12 Updates</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701</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2</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303" t="str">
        <f>IF(AB6&gt;0,"thousands of ",IF(AA6&gt;0,"hundreds of ", IF(Z6&gt;0,"under one hundred ","")))</f>
        <v xml:space="preserve">thousands of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c r="M8" s="1285"/>
      <c r="N8" s="1286"/>
      <c r="O8" s="1288" t="s">
        <v>1078</v>
      </c>
      <c r="P8" s="1288"/>
      <c r="Q8" s="1288"/>
      <c r="R8" s="114"/>
      <c r="S8" s="205"/>
      <c r="T8" s="563"/>
      <c r="U8" s="313" t="s">
        <v>316</v>
      </c>
      <c r="V8" s="313"/>
      <c r="W8" s="167"/>
      <c r="X8" s="665">
        <v>2</v>
      </c>
      <c r="Y8" s="470">
        <f>IF($O8="X",3,IF($L8="X",2,IF($I8="X",1,"0")))</f>
        <v>3</v>
      </c>
      <c r="Z8" s="470" t="str">
        <f>IF($O8="X"," thousands",IF($L8="X"," hundreds",IF($I8="X"," under 100","")))</f>
        <v xml:space="preserve"> thousands</v>
      </c>
      <c r="AA8" s="637" t="str">
        <f>IF(X8=1,"not affected ",IF(X8=2,"affects "&amp;Z8&amp;" currently regulated","affects "&amp;Z8&amp;" previously unregulated"))</f>
        <v>affects  thousands currently regulated</v>
      </c>
      <c r="AB8" s="638">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t="s">
        <v>1078</v>
      </c>
      <c r="M9" s="1285"/>
      <c r="N9" s="1286"/>
      <c r="O9" s="1288"/>
      <c r="P9" s="1288"/>
      <c r="Q9" s="1288"/>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t="s">
        <v>1078</v>
      </c>
      <c r="M10" s="1285"/>
      <c r="N10" s="1286"/>
      <c r="O10" s="1288"/>
      <c r="P10" s="1288"/>
      <c r="Q10" s="1288"/>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2</v>
      </c>
      <c r="Y11" s="470" t="str">
        <f t="shared" si="0"/>
        <v>0</v>
      </c>
      <c r="Z11" s="470" t="str">
        <f t="shared" si="1"/>
        <v/>
      </c>
      <c r="AA11" s="637" t="str">
        <f t="shared" si="2"/>
        <v>affects  currently regulated</v>
      </c>
      <c r="AB11" s="638">
        <f t="shared" si="3"/>
        <v>2</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3</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202</v>
      </c>
      <c r="G20" s="1297"/>
      <c r="H20" s="18">
        <v>1</v>
      </c>
      <c r="I20" s="19">
        <v>2</v>
      </c>
      <c r="J20" s="20">
        <v>3</v>
      </c>
      <c r="K20" s="21">
        <v>4</v>
      </c>
      <c r="L20" s="22">
        <v>5</v>
      </c>
      <c r="M20" s="23">
        <v>6</v>
      </c>
      <c r="N20" s="24">
        <v>7</v>
      </c>
      <c r="O20" s="25">
        <v>8</v>
      </c>
      <c r="P20" s="26">
        <v>9</v>
      </c>
      <c r="Q20" s="27">
        <v>10</v>
      </c>
      <c r="R20" s="267"/>
      <c r="S20" s="47"/>
      <c r="T20" s="563"/>
      <c r="U20" s="313" t="s">
        <v>974</v>
      </c>
      <c r="V20" s="169"/>
      <c r="W20" s="169"/>
      <c r="X20" s="52">
        <f t="shared" ref="X20:X30" si="4">VLOOKUP($F20,C.VL_InterestInRule,2,FALSE)</f>
        <v>4</v>
      </c>
      <c r="Y20" s="888" t="str">
        <f>F20</f>
        <v>moderate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202</v>
      </c>
      <c r="G21" s="1297"/>
      <c r="H21" s="18">
        <v>1</v>
      </c>
      <c r="I21" s="19">
        <v>2</v>
      </c>
      <c r="J21" s="20">
        <v>3</v>
      </c>
      <c r="K21" s="21">
        <v>4</v>
      </c>
      <c r="L21" s="22">
        <v>5</v>
      </c>
      <c r="M21" s="23">
        <v>6</v>
      </c>
      <c r="N21" s="24">
        <v>7</v>
      </c>
      <c r="O21" s="25">
        <v>8</v>
      </c>
      <c r="P21" s="26">
        <v>9</v>
      </c>
      <c r="Q21" s="27">
        <v>10</v>
      </c>
      <c r="R21" s="267"/>
      <c r="S21" s="47"/>
      <c r="T21" s="563"/>
      <c r="U21" s="313" t="s">
        <v>974</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203</v>
      </c>
      <c r="G22" s="1297"/>
      <c r="H22" s="18">
        <v>1</v>
      </c>
      <c r="I22" s="19">
        <v>2</v>
      </c>
      <c r="J22" s="20">
        <v>3</v>
      </c>
      <c r="K22" s="21">
        <v>4</v>
      </c>
      <c r="L22" s="22">
        <v>5</v>
      </c>
      <c r="M22" s="23">
        <v>6</v>
      </c>
      <c r="N22" s="24">
        <v>7</v>
      </c>
      <c r="O22" s="25">
        <v>8</v>
      </c>
      <c r="P22" s="26">
        <v>9</v>
      </c>
      <c r="Q22" s="27">
        <v>10</v>
      </c>
      <c r="R22" s="267"/>
      <c r="S22" s="47"/>
      <c r="T22" s="563"/>
      <c r="U22" s="313" t="s">
        <v>974</v>
      </c>
      <c r="V22" s="169"/>
      <c r="W22" s="169"/>
      <c r="X22" s="52">
        <f t="shared" si="4"/>
        <v>8</v>
      </c>
      <c r="Y22" s="888" t="str">
        <f t="shared" si="5"/>
        <v>considerable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200</v>
      </c>
      <c r="G23" s="1297"/>
      <c r="H23" s="18">
        <v>1</v>
      </c>
      <c r="I23" s="19">
        <v>2</v>
      </c>
      <c r="J23" s="20">
        <v>3</v>
      </c>
      <c r="K23" s="21">
        <v>4</v>
      </c>
      <c r="L23" s="22">
        <v>5</v>
      </c>
      <c r="M23" s="23">
        <v>6</v>
      </c>
      <c r="N23" s="24">
        <v>7</v>
      </c>
      <c r="O23" s="25">
        <v>8</v>
      </c>
      <c r="P23" s="26">
        <v>9</v>
      </c>
      <c r="Q23" s="27">
        <v>10</v>
      </c>
      <c r="R23" s="267"/>
      <c r="S23" s="47"/>
      <c r="T23" s="563"/>
      <c r="U23" s="313" t="s">
        <v>974</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202</v>
      </c>
      <c r="G24" s="1297"/>
      <c r="H24" s="18">
        <v>1</v>
      </c>
      <c r="I24" s="19">
        <v>2</v>
      </c>
      <c r="J24" s="20">
        <v>3</v>
      </c>
      <c r="K24" s="21">
        <v>4</v>
      </c>
      <c r="L24" s="22">
        <v>5</v>
      </c>
      <c r="M24" s="23">
        <v>6</v>
      </c>
      <c r="N24" s="24">
        <v>7</v>
      </c>
      <c r="O24" s="25">
        <v>8</v>
      </c>
      <c r="P24" s="26">
        <v>9</v>
      </c>
      <c r="Q24" s="27">
        <v>10</v>
      </c>
      <c r="R24" s="267"/>
      <c r="S24" s="47"/>
      <c r="T24" s="563"/>
      <c r="U24" s="313" t="s">
        <v>974</v>
      </c>
      <c r="V24" s="169"/>
      <c r="W24" s="169"/>
      <c r="X24" s="52">
        <f t="shared" si="4"/>
        <v>4</v>
      </c>
      <c r="Y24" s="888" t="str">
        <f t="shared" si="5"/>
        <v>moderate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202</v>
      </c>
      <c r="G25" s="1297"/>
      <c r="H25" s="18">
        <v>1</v>
      </c>
      <c r="I25" s="19">
        <v>2</v>
      </c>
      <c r="J25" s="20">
        <v>3</v>
      </c>
      <c r="K25" s="21">
        <v>4</v>
      </c>
      <c r="L25" s="22">
        <v>5</v>
      </c>
      <c r="M25" s="23">
        <v>6</v>
      </c>
      <c r="N25" s="24">
        <v>7</v>
      </c>
      <c r="O25" s="25">
        <v>8</v>
      </c>
      <c r="P25" s="26">
        <v>9</v>
      </c>
      <c r="Q25" s="27">
        <v>10</v>
      </c>
      <c r="R25" s="267"/>
      <c r="S25" s="47"/>
      <c r="T25" s="563"/>
      <c r="U25" s="313" t="s">
        <v>974</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200</v>
      </c>
      <c r="G26" s="1297"/>
      <c r="H26" s="18">
        <v>1</v>
      </c>
      <c r="I26" s="19">
        <v>2</v>
      </c>
      <c r="J26" s="20">
        <v>3</v>
      </c>
      <c r="K26" s="21">
        <v>4</v>
      </c>
      <c r="L26" s="22">
        <v>5</v>
      </c>
      <c r="M26" s="23">
        <v>6</v>
      </c>
      <c r="N26" s="24">
        <v>7</v>
      </c>
      <c r="O26" s="25">
        <v>8</v>
      </c>
      <c r="P26" s="26">
        <v>9</v>
      </c>
      <c r="Q26" s="27">
        <v>10</v>
      </c>
      <c r="R26" s="267"/>
      <c r="S26" s="47"/>
      <c r="T26" s="563"/>
      <c r="U26" s="313" t="s">
        <v>974</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205</v>
      </c>
      <c r="G27" s="1297"/>
      <c r="H27" s="18">
        <v>1</v>
      </c>
      <c r="I27" s="19">
        <v>2</v>
      </c>
      <c r="J27" s="20">
        <v>3</v>
      </c>
      <c r="K27" s="21">
        <v>4</v>
      </c>
      <c r="L27" s="22">
        <v>5</v>
      </c>
      <c r="M27" s="23">
        <v>6</v>
      </c>
      <c r="N27" s="24">
        <v>7</v>
      </c>
      <c r="O27" s="25">
        <v>8</v>
      </c>
      <c r="P27" s="26">
        <v>9</v>
      </c>
      <c r="Q27" s="27">
        <v>10</v>
      </c>
      <c r="R27" s="267"/>
      <c r="S27" s="47"/>
      <c r="T27" s="563"/>
      <c r="U27" s="313" t="s">
        <v>974</v>
      </c>
      <c r="V27" s="169"/>
      <c r="W27" s="169"/>
      <c r="X27" s="52">
        <f t="shared" si="4"/>
        <v>6</v>
      </c>
      <c r="Y27" s="888" t="str">
        <f t="shared" si="5"/>
        <v>unknown at this time</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205</v>
      </c>
      <c r="G28" s="1297"/>
      <c r="H28" s="18">
        <v>1</v>
      </c>
      <c r="I28" s="19">
        <v>2</v>
      </c>
      <c r="J28" s="20">
        <v>3</v>
      </c>
      <c r="K28" s="21">
        <v>4</v>
      </c>
      <c r="L28" s="22">
        <v>5</v>
      </c>
      <c r="M28" s="23">
        <v>6</v>
      </c>
      <c r="N28" s="24">
        <v>7</v>
      </c>
      <c r="O28" s="25">
        <v>8</v>
      </c>
      <c r="P28" s="26">
        <v>9</v>
      </c>
      <c r="Q28" s="27">
        <v>10</v>
      </c>
      <c r="R28" s="267"/>
      <c r="S28" s="47"/>
      <c r="T28" s="563"/>
      <c r="U28" s="313" t="s">
        <v>974</v>
      </c>
      <c r="V28" s="169"/>
      <c r="W28" s="169"/>
      <c r="X28" s="52">
        <f t="shared" si="4"/>
        <v>6</v>
      </c>
      <c r="Y28" s="888" t="str">
        <f t="shared" si="5"/>
        <v>unknown at this time</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205</v>
      </c>
      <c r="G29" s="1297"/>
      <c r="H29" s="18">
        <v>1</v>
      </c>
      <c r="I29" s="19">
        <v>2</v>
      </c>
      <c r="J29" s="20">
        <v>3</v>
      </c>
      <c r="K29" s="21">
        <v>4</v>
      </c>
      <c r="L29" s="22">
        <v>5</v>
      </c>
      <c r="M29" s="23">
        <v>6</v>
      </c>
      <c r="N29" s="24">
        <v>7</v>
      </c>
      <c r="O29" s="25">
        <v>8</v>
      </c>
      <c r="P29" s="26">
        <v>9</v>
      </c>
      <c r="Q29" s="27">
        <v>10</v>
      </c>
      <c r="R29" s="267"/>
      <c r="S29" s="47"/>
      <c r="T29" s="563"/>
      <c r="U29" s="313" t="s">
        <v>974</v>
      </c>
      <c r="V29" s="169"/>
      <c r="W29" s="169"/>
      <c r="X29" s="52">
        <f t="shared" si="4"/>
        <v>6</v>
      </c>
      <c r="Y29" s="888" t="str">
        <f t="shared" si="5"/>
        <v>unknown at this time</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205</v>
      </c>
      <c r="G30" s="1297"/>
      <c r="H30" s="18">
        <v>1</v>
      </c>
      <c r="I30" s="19">
        <v>2</v>
      </c>
      <c r="J30" s="20">
        <v>3</v>
      </c>
      <c r="K30" s="21">
        <v>4</v>
      </c>
      <c r="L30" s="22">
        <v>5</v>
      </c>
      <c r="M30" s="23">
        <v>6</v>
      </c>
      <c r="N30" s="24">
        <v>7</v>
      </c>
      <c r="O30" s="25">
        <v>8</v>
      </c>
      <c r="P30" s="26">
        <v>9</v>
      </c>
      <c r="Q30" s="27">
        <v>10</v>
      </c>
      <c r="R30" s="267"/>
      <c r="S30" s="47"/>
      <c r="T30" s="563"/>
      <c r="U30" s="313" t="s">
        <v>974</v>
      </c>
      <c r="V30" s="169"/>
      <c r="W30" s="169"/>
      <c r="X30" s="52">
        <f t="shared" si="4"/>
        <v>6</v>
      </c>
      <c r="Y30" s="888" t="str">
        <f t="shared" si="5"/>
        <v>unknown at this time</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4.7272727272727275</v>
      </c>
      <c r="Y33" s="785" t="str">
        <f>IF(C.3Interest&gt;8,"high",IF(C.3Interest&gt;6,"medium/high",IF(C.3Interest&gt;4,"medium",IF(C.3Interest&gt;2,"low/medium","low"))))</f>
        <v>medium</v>
      </c>
      <c r="Z33" s="637" t="str">
        <f>IF(C.3Interest=0,"There is no expressed interest in this proposal at this time.","Interest in this proposal is "&amp;Y33&amp;".")</f>
        <v>Interest in this proposal is 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6" t="s">
        <v>437</v>
      </c>
      <c r="G36" s="1306"/>
      <c r="H36" s="1306"/>
      <c r="I36" s="1306"/>
      <c r="J36" s="1306"/>
      <c r="K36" s="1306"/>
      <c r="L36" s="1306"/>
      <c r="M36" s="1306"/>
      <c r="N36" s="1306"/>
      <c r="O36" s="1306"/>
      <c r="P36" s="1306"/>
      <c r="Q36" s="1306"/>
      <c r="R36" s="1306"/>
      <c r="S36" s="346"/>
      <c r="T36" s="563"/>
      <c r="U36"/>
      <c r="V36" s="167"/>
      <c r="W36" s="167"/>
      <c r="X36" s="797" t="str">
        <f>C.3InterestDialog&amp;" "&amp;X41&amp;Z41</f>
        <v>Interest in this proposal is medium. DEQ plans to appoint a new advisory committee and estimates we will meet 4 times. We plan to ask the committee to provide rule language, implementation, and spill penaltyadvice.</v>
      </c>
      <c r="Y36" s="977" t="b">
        <f>IF(X37&gt;1,TRUE,FALSE)</f>
        <v>1</v>
      </c>
      <c r="Z36" s="978" t="str">
        <f>X41&amp;Z41</f>
        <v>DEQ plans to appoint a new advisory committee and estimates we will meet 4 times. We plan to ask the committee to provide rule language, implementation, and spill penaltyadvice.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2" t="s">
        <v>441</v>
      </c>
      <c r="K37" s="1322"/>
      <c r="L37" s="1322"/>
      <c r="M37" s="1322"/>
      <c r="N37" s="1322"/>
      <c r="O37" s="1322"/>
      <c r="P37" s="1322"/>
      <c r="Q37" s="1322"/>
      <c r="R37" s="1322"/>
      <c r="S37" s="370"/>
      <c r="T37" s="563" t="s">
        <v>0</v>
      </c>
      <c r="U37" s="176"/>
      <c r="V37" s="172"/>
      <c r="W37" s="172"/>
      <c r="X37" s="980">
        <v>4</v>
      </c>
      <c r="Y37" s="976" t="b">
        <v>1</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appoint new</v>
      </c>
      <c r="Y38" s="979" t="b">
        <v>0</v>
      </c>
      <c r="Z38" s="395" t="b">
        <v>1</v>
      </c>
      <c r="AA38" s="798" t="str">
        <f>IF(Y38=FALSE,"",IF($Y$42-COUNTIF(Y37:Z37,TRUE)=1,LOWER(G38),IF($Y$42-COUNTIF(Y37:Z37,TRUE)=2,LOWER(G38)&amp;", and ",LOWER(G38&amp;", "))))</f>
        <v/>
      </c>
      <c r="AB38" s="798" t="str">
        <f>IF(Z38=FALSE,"",IF($Y$42-COUNTIF(Y37:Z37,TRUE)-COUNTIF(Y38,TRUE)=1,LOWER(J38),IF($Y$42-COUNTIF(Y37:Z37,TRUE)-COUNTIF(Y38,TRUE)=2,LOWER(J38)&amp;", and",LOWER(J38&amp;", "))))</f>
        <v xml:space="preserve">rule language,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3" t="s">
        <v>442</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1079</v>
      </c>
      <c r="K40" s="1305"/>
      <c r="L40" s="1305"/>
      <c r="M40" s="1305"/>
      <c r="N40" s="1305"/>
      <c r="O40" s="1305"/>
      <c r="P40" s="1305"/>
      <c r="Q40" s="1305"/>
      <c r="R40" s="1305"/>
      <c r="S40" s="370"/>
      <c r="T40" s="563"/>
      <c r="U40" s="402"/>
      <c r="V40" s="175"/>
      <c r="W40" s="172"/>
      <c r="X40" s="61"/>
      <c r="Y40" s="395" t="b">
        <v>1</v>
      </c>
      <c r="Z40" s="395" t="b">
        <v>1</v>
      </c>
      <c r="AA40" s="798" t="str">
        <f>IF(Y40=FALSE,"",IF($Y$42-COUNTIF(Y37:Z39,TRUE)=1,LOWER(G40),IF($Y$42-COUNTIF(Y37:Z39,TRUE)=2,LOWER(G40)&amp;", and ",LOWER(G40&amp;", "))))</f>
        <v xml:space="preserve">implementation, and </v>
      </c>
      <c r="AB40" s="798" t="str">
        <f>IF(Z40=FALSE,"",IF($Y$42-COUNTIF(Y37:Z39,TRUE)-COUNTIF(Y40,TRUE)=1,LOWER(J40),IF($Y$42-COUNTIF(Y37:Z39,TRUE)-COUNTIF(Y40,TRUE)=2,LOWER(J40)&amp;", and",LOWER(J40&amp;", "))))</f>
        <v>spill penalty</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appoint a new advisory committee and estimates we will meet 4 times.</v>
      </c>
      <c r="Y41" s="38"/>
      <c r="Z41" s="1299" t="str">
        <f>" We plan to ask the committee to provide"&amp;AA37&amp;AB37&amp;AA38&amp;AB38&amp;AA39&amp;AB39&amp;AA40&amp;AB40&amp;"advice."</f>
        <v xml:space="preserve"> We plan to ask the committee to provide rule language, implementation, and spill penaltyadvice.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4</v>
      </c>
      <c r="F42"/>
      <c r="G42"/>
      <c r="H42"/>
      <c r="I42"/>
      <c r="J42"/>
      <c r="K42"/>
      <c r="L42"/>
      <c r="M42"/>
      <c r="N42"/>
      <c r="O42"/>
      <c r="P42"/>
      <c r="Q42"/>
      <c r="R42"/>
      <c r="S42" s="370"/>
      <c r="T42" s="563"/>
      <c r="U42" s="402"/>
      <c r="V42" s="175"/>
      <c r="W42" s="172"/>
      <c r="X42" s="794">
        <f>E42</f>
        <v>4</v>
      </c>
      <c r="Y42" s="799">
        <f>COUNTIF(Y37:Z40,TRUE)</f>
        <v>4</v>
      </c>
      <c r="Z42" s="982" t="str">
        <f>AA37&amp;AB37&amp;AA38&amp;AB38&amp;AA39&amp;AB39&amp;AA40&amp;AB40</f>
        <v xml:space="preserve"> rule language, implementation, and spill penalty</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1080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31.5" customHeight="1">
      <c r="A46" s="993"/>
      <c r="B46" s="563"/>
      <c r="C46" s="360"/>
      <c r="D46" s="1293" t="s">
        <v>1081</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617</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413</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Regions &amp; 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486</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4</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77" t="s">
        <v>251</v>
      </c>
      <c r="B60" s="563"/>
      <c r="C60" s="360"/>
      <c r="D60" s="1313"/>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41226</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51" yWindow="32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Division 12 Updates</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1082</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0</v>
      </c>
      <c r="F6" s="1341"/>
      <c r="G6" s="654"/>
      <c r="H6" s="654"/>
      <c r="I6" s="654"/>
      <c r="J6" s="654"/>
      <c r="K6" s="654"/>
      <c r="L6" s="654"/>
      <c r="M6" s="654"/>
      <c r="N6" s="654"/>
      <c r="O6" s="654"/>
      <c r="P6" s="654"/>
      <c r="Q6" s="654"/>
      <c r="R6" s="654"/>
      <c r="S6" s="654"/>
      <c r="T6" s="654"/>
      <c r="U6" s="563"/>
      <c r="V6" s="313" t="s">
        <v>743</v>
      </c>
      <c r="W6" s="161"/>
      <c r="X6" s="289"/>
      <c r="Y6" s="147"/>
      <c r="Z6" s="147"/>
    </row>
    <row r="7" spans="1:58" s="66" customFormat="1" ht="28.5" customHeight="1">
      <c r="A7" s="601"/>
      <c r="B7" s="563"/>
      <c r="C7" s="279"/>
      <c r="D7" s="1325" t="s">
        <v>264</v>
      </c>
      <c r="E7" s="1325"/>
      <c r="F7" s="1325"/>
      <c r="G7" s="1325"/>
      <c r="H7" s="502"/>
      <c r="I7" s="1337" t="s">
        <v>286</v>
      </c>
      <c r="J7" s="1338"/>
      <c r="K7" s="1338"/>
      <c r="L7" s="1338"/>
      <c r="M7" s="1338"/>
      <c r="N7" s="1338"/>
      <c r="O7" s="1338"/>
      <c r="P7" s="1338"/>
      <c r="Q7" s="1338"/>
      <c r="R7" s="1339"/>
      <c r="S7" s="502"/>
      <c r="T7" s="309"/>
      <c r="U7" s="563"/>
      <c r="V7" s="313" t="s">
        <v>743</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1</v>
      </c>
      <c r="Y11" s="1000" t="str">
        <f>IF($X11=FALSE,"",IF(COUNTIF($X12:$X$16,TRUE)=0,LOWER($D11),IF(COUNTIF($X12:$X$16,TRUE)=1,LOWER($D11)&amp;" and ",LOWER($D11)&amp;", ")))</f>
        <v xml:space="preserve">failure to respond to legislature, </v>
      </c>
      <c r="Z11" s="1001">
        <f t="shared" si="0"/>
        <v>7</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1</v>
      </c>
      <c r="Y13" s="1000" t="str">
        <f>IF($X13=FALSE,"",IF(COUNTIF($X14:$X$16,TRUE)=0,LOWER($D13),IF(COUNTIF($X14:$X$16,TRUE)=1,LOWER($D13)&amp;" and ",LOWER($D13)&amp;", ")))</f>
        <v xml:space="preserve">unclear administrative rules and </v>
      </c>
      <c r="Z13" s="1001">
        <f t="shared" si="0"/>
        <v>7</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3" t="s">
        <v>370</v>
      </c>
      <c r="E15" s="1333"/>
      <c r="F15" s="1333"/>
      <c r="G15" s="1333"/>
      <c r="H15" s="1333"/>
      <c r="I15" s="1333"/>
      <c r="J15" s="1333"/>
      <c r="K15" s="1333"/>
      <c r="L15" s="1333"/>
      <c r="M15" s="1333"/>
      <c r="N15" s="1333"/>
      <c r="O15" s="1333"/>
      <c r="P15" s="1333"/>
      <c r="Q15" s="1333"/>
      <c r="R15" s="1333"/>
      <c r="S15" s="133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4" t="s">
        <v>370</v>
      </c>
      <c r="E16" s="1334"/>
      <c r="F16" s="1334"/>
      <c r="G16" s="133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7" t="s">
        <v>399</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If DEQ does not address this in rules, the program risks loss of delegation, 0failure to respond to legislature, unclear administrative rules and loss of reputation.</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400</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495</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401</v>
      </c>
      <c r="E27" s="1358"/>
      <c r="F27" s="1358"/>
      <c r="G27" s="1355" t="s">
        <v>0</v>
      </c>
      <c r="H27" s="1355"/>
      <c r="I27" s="1355"/>
      <c r="J27" s="1337" t="s">
        <v>32</v>
      </c>
      <c r="K27" s="1338"/>
      <c r="L27" s="1338"/>
      <c r="M27" s="1338"/>
      <c r="N27" s="1338"/>
      <c r="O27" s="1338"/>
      <c r="P27" s="1338"/>
      <c r="Q27" s="1338"/>
      <c r="R27" s="1338"/>
      <c r="S27" s="1339"/>
      <c r="T27" s="201"/>
      <c r="U27" s="563"/>
      <c r="V27" s="313" t="s">
        <v>762</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3</v>
      </c>
      <c r="Y28" s="113" t="str">
        <f>J27</f>
        <v>potential for minor complexity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763</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c r="B36" s="563"/>
      <c r="C36" s="293"/>
      <c r="D36" s="294"/>
      <c r="E36" s="294"/>
      <c r="F36" s="294"/>
      <c r="G36" s="1268">
        <f ca="1">TODAY()</f>
        <v>41226</v>
      </c>
      <c r="H36" s="1268"/>
      <c r="I36" s="1268"/>
      <c r="J36" s="1268"/>
      <c r="K36" s="1268"/>
      <c r="L36" s="1268"/>
      <c r="M36" s="1268"/>
      <c r="N36" s="1268"/>
      <c r="O36" s="1268"/>
      <c r="P36" s="1268"/>
      <c r="Q36" s="1268"/>
      <c r="R36" s="1268"/>
      <c r="S36" s="1268"/>
      <c r="T36" s="1269"/>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51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8" workbookViewId="0">
      <selection activeCell="J39" sqref="J39:S39"/>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17.25" style="160" customWidth="1"/>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Division 12 Updates</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0" t="s">
        <v>426</v>
      </c>
      <c r="F4" s="1371"/>
      <c r="G4" s="1371"/>
      <c r="H4" s="1372"/>
      <c r="I4" s="1387" t="s">
        <v>0</v>
      </c>
      <c r="J4" s="1388"/>
      <c r="K4" s="1388"/>
      <c r="L4" s="1388"/>
      <c r="M4" s="1388"/>
      <c r="N4" s="1388"/>
      <c r="O4" s="114"/>
      <c r="P4" s="114"/>
      <c r="Q4" s="114"/>
      <c r="R4" s="114"/>
      <c r="S4" s="221"/>
      <c r="T4" s="154"/>
      <c r="U4" s="563"/>
      <c r="V4" s="313" t="s">
        <v>768</v>
      </c>
      <c r="X4" s="1143" t="str">
        <f>E4</f>
        <v>address an environmental problem indirectly.</v>
      </c>
      <c r="Y4" s="1142">
        <f>IF(E4="have no direct correlation to the environment.",0,1)</f>
        <v>1</v>
      </c>
      <c r="Z4" s="1135"/>
    </row>
    <row r="5" spans="1:58" s="9" customFormat="1" ht="28.5" customHeight="1">
      <c r="A5" s="601"/>
      <c r="B5" s="563"/>
      <c r="C5" s="388"/>
      <c r="D5" s="1392" t="str">
        <f>X5</f>
        <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283</v>
      </c>
      <c r="J6" s="1382"/>
      <c r="K6" s="1382"/>
      <c r="L6" s="1382"/>
      <c r="M6" s="1382"/>
      <c r="N6" s="1382"/>
      <c r="O6" s="1382"/>
      <c r="P6" s="1382"/>
      <c r="Q6" s="1382"/>
      <c r="R6" s="1383"/>
      <c r="S6" s="183"/>
      <c r="T6" s="201"/>
      <c r="U6" s="563"/>
      <c r="V6" s="287"/>
      <c r="W6" s="161"/>
      <c r="X6" s="1136">
        <f>VLOOKUP(I6,C.VL_SeverityRating,2,FALSE)</f>
        <v>3</v>
      </c>
      <c r="Y6" s="1137" t="str">
        <f>I6</f>
        <v>low to medium</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769</v>
      </c>
      <c r="W7" s="288"/>
      <c r="X7" s="1394" t="str">
        <f>IF(C.5EnvCorrolation=0,"",IF(COUNTIF(X8:X13,TRUE)=1,"The ""do nothing"" environmental consequence is: "&amp;Y8&amp;Y9&amp;Y10&amp;Y11&amp;Y12&amp;Y13&amp;".",IF(COUNTIF(X8:X13,TRUE),"The ""do nothing"" environmental consequences are: "&amp;Y8&amp;Y9&amp;Y10&amp;Y11&amp;Y12&amp;Y13&amp;".","")))</f>
        <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Yes</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0</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0</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1</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4"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0</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0</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0</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64" t="str">
        <f>IF(C.5EnvCorrolation=0,"",IF(X35=0,"do not have a selection for Natural Step support at this time.",IF(X35=1,"supports "&amp;X35&amp;" Natural Step action.","supports "&amp;X35&amp;" Natural Step actions.")))</f>
        <v>do not have a selection for Natural Step support at this time.</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415</v>
      </c>
      <c r="E39" s="1393"/>
      <c r="F39" s="1393"/>
      <c r="G39" s="120"/>
      <c r="H39" s="1355" t="s">
        <v>0</v>
      </c>
      <c r="I39" s="1379"/>
      <c r="J39" s="1337" t="s">
        <v>32</v>
      </c>
      <c r="K39" s="1338"/>
      <c r="L39" s="1338"/>
      <c r="M39" s="1338"/>
      <c r="N39" s="1338"/>
      <c r="O39" s="1338"/>
      <c r="P39" s="1338"/>
      <c r="Q39" s="1338"/>
      <c r="R39" s="1338"/>
      <c r="S39" s="1339"/>
      <c r="T39" s="201"/>
      <c r="U39" s="563"/>
      <c r="V39" s="313" t="s">
        <v>762</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763</v>
      </c>
      <c r="W40" s="167"/>
      <c r="X40" s="414">
        <f>VLOOKUP($J39,C.VL_ComplexityRating,2,FALSE)</f>
        <v>3</v>
      </c>
      <c r="Y40" s="882" t="str">
        <f>J39</f>
        <v>potential for minor complexity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c r="B47" s="563"/>
      <c r="C47" s="293"/>
      <c r="D47" s="294"/>
      <c r="E47" s="294"/>
      <c r="F47" s="294"/>
      <c r="G47" s="1268">
        <f ca="1">TODAY()</f>
        <v>41226</v>
      </c>
      <c r="H47" s="1268"/>
      <c r="I47" s="1268"/>
      <c r="J47" s="1268"/>
      <c r="K47" s="1268"/>
      <c r="L47" s="1268"/>
      <c r="M47" s="1268"/>
      <c r="N47" s="1268"/>
      <c r="O47" s="1268"/>
      <c r="P47" s="1268"/>
      <c r="Q47" s="1268"/>
      <c r="R47" s="1268"/>
      <c r="S47" s="1268"/>
      <c r="T47" s="1269"/>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894" yWindow="280"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25d3b98136261626421db301fa6c1387">
  <xsd:schema xmlns:xsd="http://www.w3.org/2001/XMLSchema" xmlns:xs="http://www.w3.org/2001/XMLSchema" xmlns:p="http://schemas.microsoft.com/office/2006/metadata/properties" xmlns:ns2="$ListId:docs;" targetNamespace="http://schemas.microsoft.com/office/2006/metadata/properties" ma:root="true" ma:fieldsID="e5dc314eae77a4e18825d001e83b2db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1FB745FA-0052-457C-8A58-5C7FC25C92D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2012-10-11T16:49:36Z</cp:lastPrinted>
  <dcterms:created xsi:type="dcterms:W3CDTF">2012-04-11T21:44:01Z</dcterms:created>
  <dcterms:modified xsi:type="dcterms:W3CDTF">2012-11-13T17:43:34Z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ies>
</file>