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AAH31"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H314" s="1"/>
  <c r="F314" s="1"/>
  <c r="BV6"/>
  <c r="BV5" s="1"/>
  <c r="BU4"/>
  <c r="AAH44"/>
  <c r="H44" s="1"/>
  <c r="F44" s="1"/>
  <c r="F15"/>
  <c r="AAI13"/>
  <c r="D13" s="1"/>
  <c r="F14"/>
  <c r="AAI15"/>
  <c r="D15" s="1"/>
  <c r="AAI14"/>
  <c r="D14" s="1"/>
  <c r="AAI29"/>
  <c r="D29" s="1"/>
  <c r="H31"/>
  <c r="E453"/>
  <c r="E443"/>
  <c r="E454"/>
  <c r="E456"/>
  <c r="AAG377"/>
  <c r="AAH28"/>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65"/>
  <c r="F365" s="1"/>
  <c r="G365"/>
  <c r="G82"/>
  <c r="F82" s="1"/>
  <c r="F19"/>
  <c r="AAH332"/>
  <c r="H332" s="1"/>
  <c r="F332" s="1"/>
  <c r="G21"/>
  <c r="AAG211" s="1"/>
  <c r="ABB15"/>
  <c r="AAZ15" s="1"/>
  <c r="F382"/>
  <c r="F421"/>
  <c r="G422"/>
  <c r="AAH433"/>
  <c r="H433" s="1"/>
  <c r="F433" s="1"/>
  <c r="AAY17"/>
  <c r="AAX17" s="1"/>
  <c r="ABA17"/>
  <c r="AAV17" s="1"/>
  <c r="E382"/>
  <c r="H370" l="1"/>
  <c r="F370" s="1"/>
  <c r="G370"/>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373"/>
  <c r="AAH371"/>
  <c r="H371" s="1"/>
  <c r="F371" s="1"/>
  <c r="AAH372"/>
  <c r="H372" s="1"/>
  <c r="F372" s="1"/>
  <c r="F32"/>
  <c r="E369"/>
  <c r="ABD15"/>
  <c r="ABC15" s="1"/>
  <c r="E21"/>
  <c r="F21"/>
  <c r="AAG353"/>
  <c r="G353" s="1"/>
  <c r="AAH353" s="1"/>
  <c r="H353" s="1"/>
  <c r="E225"/>
  <c r="F225"/>
  <c r="E433"/>
  <c r="E323"/>
  <c r="E332"/>
  <c r="H422"/>
  <c r="ABA15"/>
  <c r="AAV15" s="1"/>
  <c r="AAY15"/>
  <c r="AAX15" s="1"/>
  <c r="H251" l="1"/>
  <c r="F251" s="1"/>
  <c r="E395"/>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AAH27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<sst xmlns="http://schemas.openxmlformats.org/spreadsheetml/2006/main" count="1350" uniqueCount="397">
  <si>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</si>
  <si>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</si>
  <si>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</si>
  <si>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</si>
  <si>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</si>
  <si>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</si>
  <si>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</si>
  <si>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</si>
  <si>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</si>
  <si>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</si>
  <si>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</si>
  <si>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</si>
  <si>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</si>
  <si>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</si>
  <si>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</si>
  <si>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</si>
  <si>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</si>
  <si>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</si>
  <si>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</si>
  <si>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</si>
  <si>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</si>
  <si>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</si>
  <si>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</si>
  <si>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</si>
  <si>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</si>
  <si>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</si>
  <si>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</si>
  <si>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</si>
  <si>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</si>
  <si>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</si>
  <si>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</si>
  <si>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</si>
  <si>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</si>
  <si>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</si>
  <si>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</si>
  <si>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</si>
  <si>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</si>
  <si>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</si>
  <si>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</si>
  <si>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</si>
  <si>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</si>
  <si>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</si>
  <si>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</si>
  <si>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</si>
  <si>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</si>
  <si>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</si>
  <si>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</si>
  <si>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</si>
  <si>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</si>
  <si>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</si>
  <si>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</si>
  <si>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</si>
  <si>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</si>
  <si>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</si>
  <si>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</si>
  <si>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</si>
  <si>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</si>
  <si>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</si>
  <si>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</si>
  <si>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</si>
  <si>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</si>
  <si>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</si>
  <si>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</si>
  <si>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</si>
  <si>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</si>
  <si>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</si>
  <si>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</si>
  <si>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</si>
  <si>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</si>
  <si>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</si>
  <si>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</si>
  <si>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</si>
  <si>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</si>
  <si>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</si>
  <si>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</si>
  <si>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</si>
  <si>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</si>
  <si>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</si>
  <si>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</si>
  <si>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</si>
  <si>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</si>
  <si>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</si>
  <si>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</si>
  <si>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</si>
  <si>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</si>
  <si>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</si>
  <si>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</si>
  <si>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</si>
  <si>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</si>
  <si>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</si>
  <si>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</si>
  <si>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</si>
  <si>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</si>
  <si>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</si>
  <si>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</si>
  <si>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</si>
  <si>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</si>
  <si>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</si>
  <si>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</si>
  <si>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</si>
  <si>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</si>
  <si>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</si>
  <si>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</si>
  <si>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</si>
  <si>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</si>
  <si>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</si>
  <si>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</si>
  <si>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</si>
  <si>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</si>
  <si>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</si>
  <si>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</si>
  <si>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</si>
  <si>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</si>
  <si>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</si>
  <si>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</si>
  <si>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</si>
  <si>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</si>
  <si>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</si>
  <si>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</si>
  <si>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</si>
  <si>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</si>
  <si>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</si>
  <si>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</si>
  <si>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</si>
  <si>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</si>
  <si>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</si>
  <si>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</si>
  <si>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</si>
  <si>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</si>
  <si>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</si>
  <si>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</si>
  <si>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</si>
  <si>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</si>
  <si>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</si>
  <si>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</si>
  <si>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</si>
  <si>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</si>
  <si>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</si>
  <si>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</si>
  <si>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</si>
  <si>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</si>
  <si>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</si>
  <si>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</si>
  <si>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</si>
  <si>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</si>
  <si>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</si>
  <si>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</si>
  <si>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</si>
  <si>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</si>
  <si>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</si>
  <si>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</si>
  <si>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</si>
  <si>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</si>
  <si>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</si>
  <si>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</si>
  <si>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</si>
  <si>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</si>
  <si>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</si>
  <si>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</si>
  <si>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</si>
  <si>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</si>
  <si>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</si>
  <si>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</si>
  <si>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</si>
  <si>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</si>
  <si>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</si>
  <si>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</si>
  <si>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</si>
  <si>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</si>
  <si>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</si>
  <si>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</si>
  <si>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</si>
  <si>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</si>
  <si>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</si>
  <si>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</si>
  <si>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</si>
  <si>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</si>
  <si>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</si>
  <si>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</si>
  <si>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</si>
  <si>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</si>
  <si>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</si>
  <si>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</si>
  <si>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</si>
  <si>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</si>
  <si>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</si>
  <si>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</si>
  <si>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</si>
  <si>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</si>
  <si>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</si>
  <si>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</si>
  <si>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</si>
  <si>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</si>
  <si>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</si>
  <si>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</si>
  <si>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</si>
  <si>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</si>
  <si>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</si>
  <si>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</si>
  <si>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</si>
  <si>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</si>
  <si>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</si>
  <si>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</si>
  <si>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</si>
  <si>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</si>
  <si>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</si>
  <si>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</si>
  <si>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</si>
  <si>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</si>
  <si>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</si>
  <si>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</si>
  <si>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</si>
  <si>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</si>
  <si>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</si>
  <si>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</si>
  <si>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</si>
  <si>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</si>
  <si>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</si>
  <si>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</si>
  <si>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</si>
  <si>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</si>
  <si>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</si>
  <si>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</si>
  <si>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</si>
  <si>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</si>
  <si>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</si>
  <si>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</si>
  <si>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</si>
  <si>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</si>
  <si>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</si>
  <si>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</si>
  <si>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</si>
  <si>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</si>
  <si>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</si>
  <si>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</si>
  <si>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</si>
  <si>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</si>
  <si>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</si>
  <si>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</si>
  <si>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</si>
  <si>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</si>
  <si>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</si>
  <si>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</si>
  <si>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</si>
  <si>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</si>
  <si>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</si>
  <si>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</si>
  <si>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</si>
  <si>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</si>
  <si>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</si>
  <si>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</si>
  <si>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</si>
  <si>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</si>
  <si>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</si>
  <si>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</si>
  <si>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</si>
  <si>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</si>
  <si>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</si>
  <si>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</si>
  <si>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</si>
  <si>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</si>
  <si>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</si>
  <si>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</si>
  <si>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</si>
  <si>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</si>
  <si>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</si>
  <si>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</si>
  <si>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</si>
  <si>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</si>
  <si>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</si>
  <si>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</si>
  <si>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</si>
  <si>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</si>
  <si>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</si>
  <si>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</si>
  <si>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</si>
  <si>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</si>
  <si>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</si>
  <si>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</si>
  <si>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</si>
  <si>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</si>
  <si>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</si>
  <si>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</si>
  <si>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</si>
  <si>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</si>
  <si>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</si>
  <si>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</si>
  <si>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</si>
  <si>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</si>
  <si>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</si>
  <si>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</si>
  <si>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</si>
  <si>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</si>
  <si>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</si>
  <si>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</si>
  <si>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</si>
  <si>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</si>
  <si>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</si>
  <si>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</si>
  <si>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</si>
  <si>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</si>
  <si>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</si>
  <si>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</si>
  <si>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</si>
  <si>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</si>
  <si>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</si>
  <si>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</si>
  <si>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</si>
  <si>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</si>
  <si>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</si>
  <si>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</si>
  <si>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</si>
  <si>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</si>
  <si>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</si>
  <si>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</si>
  <si>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</si>
  <si>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</si>
  <si>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</si>
  <si>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</si>
  <si>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</si>
  <si>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</si>
  <si>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</si>
  <si>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</si>
  <si>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</si>
  <si>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</si>
  <si>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</si>
  <si>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</si>
  <si>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</si>
  <si>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</si>
  <si>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</si>
  <si>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</si>
  <si>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</si>
  <si>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</si>
  <si>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</si>
  <si>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</si>
  <si>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</si>
  <si>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</si>
  <si>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</si>
  <si>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</si>
  <si>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</si>
  <si>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</si>
  <si>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</si>
  <si>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</si>
  <si>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</si>
  <si>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</si>
  <si>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</si>
  <si>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</si>
  <si>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</si>
  <si>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</si>
  <si>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</si>
  <si>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</si>
  <si>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</si>
  <si>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</si>
  <si>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</si>
  <si>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</si>
  <si>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</si>
  <si>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</si>
  <si>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</si>
  <si>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</si>
  <si>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</si>
  <si>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</si>
  <si>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</si>
  <si>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</si>
  <si>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</si>
  <si>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</si>
  <si>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</si>
  <si>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</si>
  <si>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</si>
  <si>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</si>
  <si>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Division 12 Updates</t>
  </si>
  <si>
    <t>Portland</t>
  </si>
  <si>
    <t>LF, Mgrs</t>
  </si>
  <si>
    <t>LF</t>
  </si>
  <si>
    <t>Team,JH</t>
  </si>
  <si>
    <t>LF or JH</t>
  </si>
  <si>
    <t>@ JH direction</t>
  </si>
  <si>
    <t>Team, JH</t>
  </si>
  <si>
    <t>JR/MV</t>
  </si>
  <si>
    <t>JR/MV,MV</t>
  </si>
  <si>
    <t>JR/MV, SC</t>
  </si>
  <si>
    <t>JR/MV, DS</t>
  </si>
  <si>
    <t>JR/MV, Fiscal, LF</t>
  </si>
  <si>
    <t>JR/MV, Fiscal</t>
  </si>
  <si>
    <t>LF,JR/MV,Fiscal</t>
  </si>
  <si>
    <t>JR/MV, Team</t>
  </si>
  <si>
    <t>JR/MV, Fiscal staff</t>
  </si>
  <si>
    <t>LF,JR,JR/MV</t>
  </si>
  <si>
    <t>JR/MV, JR. MV</t>
  </si>
  <si>
    <t>JR,JR/MV</t>
  </si>
  <si>
    <t>JR,SIPCo</t>
  </si>
  <si>
    <t>JR, Team, SC</t>
  </si>
  <si>
    <t>JR</t>
  </si>
  <si>
    <t>JH, JR</t>
  </si>
  <si>
    <t>JR,LF,JH</t>
  </si>
  <si>
    <t>JR, Fiscal</t>
  </si>
  <si>
    <t>JR, Team</t>
  </si>
  <si>
    <t>Team, LF</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</si>
</sst>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7" fontId="54" fillId="27" borderId="0" xfId="1" applyNumberFormat="1" applyFont="1" applyFill="1" applyBorder="1" applyAlignment="1" applyProtection="1">
      <alignment horizontal="left" vertical="center" wrapText="1" inden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133</v>
      </c>
      <c r="K21" s="2"/>
      <c r="L21" s="9"/>
      <c r="M21" s="9"/>
      <c r="N21" s="65"/>
      <c r="O21" s="65"/>
      <c r="P21" s="70"/>
      <c r="Q21" s="70"/>
      <c r="R21" s="2"/>
      <c r="S21" s="2"/>
      <c r="T21" s="2"/>
    </row>
    <row r="22" spans="1:20">
      <c r="A22" s="10" t="s">
        <v>25</v>
      </c>
      <c r="B22" s="10"/>
      <c r="C22" s="9"/>
      <c r="D22" s="9"/>
      <c r="E22" s="72"/>
      <c r="F22" s="72"/>
      <c r="G22" s="72"/>
      <c r="H22" s="72"/>
      <c r="I22" s="2"/>
      <c r="J22" s="733" t="s">
        <v>132</v>
      </c>
      <c r="K22" s="733"/>
      <c r="L22" s="733"/>
      <c r="M22" s="733"/>
      <c r="N22" s="733"/>
      <c r="O22" s="733"/>
      <c r="P22" s="733"/>
      <c r="Q22" s="70"/>
      <c r="R22" s="2"/>
      <c r="S22" s="2"/>
      <c r="T22" s="2"/>
    </row>
    <row r="23" spans="1:20">
      <c r="A23" s="22">
        <v>41275</v>
      </c>
      <c r="B23" s="20" t="s">
        <v>7</v>
      </c>
      <c r="C23" s="33">
        <f>A23</f>
        <v>41275</v>
      </c>
      <c r="D23" s="33"/>
      <c r="E23" s="72"/>
      <c r="F23" s="72"/>
      <c r="G23" s="72"/>
      <c r="H23" s="72"/>
      <c r="I23" s="2"/>
      <c r="J23" s="733"/>
      <c r="K23" s="733"/>
      <c r="L23" s="733"/>
      <c r="M23" s="733"/>
      <c r="N23" s="733"/>
      <c r="O23" s="733"/>
      <c r="P23" s="733"/>
      <c r="Q23" s="70"/>
      <c r="R23" s="2"/>
      <c r="S23" s="2"/>
      <c r="T23" s="2"/>
    </row>
    <row r="24" spans="1:20">
      <c r="A24" s="22">
        <v>41292</v>
      </c>
      <c r="B24" s="20" t="s">
        <v>5</v>
      </c>
      <c r="C24" s="33">
        <f t="shared" ref="C24:C71" si="5">A24</f>
        <v>41292</v>
      </c>
      <c r="D24" s="33"/>
      <c r="E24" s="72"/>
      <c r="F24" s="72"/>
      <c r="G24" s="72"/>
      <c r="H24" s="72"/>
      <c r="I24" s="2"/>
      <c r="J24" s="733"/>
      <c r="K24" s="733"/>
      <c r="L24" s="733"/>
      <c r="M24" s="733"/>
      <c r="N24" s="733"/>
      <c r="O24" s="733"/>
      <c r="P24" s="733"/>
      <c r="Q24" s="70"/>
      <c r="R24" s="2"/>
      <c r="S24" s="2"/>
      <c r="T24" s="2"/>
    </row>
    <row r="25" spans="1:20">
      <c r="A25" s="22">
        <v>41295</v>
      </c>
      <c r="B25" s="20" t="s">
        <v>8</v>
      </c>
      <c r="C25" s="33">
        <f t="shared" si="5"/>
        <v>41295</v>
      </c>
      <c r="D25" s="33"/>
      <c r="E25" s="72"/>
      <c r="F25" s="72"/>
      <c r="G25" s="72"/>
      <c r="H25" s="72"/>
      <c r="I25" s="2"/>
      <c r="J25" s="733"/>
      <c r="K25" s="733"/>
      <c r="L25" s="733"/>
      <c r="M25" s="733"/>
      <c r="N25" s="733"/>
      <c r="O25" s="733"/>
      <c r="P25" s="733"/>
      <c r="Q25" s="70"/>
      <c r="R25" s="2"/>
      <c r="S25" s="2"/>
      <c r="T25" s="2"/>
    </row>
    <row r="26" spans="1:20">
      <c r="A26" s="22">
        <v>41323</v>
      </c>
      <c r="B26" s="20" t="s">
        <v>9</v>
      </c>
      <c r="C26" s="33">
        <f t="shared" si="5"/>
        <v>41323</v>
      </c>
      <c r="D26" s="33"/>
      <c r="E26" s="72"/>
      <c r="F26" s="72"/>
      <c r="G26" s="72"/>
      <c r="H26" s="72"/>
      <c r="I26" s="2"/>
      <c r="J26" s="733"/>
      <c r="K26" s="733"/>
      <c r="L26" s="733"/>
      <c r="M26" s="733"/>
      <c r="N26" s="733"/>
      <c r="O26" s="733"/>
      <c r="P26" s="733"/>
      <c r="Q26" s="70"/>
      <c r="R26" s="2"/>
      <c r="S26" s="2"/>
      <c r="T26" s="2"/>
    </row>
    <row r="27" spans="1:20">
      <c r="A27" s="22">
        <v>41383</v>
      </c>
      <c r="B27" s="20" t="s">
        <v>5</v>
      </c>
      <c r="C27" s="33">
        <f t="shared" si="5"/>
        <v>41383</v>
      </c>
      <c r="D27" s="33"/>
      <c r="E27" s="72"/>
      <c r="F27" s="72"/>
      <c r="G27" s="72"/>
      <c r="H27" s="72"/>
      <c r="I27" s="2"/>
      <c r="J27" s="733"/>
      <c r="K27" s="733"/>
      <c r="L27" s="733"/>
      <c r="M27" s="733"/>
      <c r="N27" s="733"/>
      <c r="O27" s="733"/>
      <c r="P27" s="733"/>
      <c r="Q27" s="70"/>
      <c r="R27" s="2"/>
      <c r="S27" s="2"/>
      <c r="T27" s="2"/>
    </row>
    <row r="28" spans="1:20">
      <c r="A28" s="22">
        <v>41418</v>
      </c>
      <c r="B28" s="20" t="s">
        <v>5</v>
      </c>
      <c r="C28" s="33">
        <f t="shared" si="5"/>
        <v>41418</v>
      </c>
      <c r="D28" s="33"/>
      <c r="E28" s="72"/>
      <c r="F28" s="72"/>
      <c r="G28" s="72"/>
      <c r="H28" s="72"/>
      <c r="I28" s="2"/>
      <c r="J28" s="733"/>
      <c r="K28" s="733"/>
      <c r="L28" s="733"/>
      <c r="M28" s="733"/>
      <c r="N28" s="733"/>
      <c r="O28" s="733"/>
      <c r="P28" s="733"/>
      <c r="Q28" s="70"/>
      <c r="R28" s="2"/>
      <c r="S28" s="2"/>
      <c r="T28" s="2"/>
    </row>
    <row r="29" spans="1:20">
      <c r="A29" s="22">
        <v>41421</v>
      </c>
      <c r="B29" s="20" t="s">
        <v>10</v>
      </c>
      <c r="C29" s="33">
        <f t="shared" si="5"/>
        <v>41421</v>
      </c>
      <c r="D29" s="33"/>
      <c r="E29" s="72"/>
      <c r="F29" s="72"/>
      <c r="G29" s="72"/>
      <c r="H29" s="72"/>
      <c r="I29" s="2"/>
      <c r="J29" s="733"/>
      <c r="K29" s="733"/>
      <c r="L29" s="733"/>
      <c r="M29" s="733"/>
      <c r="N29" s="733"/>
      <c r="O29" s="733"/>
      <c r="P29" s="733"/>
      <c r="Q29" s="70"/>
      <c r="R29" s="2"/>
      <c r="S29" s="2"/>
      <c r="T29" s="2"/>
    </row>
    <row r="30" spans="1:20">
      <c r="A30" s="22">
        <v>41459</v>
      </c>
      <c r="B30" s="20" t="s">
        <v>11</v>
      </c>
      <c r="C30" s="33">
        <f t="shared" si="5"/>
        <v>41459</v>
      </c>
      <c r="D30" s="33"/>
      <c r="E30" s="72"/>
      <c r="F30" s="72"/>
      <c r="G30" s="72"/>
      <c r="H30" s="72"/>
      <c r="I30" s="2"/>
      <c r="J30" s="733"/>
      <c r="K30" s="733"/>
      <c r="L30" s="733"/>
      <c r="M30" s="733"/>
      <c r="N30" s="733"/>
      <c r="O30" s="733"/>
      <c r="P30" s="733"/>
      <c r="Q30" s="70"/>
      <c r="R30" s="2"/>
      <c r="S30" s="2"/>
      <c r="T30" s="2"/>
    </row>
    <row r="31" spans="1:20">
      <c r="A31" s="22">
        <v>41519</v>
      </c>
      <c r="B31" s="20" t="s">
        <v>12</v>
      </c>
      <c r="C31" s="33">
        <f t="shared" si="5"/>
        <v>41519</v>
      </c>
      <c r="D31" s="33"/>
      <c r="E31" s="72"/>
      <c r="F31" s="72"/>
      <c r="G31" s="72"/>
      <c r="H31" s="72"/>
      <c r="I31" s="2"/>
      <c r="J31" s="733"/>
      <c r="K31" s="733"/>
      <c r="L31" s="733"/>
      <c r="M31" s="733"/>
      <c r="N31" s="733"/>
      <c r="O31" s="733"/>
      <c r="P31" s="733"/>
      <c r="Q31" s="70"/>
      <c r="R31" s="2"/>
      <c r="S31" s="2"/>
      <c r="T31" s="2"/>
    </row>
    <row r="32" spans="1:20">
      <c r="A32" s="22">
        <v>41589</v>
      </c>
      <c r="B32" s="20" t="s">
        <v>3</v>
      </c>
      <c r="C32" s="33">
        <f t="shared" si="5"/>
        <v>41589</v>
      </c>
      <c r="D32" s="33"/>
      <c r="E32" s="72"/>
      <c r="F32" s="72"/>
      <c r="G32" s="72"/>
      <c r="H32" s="72"/>
      <c r="I32" s="2"/>
      <c r="J32" s="733"/>
      <c r="K32" s="733"/>
      <c r="L32" s="733"/>
      <c r="M32" s="733"/>
      <c r="N32" s="733"/>
      <c r="O32" s="733"/>
      <c r="P32" s="733"/>
      <c r="Q32" s="70"/>
      <c r="R32" s="2"/>
      <c r="S32" s="2"/>
      <c r="T32" s="2"/>
    </row>
    <row r="33" spans="1:20">
      <c r="A33" s="22">
        <v>41606</v>
      </c>
      <c r="B33" s="20" t="s">
        <v>4</v>
      </c>
      <c r="C33" s="33">
        <f t="shared" si="5"/>
        <v>41606</v>
      </c>
      <c r="D33" s="33"/>
      <c r="E33" s="72"/>
      <c r="F33" s="72"/>
      <c r="G33" s="72"/>
      <c r="H33" s="72"/>
      <c r="I33" s="2"/>
      <c r="J33" s="733"/>
      <c r="K33" s="733"/>
      <c r="L33" s="733"/>
      <c r="M33" s="733"/>
      <c r="N33" s="733"/>
      <c r="O33" s="733"/>
      <c r="P33" s="733"/>
      <c r="Q33" s="70"/>
      <c r="R33" s="2"/>
      <c r="S33" s="2"/>
      <c r="T33" s="2"/>
    </row>
    <row r="34" spans="1:20">
      <c r="A34" s="22">
        <v>41633</v>
      </c>
      <c r="B34" s="20" t="s">
        <v>6</v>
      </c>
      <c r="C34" s="33">
        <f t="shared" si="5"/>
        <v>41633</v>
      </c>
      <c r="D34" s="33"/>
      <c r="E34" s="72"/>
      <c r="F34" s="72"/>
      <c r="G34" s="72"/>
      <c r="H34" s="72"/>
      <c r="I34" s="2"/>
      <c r="J34" s="733"/>
      <c r="K34" s="733"/>
      <c r="L34" s="733"/>
      <c r="M34" s="733"/>
      <c r="N34" s="733"/>
      <c r="O34" s="733"/>
      <c r="P34" s="733"/>
      <c r="Q34" s="70"/>
      <c r="R34" s="2"/>
      <c r="S34" s="2"/>
      <c r="T34" s="2"/>
    </row>
    <row r="35" spans="1:20">
      <c r="A35" s="22">
        <v>41640</v>
      </c>
      <c r="B35" s="20" t="s">
        <v>7</v>
      </c>
      <c r="C35" s="33">
        <f t="shared" si="5"/>
        <v>41640</v>
      </c>
      <c r="D35" s="33"/>
      <c r="E35" s="72"/>
      <c r="F35" s="72"/>
      <c r="G35" s="72"/>
      <c r="H35" s="72"/>
      <c r="I35" s="2"/>
      <c r="J35" s="733"/>
      <c r="K35" s="733"/>
      <c r="L35" s="733"/>
      <c r="M35" s="733"/>
      <c r="N35" s="733"/>
      <c r="O35" s="733"/>
      <c r="P35" s="733"/>
      <c r="Q35" s="70"/>
      <c r="R35" s="2"/>
      <c r="S35" s="2"/>
      <c r="T35" s="2"/>
    </row>
    <row r="36" spans="1:20">
      <c r="A36" s="22">
        <v>41659</v>
      </c>
      <c r="B36" s="20" t="s">
        <v>8</v>
      </c>
      <c r="C36" s="33">
        <f t="shared" si="5"/>
        <v>41659</v>
      </c>
      <c r="D36" s="33"/>
      <c r="E36" s="72"/>
      <c r="F36" s="72"/>
      <c r="G36" s="72"/>
      <c r="H36" s="72"/>
      <c r="I36" s="2"/>
      <c r="J36" s="733"/>
      <c r="K36" s="733"/>
      <c r="L36" s="733"/>
      <c r="M36" s="733"/>
      <c r="N36" s="733"/>
      <c r="O36" s="733"/>
      <c r="P36" s="733"/>
      <c r="Q36" s="70"/>
      <c r="R36" s="2"/>
      <c r="S36" s="2"/>
      <c r="T36" s="2"/>
    </row>
    <row r="37" spans="1:20">
      <c r="A37" s="22">
        <v>41687</v>
      </c>
      <c r="B37" s="20" t="s">
        <v>9</v>
      </c>
      <c r="C37" s="33">
        <f t="shared" si="5"/>
        <v>41687</v>
      </c>
      <c r="D37" s="33"/>
      <c r="E37" s="72"/>
      <c r="F37" s="72"/>
      <c r="G37" s="72"/>
      <c r="H37" s="72"/>
      <c r="I37" s="2"/>
      <c r="J37" s="733"/>
      <c r="K37" s="733"/>
      <c r="L37" s="733"/>
      <c r="M37" s="733"/>
      <c r="N37" s="733"/>
      <c r="O37" s="733"/>
      <c r="P37" s="733"/>
      <c r="Q37" s="70"/>
      <c r="R37" s="2"/>
      <c r="S37" s="2"/>
      <c r="T37" s="2"/>
    </row>
    <row r="38" spans="1:20">
      <c r="A38" s="22">
        <v>41785</v>
      </c>
      <c r="B38" s="20" t="s">
        <v>10</v>
      </c>
      <c r="C38" s="33">
        <f t="shared" si="5"/>
        <v>41785</v>
      </c>
      <c r="D38" s="33"/>
      <c r="E38" s="72"/>
      <c r="F38" s="72"/>
      <c r="G38" s="72"/>
      <c r="H38" s="72"/>
      <c r="I38" s="2"/>
      <c r="J38" s="733"/>
      <c r="K38" s="733"/>
      <c r="L38" s="733"/>
      <c r="M38" s="733"/>
      <c r="N38" s="733"/>
      <c r="O38" s="733"/>
      <c r="P38" s="733"/>
      <c r="Q38" s="70"/>
      <c r="R38" s="2"/>
      <c r="S38" s="2"/>
      <c r="T38" s="2"/>
    </row>
    <row r="39" spans="1:20">
      <c r="A39" s="22">
        <v>41824</v>
      </c>
      <c r="B39" s="20" t="s">
        <v>11</v>
      </c>
      <c r="C39" s="33">
        <f t="shared" si="5"/>
        <v>41824</v>
      </c>
      <c r="D39" s="33"/>
      <c r="E39" s="72"/>
      <c r="F39" s="72"/>
      <c r="G39" s="72"/>
      <c r="H39" s="72"/>
      <c r="I39" s="2"/>
      <c r="J39" s="733"/>
      <c r="K39" s="733"/>
      <c r="L39" s="733"/>
      <c r="M39" s="733"/>
      <c r="N39" s="733"/>
      <c r="O39" s="733"/>
      <c r="P39" s="733"/>
      <c r="Q39" s="70"/>
      <c r="R39" s="2"/>
      <c r="S39" s="2"/>
      <c r="T39" s="2"/>
    </row>
    <row r="40" spans="1:20">
      <c r="A40" s="22">
        <v>41884</v>
      </c>
      <c r="B40" s="20" t="s">
        <v>12</v>
      </c>
      <c r="C40" s="33">
        <f t="shared" si="5"/>
        <v>41884</v>
      </c>
      <c r="D40" s="33"/>
      <c r="E40" s="72"/>
      <c r="F40" s="72"/>
      <c r="G40" s="72"/>
      <c r="H40" s="72"/>
      <c r="I40" s="2"/>
      <c r="J40" s="733"/>
      <c r="K40" s="733"/>
      <c r="L40" s="733"/>
      <c r="M40" s="733"/>
      <c r="N40" s="733"/>
      <c r="O40" s="733"/>
      <c r="P40" s="733"/>
      <c r="Q40" s="70"/>
      <c r="R40" s="2"/>
      <c r="S40" s="2"/>
      <c r="T40" s="2"/>
    </row>
    <row r="41" spans="1:20">
      <c r="A41" s="22">
        <v>41954</v>
      </c>
      <c r="B41" s="20" t="s">
        <v>3</v>
      </c>
      <c r="C41" s="33">
        <f t="shared" si="5"/>
        <v>41954</v>
      </c>
      <c r="D41" s="33"/>
      <c r="E41" s="72"/>
      <c r="F41" s="72"/>
      <c r="G41" s="72"/>
      <c r="H41" s="72"/>
      <c r="I41" s="2"/>
      <c r="J41" s="733"/>
      <c r="K41" s="733"/>
      <c r="L41" s="733"/>
      <c r="M41" s="733"/>
      <c r="N41" s="733"/>
      <c r="O41" s="733"/>
      <c r="P41" s="733"/>
      <c r="Q41" s="70"/>
      <c r="R41" s="2"/>
      <c r="S41" s="2"/>
      <c r="T41" s="2"/>
    </row>
    <row r="42" spans="1:20">
      <c r="A42" s="22">
        <v>41970</v>
      </c>
      <c r="B42" s="20" t="s">
        <v>4</v>
      </c>
      <c r="C42" s="33">
        <f t="shared" si="5"/>
        <v>41970</v>
      </c>
      <c r="D42" s="33"/>
      <c r="E42" s="72"/>
      <c r="F42" s="72"/>
      <c r="G42" s="72"/>
      <c r="H42" s="72"/>
      <c r="I42" s="2"/>
      <c r="J42" s="733"/>
      <c r="K42" s="733"/>
      <c r="L42" s="733"/>
      <c r="M42" s="733"/>
      <c r="N42" s="733"/>
      <c r="O42" s="733"/>
      <c r="P42" s="733"/>
      <c r="Q42" s="70"/>
      <c r="R42" s="2"/>
      <c r="S42" s="2"/>
      <c r="T42" s="2"/>
    </row>
    <row r="43" spans="1:20">
      <c r="A43" s="22">
        <v>41998</v>
      </c>
      <c r="B43" s="20" t="s">
        <v>6</v>
      </c>
      <c r="C43" s="33">
        <f t="shared" si="5"/>
        <v>41998</v>
      </c>
      <c r="D43" s="33"/>
      <c r="E43" s="72"/>
      <c r="F43" s="72"/>
      <c r="G43" s="72"/>
      <c r="H43" s="72"/>
      <c r="I43" s="2"/>
      <c r="J43" s="733"/>
      <c r="K43" s="733"/>
      <c r="L43" s="733"/>
      <c r="M43" s="733"/>
      <c r="N43" s="733"/>
      <c r="O43" s="733"/>
      <c r="P43" s="733"/>
      <c r="Q43" s="70"/>
      <c r="R43" s="2"/>
      <c r="S43" s="2"/>
      <c r="T43" s="2"/>
    </row>
    <row r="44" spans="1:20">
      <c r="A44" s="22">
        <v>42005</v>
      </c>
      <c r="B44" s="20" t="s">
        <v>7</v>
      </c>
      <c r="C44" s="33">
        <f t="shared" si="5"/>
        <v>42005</v>
      </c>
      <c r="D44" s="33"/>
      <c r="E44" s="72"/>
      <c r="F44" s="72"/>
      <c r="G44" s="72"/>
      <c r="H44" s="72"/>
      <c r="I44" s="2"/>
      <c r="J44" s="733"/>
      <c r="K44" s="733"/>
      <c r="L44" s="733"/>
      <c r="M44" s="733"/>
      <c r="N44" s="733"/>
      <c r="O44" s="733"/>
      <c r="P44" s="733"/>
      <c r="Q44" s="70"/>
      <c r="R44" s="2"/>
      <c r="S44" s="2"/>
      <c r="T44" s="2"/>
    </row>
    <row r="45" spans="1:20">
      <c r="A45" s="22">
        <v>42023</v>
      </c>
      <c r="B45" s="20" t="s">
        <v>8</v>
      </c>
      <c r="C45" s="33">
        <f t="shared" si="5"/>
        <v>42023</v>
      </c>
      <c r="D45" s="33"/>
      <c r="E45" s="72"/>
      <c r="F45" s="72"/>
      <c r="G45" s="72"/>
      <c r="H45" s="72"/>
      <c r="I45" s="2"/>
      <c r="J45" s="733"/>
      <c r="K45" s="733"/>
      <c r="L45" s="733"/>
      <c r="M45" s="733"/>
      <c r="N45" s="733"/>
      <c r="O45" s="733"/>
      <c r="P45" s="733"/>
      <c r="Q45" s="70"/>
      <c r="R45" s="2"/>
      <c r="S45" s="2"/>
      <c r="T45" s="2"/>
    </row>
    <row r="46" spans="1:20">
      <c r="A46" s="22">
        <v>42051</v>
      </c>
      <c r="B46" s="20" t="s">
        <v>9</v>
      </c>
      <c r="C46" s="33">
        <f t="shared" si="5"/>
        <v>42051</v>
      </c>
      <c r="D46" s="33"/>
      <c r="E46" s="72"/>
      <c r="F46" s="72"/>
      <c r="G46" s="72"/>
      <c r="H46" s="72"/>
      <c r="I46" s="2"/>
      <c r="J46" s="733"/>
      <c r="K46" s="733"/>
      <c r="L46" s="733"/>
      <c r="M46" s="733"/>
      <c r="N46" s="733"/>
      <c r="O46" s="733"/>
      <c r="P46" s="733"/>
      <c r="Q46" s="70"/>
      <c r="R46" s="2"/>
      <c r="S46" s="2"/>
      <c r="T46" s="2"/>
    </row>
    <row r="47" spans="1:20">
      <c r="A47" s="22">
        <v>42149</v>
      </c>
      <c r="B47" s="20" t="s">
        <v>10</v>
      </c>
      <c r="C47" s="33">
        <f t="shared" si="5"/>
        <v>42149</v>
      </c>
      <c r="D47" s="33"/>
      <c r="E47" s="72"/>
      <c r="F47" s="72"/>
      <c r="G47" s="72"/>
      <c r="H47" s="72"/>
      <c r="I47" s="2"/>
      <c r="J47" s="733"/>
      <c r="K47" s="733"/>
      <c r="L47" s="733"/>
      <c r="M47" s="733"/>
      <c r="N47" s="733"/>
      <c r="O47" s="733"/>
      <c r="P47" s="733"/>
      <c r="Q47" s="70"/>
      <c r="R47" s="2"/>
      <c r="S47" s="2"/>
      <c r="T47" s="2"/>
    </row>
    <row r="48" spans="1:20">
      <c r="A48" s="22">
        <v>42188</v>
      </c>
      <c r="B48" s="20" t="s">
        <v>11</v>
      </c>
      <c r="C48" s="33">
        <f t="shared" si="5"/>
        <v>42188</v>
      </c>
      <c r="D48" s="33"/>
      <c r="E48" s="72"/>
      <c r="F48" s="72"/>
      <c r="G48" s="72"/>
      <c r="H48" s="72"/>
      <c r="I48" s="2"/>
      <c r="J48" s="733"/>
      <c r="K48" s="733"/>
      <c r="L48" s="733"/>
      <c r="M48" s="733"/>
      <c r="N48" s="733"/>
      <c r="O48" s="733"/>
      <c r="P48" s="733"/>
      <c r="Q48" s="70"/>
      <c r="R48" s="2"/>
      <c r="S48" s="2"/>
      <c r="T48" s="2"/>
    </row>
    <row r="49" spans="1:20">
      <c r="A49" s="22">
        <v>42254</v>
      </c>
      <c r="B49" s="20" t="s">
        <v>12</v>
      </c>
      <c r="C49" s="33">
        <f t="shared" si="5"/>
        <v>42254</v>
      </c>
      <c r="D49" s="33"/>
      <c r="E49" s="72"/>
      <c r="F49" s="72"/>
      <c r="G49" s="72"/>
      <c r="H49" s="72"/>
      <c r="I49" s="2"/>
      <c r="J49" s="733"/>
      <c r="K49" s="733"/>
      <c r="L49" s="733"/>
      <c r="M49" s="733"/>
      <c r="N49" s="733"/>
      <c r="O49" s="733"/>
      <c r="P49" s="733"/>
      <c r="Q49" s="70"/>
      <c r="R49" s="2"/>
      <c r="S49" s="2"/>
      <c r="T49" s="2"/>
    </row>
    <row r="50" spans="1:20">
      <c r="A50" s="22">
        <v>42319</v>
      </c>
      <c r="B50" s="20" t="s">
        <v>3</v>
      </c>
      <c r="C50" s="33">
        <f t="shared" si="5"/>
        <v>42319</v>
      </c>
      <c r="D50" s="33"/>
      <c r="E50" s="72"/>
      <c r="F50" s="72"/>
      <c r="G50" s="72"/>
      <c r="H50" s="72"/>
      <c r="I50" s="2"/>
      <c r="J50" s="733"/>
      <c r="K50" s="733"/>
      <c r="L50" s="733"/>
      <c r="M50" s="733"/>
      <c r="N50" s="733"/>
      <c r="O50" s="733"/>
      <c r="P50" s="733"/>
      <c r="Q50" s="70"/>
      <c r="R50" s="2"/>
      <c r="S50" s="2"/>
      <c r="T50" s="2"/>
    </row>
    <row r="51" spans="1:20">
      <c r="A51" s="22">
        <v>42334</v>
      </c>
      <c r="B51" s="20" t="s">
        <v>4</v>
      </c>
      <c r="C51" s="33">
        <f t="shared" si="5"/>
        <v>42334</v>
      </c>
      <c r="D51" s="33"/>
      <c r="E51" s="72"/>
      <c r="F51" s="72"/>
      <c r="G51" s="72"/>
      <c r="H51" s="72"/>
      <c r="I51" s="2"/>
      <c r="J51" s="733"/>
      <c r="K51" s="733"/>
      <c r="L51" s="733"/>
      <c r="M51" s="733"/>
      <c r="N51" s="733"/>
      <c r="O51" s="733"/>
      <c r="P51" s="733"/>
      <c r="Q51" s="70"/>
      <c r="R51" s="2"/>
      <c r="S51" s="2"/>
      <c r="T51" s="2"/>
    </row>
    <row r="52" spans="1:20">
      <c r="A52" s="22">
        <v>42363</v>
      </c>
      <c r="B52" s="20" t="s">
        <v>6</v>
      </c>
      <c r="C52" s="33">
        <f t="shared" si="5"/>
        <v>42363</v>
      </c>
      <c r="D52" s="33"/>
      <c r="E52" s="72"/>
      <c r="F52" s="72"/>
      <c r="G52" s="72"/>
      <c r="H52" s="72"/>
      <c r="I52" s="2"/>
      <c r="J52" s="733"/>
      <c r="K52" s="733"/>
      <c r="L52" s="733"/>
      <c r="M52" s="733"/>
      <c r="N52" s="733"/>
      <c r="O52" s="733"/>
      <c r="P52" s="733"/>
      <c r="Q52" s="70"/>
      <c r="R52" s="2"/>
      <c r="S52" s="2"/>
      <c r="T52" s="2"/>
    </row>
    <row r="53" spans="1:20">
      <c r="A53" s="22">
        <v>42370</v>
      </c>
      <c r="B53" s="20" t="s">
        <v>7</v>
      </c>
      <c r="C53" s="33">
        <f t="shared" ref="C53:C61" si="6">A53</f>
        <v>42370</v>
      </c>
      <c r="D53" s="33"/>
      <c r="E53" s="72"/>
      <c r="F53" s="72"/>
      <c r="G53" s="72"/>
      <c r="H53" s="72"/>
      <c r="I53" s="2"/>
      <c r="J53" s="733"/>
      <c r="K53" s="733"/>
      <c r="L53" s="733"/>
      <c r="M53" s="733"/>
      <c r="N53" s="733"/>
      <c r="O53" s="733"/>
      <c r="P53" s="733"/>
      <c r="Q53" s="70"/>
      <c r="R53" s="2"/>
      <c r="S53" s="2"/>
      <c r="T53" s="2"/>
    </row>
    <row r="54" spans="1:20">
      <c r="A54" s="22">
        <v>42387</v>
      </c>
      <c r="B54" s="20" t="s">
        <v>8</v>
      </c>
      <c r="C54" s="33">
        <f t="shared" si="6"/>
        <v>42387</v>
      </c>
      <c r="D54" s="33"/>
      <c r="E54" s="72"/>
      <c r="F54" s="72"/>
      <c r="G54" s="72"/>
      <c r="H54" s="72"/>
      <c r="I54" s="2"/>
      <c r="J54" s="733"/>
      <c r="K54" s="733"/>
      <c r="L54" s="733"/>
      <c r="M54" s="733"/>
      <c r="N54" s="733"/>
      <c r="O54" s="733"/>
      <c r="P54" s="733"/>
      <c r="Q54" s="70"/>
      <c r="R54" s="2"/>
      <c r="S54" s="2"/>
      <c r="T54" s="2"/>
    </row>
    <row r="55" spans="1:20">
      <c r="A55" s="22">
        <v>42415</v>
      </c>
      <c r="B55" s="20" t="s">
        <v>9</v>
      </c>
      <c r="C55" s="33">
        <f t="shared" si="6"/>
        <v>42415</v>
      </c>
      <c r="D55" s="33"/>
      <c r="E55" s="72"/>
      <c r="F55" s="72"/>
      <c r="G55" s="72"/>
      <c r="H55" s="72"/>
      <c r="I55" s="2"/>
      <c r="J55" s="733"/>
      <c r="K55" s="733"/>
      <c r="L55" s="733"/>
      <c r="M55" s="733"/>
      <c r="N55" s="733"/>
      <c r="O55" s="733"/>
      <c r="P55" s="733"/>
      <c r="Q55" s="70"/>
      <c r="R55" s="2"/>
      <c r="S55" s="2"/>
      <c r="T55" s="2"/>
    </row>
    <row r="56" spans="1:20">
      <c r="A56" s="22">
        <v>42520</v>
      </c>
      <c r="B56" s="20" t="s">
        <v>10</v>
      </c>
      <c r="C56" s="33">
        <f t="shared" si="6"/>
        <v>42520</v>
      </c>
      <c r="D56" s="33"/>
      <c r="E56" s="72"/>
      <c r="F56" s="72"/>
      <c r="G56" s="72"/>
      <c r="H56" s="72"/>
      <c r="I56" s="2"/>
      <c r="J56" s="733"/>
      <c r="K56" s="733"/>
      <c r="L56" s="733"/>
      <c r="M56" s="733"/>
      <c r="N56" s="733"/>
      <c r="O56" s="733"/>
      <c r="P56" s="733"/>
      <c r="Q56" s="70"/>
      <c r="R56" s="2"/>
      <c r="S56" s="2"/>
      <c r="T56" s="2"/>
    </row>
    <row r="57" spans="1:20">
      <c r="A57" s="22">
        <v>42555</v>
      </c>
      <c r="B57" s="20" t="s">
        <v>11</v>
      </c>
      <c r="C57" s="33">
        <f t="shared" si="6"/>
        <v>42555</v>
      </c>
      <c r="D57" s="33"/>
      <c r="E57" s="72"/>
      <c r="F57" s="72"/>
      <c r="G57" s="72"/>
      <c r="H57" s="72"/>
      <c r="I57" s="2"/>
      <c r="J57" s="733"/>
      <c r="K57" s="733"/>
      <c r="L57" s="733"/>
      <c r="M57" s="733"/>
      <c r="N57" s="733"/>
      <c r="O57" s="733"/>
      <c r="P57" s="733"/>
      <c r="Q57" s="70"/>
      <c r="R57" s="2"/>
      <c r="S57" s="2"/>
      <c r="T57" s="2"/>
    </row>
    <row r="58" spans="1:20">
      <c r="A58" s="22">
        <v>42618</v>
      </c>
      <c r="B58" s="20" t="s">
        <v>12</v>
      </c>
      <c r="C58" s="33">
        <f t="shared" si="6"/>
        <v>42618</v>
      </c>
      <c r="D58" s="33"/>
      <c r="E58" s="72"/>
      <c r="F58" s="72"/>
      <c r="G58" s="72"/>
      <c r="H58" s="72"/>
      <c r="I58" s="2"/>
      <c r="J58" s="733"/>
      <c r="K58" s="733"/>
      <c r="L58" s="733"/>
      <c r="M58" s="733"/>
      <c r="N58" s="733"/>
      <c r="O58" s="733"/>
      <c r="P58" s="733"/>
      <c r="Q58" s="70"/>
      <c r="R58" s="2"/>
      <c r="S58" s="2"/>
      <c r="T58" s="2"/>
    </row>
    <row r="59" spans="1:20">
      <c r="A59" s="22">
        <v>42685</v>
      </c>
      <c r="B59" s="20" t="s">
        <v>3</v>
      </c>
      <c r="C59" s="33">
        <f t="shared" si="6"/>
        <v>42685</v>
      </c>
      <c r="D59" s="33"/>
      <c r="E59" s="72"/>
      <c r="F59" s="72"/>
      <c r="G59" s="72"/>
      <c r="H59" s="72"/>
      <c r="I59" s="2"/>
      <c r="J59" s="733"/>
      <c r="K59" s="733"/>
      <c r="L59" s="733"/>
      <c r="M59" s="733"/>
      <c r="N59" s="733"/>
      <c r="O59" s="733"/>
      <c r="P59" s="733"/>
      <c r="Q59" s="70"/>
      <c r="R59" s="2"/>
      <c r="S59" s="2"/>
      <c r="T59" s="2"/>
    </row>
    <row r="60" spans="1:20">
      <c r="A60" s="22">
        <v>42698</v>
      </c>
      <c r="B60" s="20" t="s">
        <v>4</v>
      </c>
      <c r="C60" s="33">
        <f t="shared" si="6"/>
        <v>42698</v>
      </c>
      <c r="D60" s="33"/>
      <c r="E60" s="72"/>
      <c r="F60" s="72"/>
      <c r="G60" s="72"/>
      <c r="H60" s="72"/>
      <c r="I60" s="2"/>
      <c r="J60" s="733"/>
      <c r="K60" s="733"/>
      <c r="L60" s="733"/>
      <c r="M60" s="733"/>
      <c r="N60" s="733"/>
      <c r="O60" s="733"/>
      <c r="P60" s="733"/>
      <c r="Q60" s="70"/>
      <c r="R60" s="2"/>
      <c r="S60" s="2"/>
      <c r="T60" s="2"/>
    </row>
    <row r="61" spans="1:20">
      <c r="A61" s="22">
        <v>42730</v>
      </c>
      <c r="B61" s="20" t="s">
        <v>6</v>
      </c>
      <c r="C61" s="33">
        <f t="shared" si="6"/>
        <v>42730</v>
      </c>
      <c r="D61" s="33"/>
      <c r="E61" s="72"/>
      <c r="F61" s="72"/>
      <c r="G61" s="72"/>
      <c r="H61" s="72"/>
      <c r="I61" s="2"/>
      <c r="J61" s="733"/>
      <c r="K61" s="733"/>
      <c r="L61" s="733"/>
      <c r="M61" s="733"/>
      <c r="N61" s="733"/>
      <c r="O61" s="733"/>
      <c r="P61" s="733"/>
      <c r="Q61" s="70"/>
      <c r="R61" s="2"/>
      <c r="S61" s="2"/>
      <c r="T61" s="2"/>
    </row>
    <row r="62" spans="1:20">
      <c r="A62" s="22">
        <v>42737</v>
      </c>
      <c r="B62" s="20" t="s">
        <v>7</v>
      </c>
      <c r="C62" s="33">
        <f t="shared" ref="C62:C70" si="7">A62</f>
        <v>42737</v>
      </c>
      <c r="D62" s="33"/>
      <c r="E62" s="72"/>
      <c r="F62" s="72"/>
      <c r="G62" s="72"/>
      <c r="H62" s="72"/>
      <c r="I62" s="2"/>
      <c r="J62" s="733"/>
      <c r="K62" s="733"/>
      <c r="L62" s="733"/>
      <c r="M62" s="733"/>
      <c r="N62" s="733"/>
      <c r="O62" s="733"/>
      <c r="P62" s="733"/>
      <c r="Q62" s="70"/>
      <c r="R62" s="2"/>
      <c r="S62" s="2"/>
      <c r="T62" s="2"/>
    </row>
    <row r="63" spans="1:20">
      <c r="A63" s="22">
        <v>42751</v>
      </c>
      <c r="B63" s="20" t="s">
        <v>8</v>
      </c>
      <c r="C63" s="33">
        <f t="shared" si="7"/>
        <v>42751</v>
      </c>
      <c r="D63" s="33"/>
      <c r="E63" s="72"/>
      <c r="F63" s="72"/>
      <c r="G63" s="72"/>
      <c r="H63" s="72"/>
      <c r="I63" s="2"/>
      <c r="J63" s="733"/>
      <c r="K63" s="733"/>
      <c r="L63" s="733"/>
      <c r="M63" s="733"/>
      <c r="N63" s="733"/>
      <c r="O63" s="733"/>
      <c r="P63" s="733"/>
      <c r="Q63" s="70"/>
      <c r="R63" s="2"/>
      <c r="S63" s="2"/>
      <c r="T63" s="2"/>
    </row>
    <row r="64" spans="1:20">
      <c r="A64" s="22">
        <v>42786</v>
      </c>
      <c r="B64" s="20" t="s">
        <v>9</v>
      </c>
      <c r="C64" s="33">
        <f t="shared" si="7"/>
        <v>42786</v>
      </c>
      <c r="D64" s="33"/>
      <c r="E64" s="72"/>
      <c r="F64" s="72"/>
      <c r="G64" s="72"/>
      <c r="H64" s="72"/>
      <c r="I64" s="2"/>
      <c r="J64" s="733"/>
      <c r="K64" s="733"/>
      <c r="L64" s="733"/>
      <c r="M64" s="733"/>
      <c r="N64" s="733"/>
      <c r="O64" s="733"/>
      <c r="P64" s="733"/>
      <c r="Q64" s="70"/>
      <c r="R64" s="2"/>
      <c r="S64" s="2"/>
      <c r="T64" s="2"/>
    </row>
    <row r="65" spans="1:20">
      <c r="A65" s="22">
        <v>42884</v>
      </c>
      <c r="B65" s="20" t="s">
        <v>10</v>
      </c>
      <c r="C65" s="33">
        <f t="shared" si="7"/>
        <v>42884</v>
      </c>
      <c r="D65" s="33"/>
      <c r="E65" s="72"/>
      <c r="F65" s="72"/>
      <c r="G65" s="72"/>
      <c r="H65" s="72"/>
      <c r="I65" s="2"/>
      <c r="J65" s="733"/>
      <c r="K65" s="733"/>
      <c r="L65" s="733"/>
      <c r="M65" s="733"/>
      <c r="N65" s="733"/>
      <c r="O65" s="733"/>
      <c r="P65" s="733"/>
      <c r="Q65" s="70"/>
      <c r="R65" s="2"/>
      <c r="S65" s="2"/>
      <c r="T65" s="2"/>
    </row>
    <row r="66" spans="1:20">
      <c r="A66" s="22">
        <v>42920</v>
      </c>
      <c r="B66" s="20" t="s">
        <v>11</v>
      </c>
      <c r="C66" s="33">
        <f t="shared" si="7"/>
        <v>42920</v>
      </c>
      <c r="D66" s="33"/>
      <c r="E66" s="72"/>
      <c r="F66" s="72"/>
      <c r="G66" s="72"/>
      <c r="H66" s="72"/>
      <c r="I66" s="2"/>
      <c r="J66" s="733"/>
      <c r="K66" s="733"/>
      <c r="L66" s="733"/>
      <c r="M66" s="733"/>
      <c r="N66" s="733"/>
      <c r="O66" s="733"/>
      <c r="P66" s="733"/>
      <c r="Q66" s="70"/>
      <c r="R66" s="2"/>
      <c r="S66" s="2"/>
      <c r="T66" s="2"/>
    </row>
    <row r="67" spans="1:20">
      <c r="A67" s="22">
        <v>42982</v>
      </c>
      <c r="B67" s="20" t="s">
        <v>12</v>
      </c>
      <c r="C67" s="33">
        <f t="shared" si="7"/>
        <v>42982</v>
      </c>
      <c r="D67" s="33"/>
      <c r="E67" s="72"/>
      <c r="F67" s="72"/>
      <c r="G67" s="72"/>
      <c r="H67" s="72"/>
      <c r="I67" s="2"/>
      <c r="J67" s="733"/>
      <c r="K67" s="733"/>
      <c r="L67" s="733"/>
      <c r="M67" s="733"/>
      <c r="N67" s="733"/>
      <c r="O67" s="733"/>
      <c r="P67" s="733"/>
      <c r="Q67" s="70"/>
      <c r="R67" s="2"/>
      <c r="S67" s="2"/>
      <c r="T67" s="2"/>
    </row>
    <row r="68" spans="1:20">
      <c r="A68" s="22">
        <v>43049</v>
      </c>
      <c r="B68" s="20" t="s">
        <v>3</v>
      </c>
      <c r="C68" s="33">
        <f t="shared" si="7"/>
        <v>43049</v>
      </c>
      <c r="D68" s="33"/>
      <c r="E68" s="72"/>
      <c r="F68" s="72"/>
      <c r="G68" s="72"/>
      <c r="H68" s="72"/>
      <c r="I68" s="2"/>
      <c r="J68" s="733"/>
      <c r="K68" s="733"/>
      <c r="L68" s="733"/>
      <c r="M68" s="733"/>
      <c r="N68" s="733"/>
      <c r="O68" s="733"/>
      <c r="P68" s="733"/>
      <c r="Q68" s="70"/>
      <c r="R68" s="2"/>
      <c r="S68" s="2"/>
      <c r="T68" s="2"/>
    </row>
    <row r="69" spans="1:20">
      <c r="A69" s="22">
        <v>43062</v>
      </c>
      <c r="B69" s="20" t="s">
        <v>4</v>
      </c>
      <c r="C69" s="33">
        <f t="shared" si="7"/>
        <v>43062</v>
      </c>
      <c r="D69" s="33"/>
      <c r="E69" s="72"/>
      <c r="F69" s="72"/>
      <c r="G69" s="72"/>
      <c r="H69" s="72"/>
      <c r="I69" s="2"/>
      <c r="J69" s="733"/>
      <c r="K69" s="733"/>
      <c r="L69" s="733"/>
      <c r="M69" s="733"/>
      <c r="N69" s="733"/>
      <c r="O69" s="733"/>
      <c r="P69" s="733"/>
      <c r="Q69" s="70"/>
      <c r="R69" s="2"/>
      <c r="S69" s="2"/>
      <c r="T69" s="2"/>
    </row>
    <row r="70" spans="1:20">
      <c r="A70" s="22">
        <v>43094</v>
      </c>
      <c r="B70" s="20" t="s">
        <v>6</v>
      </c>
      <c r="C70" s="33">
        <f t="shared" si="7"/>
        <v>43094</v>
      </c>
      <c r="D70" s="33"/>
      <c r="E70" s="72"/>
      <c r="F70" s="72"/>
      <c r="G70" s="72"/>
      <c r="H70" s="72"/>
      <c r="I70" s="2"/>
      <c r="J70" s="733"/>
      <c r="K70" s="733"/>
      <c r="L70" s="733"/>
      <c r="M70" s="733"/>
      <c r="N70" s="733"/>
      <c r="O70" s="733"/>
      <c r="P70" s="733"/>
      <c r="Q70" s="70"/>
      <c r="R70" s="2"/>
      <c r="S70" s="2"/>
      <c r="T70" s="2"/>
    </row>
    <row r="71" spans="1:20">
      <c r="A71" s="22">
        <v>43101</v>
      </c>
      <c r="B71" s="20" t="s">
        <v>7</v>
      </c>
      <c r="C71" s="33">
        <f t="shared" si="5"/>
        <v>43101</v>
      </c>
      <c r="D71" s="33"/>
      <c r="E71" s="72"/>
      <c r="F71" s="72"/>
      <c r="G71" s="72"/>
      <c r="H71" s="72"/>
      <c r="I71" s="2"/>
      <c r="J71" s="733"/>
      <c r="K71" s="733"/>
      <c r="L71" s="733"/>
      <c r="M71" s="733"/>
      <c r="N71" s="733"/>
      <c r="O71" s="733"/>
      <c r="P71" s="733"/>
      <c r="Q71" s="70"/>
      <c r="R71" s="2"/>
      <c r="S71" s="2"/>
      <c r="T71" s="2"/>
    </row>
    <row r="72" spans="1:20">
      <c r="A72" s="18" t="s">
        <v>23</v>
      </c>
      <c r="B72" s="19"/>
      <c r="C72" s="7"/>
      <c r="D72" s="7"/>
      <c r="E72" s="73"/>
      <c r="F72" s="73"/>
      <c r="G72" s="73"/>
      <c r="H72" s="73"/>
      <c r="I72" s="2"/>
      <c r="J72" s="733"/>
      <c r="K72" s="733"/>
      <c r="L72" s="733"/>
      <c r="M72" s="733"/>
      <c r="N72" s="733"/>
      <c r="O72" s="733"/>
      <c r="P72" s="733"/>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18" zoomScale="110" zoomScaleNormal="110" workbookViewId="0">
      <selection activeCell="E305" sqref="E305"/>
    </sheetView>
  </sheetViews>
  <sheetFormatPr defaultRowHeight="14.25" outlineLevelRow="2" outlineLevelCol="1"/>
  <cols>
    <col min="1" max="1" width="1.5" customWidth="1"/>
    <col min="2" max="2" width="43.625" customWidth="1"/>
    <col min="3" max="3" width="2.5" style="711" customWidth="1"/>
    <col min="4" max="4" width="9.875" style="46" customWidth="1"/>
    <col min="5" max="5" width="7.375" style="44" customWidth="1"/>
    <col min="6" max="6" width="7.625" style="44" customWidth="1"/>
    <col min="7" max="7" width="11.375" style="46" customWidth="1"/>
    <col min="8" max="8" width="11.5" style="46" customWidth="1"/>
    <col min="9" max="9" width="39.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7" hidden="1" customWidth="1" outlineLevel="1"/>
    <col min="707" max="707" width="3.375" style="547" hidden="1" customWidth="1" outlineLevel="1"/>
    <col min="708" max="708" width="4.5" style="545"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7"/>
      <c r="B1" s="600" t="s">
        <v>0</v>
      </c>
      <c r="C1" s="686"/>
      <c r="D1" s="601"/>
      <c r="E1" s="602"/>
      <c r="F1" s="603"/>
      <c r="G1" s="604"/>
      <c r="H1" s="607"/>
      <c r="I1" s="587"/>
      <c r="J1" s="605"/>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606"/>
      <c r="FF1" s="606"/>
      <c r="FG1" s="606"/>
      <c r="FH1" s="606"/>
      <c r="FI1" s="606"/>
      <c r="FJ1" s="606"/>
      <c r="FK1" s="606"/>
      <c r="FL1" s="606"/>
      <c r="FM1" s="606"/>
      <c r="FN1" s="606"/>
      <c r="FO1" s="606"/>
      <c r="FP1" s="606"/>
      <c r="FQ1" s="606"/>
      <c r="FR1" s="606"/>
      <c r="FS1" s="606"/>
      <c r="FT1" s="606"/>
      <c r="FU1" s="606"/>
      <c r="FV1" s="606"/>
      <c r="FW1" s="606"/>
      <c r="FX1" s="606"/>
      <c r="FY1" s="606"/>
      <c r="FZ1" s="606"/>
      <c r="GA1" s="606"/>
      <c r="GB1" s="606"/>
      <c r="GC1" s="606"/>
      <c r="GD1" s="606"/>
      <c r="GE1" s="606"/>
      <c r="GF1" s="606"/>
      <c r="GG1" s="606"/>
      <c r="GH1" s="606"/>
      <c r="GI1" s="606"/>
      <c r="GJ1" s="606"/>
      <c r="GK1" s="606"/>
      <c r="GL1" s="606"/>
      <c r="GM1" s="606"/>
      <c r="GN1" s="606"/>
      <c r="GO1" s="606"/>
      <c r="GP1" s="606"/>
      <c r="GQ1" s="606"/>
      <c r="GR1" s="606"/>
      <c r="GS1" s="606"/>
      <c r="GT1" s="606"/>
      <c r="GU1" s="606"/>
      <c r="GV1" s="606"/>
      <c r="GW1" s="606"/>
      <c r="GX1" s="606"/>
      <c r="GY1" s="606"/>
      <c r="GZ1" s="606"/>
      <c r="HA1" s="606"/>
      <c r="HB1" s="606"/>
      <c r="HC1" s="606"/>
      <c r="HD1" s="606"/>
      <c r="HE1" s="606"/>
      <c r="HF1" s="606"/>
      <c r="HG1" s="606"/>
      <c r="HH1" s="606"/>
      <c r="HI1" s="606"/>
      <c r="HJ1" s="606"/>
      <c r="HK1" s="606"/>
      <c r="HL1" s="606"/>
      <c r="HM1" s="606"/>
      <c r="HN1" s="606"/>
      <c r="HO1" s="606"/>
      <c r="HP1" s="606"/>
      <c r="HQ1" s="606"/>
      <c r="HR1" s="606"/>
      <c r="HS1" s="606"/>
      <c r="HT1" s="606"/>
      <c r="HU1" s="606"/>
      <c r="HV1" s="606"/>
      <c r="HW1" s="606"/>
      <c r="HX1" s="606"/>
      <c r="HY1" s="606"/>
      <c r="HZ1" s="606"/>
      <c r="IA1" s="606"/>
      <c r="IB1" s="606"/>
      <c r="IC1" s="606"/>
      <c r="ID1" s="606"/>
      <c r="IE1" s="606"/>
      <c r="IF1" s="606"/>
      <c r="IG1" s="606"/>
      <c r="IH1" s="606"/>
      <c r="II1" s="606"/>
      <c r="IJ1" s="606"/>
      <c r="IK1" s="606"/>
      <c r="IL1" s="606"/>
      <c r="IM1" s="606"/>
      <c r="IN1" s="606"/>
      <c r="IO1" s="606"/>
      <c r="IP1" s="606"/>
      <c r="IQ1" s="606"/>
      <c r="IR1" s="606"/>
      <c r="IS1" s="606"/>
      <c r="IT1" s="606"/>
      <c r="IU1" s="606"/>
      <c r="IV1" s="606"/>
      <c r="IW1" s="606"/>
      <c r="IX1" s="606"/>
      <c r="IY1" s="606"/>
      <c r="IZ1" s="606"/>
      <c r="JA1" s="606"/>
      <c r="JB1" s="606"/>
      <c r="JC1" s="606"/>
      <c r="JD1" s="606"/>
      <c r="JE1" s="606"/>
      <c r="JF1" s="606"/>
      <c r="JG1" s="606"/>
      <c r="JH1" s="606"/>
      <c r="JI1" s="606"/>
      <c r="JJ1" s="606"/>
      <c r="JK1" s="606"/>
      <c r="JL1" s="606"/>
      <c r="JM1" s="606"/>
      <c r="JN1" s="606"/>
      <c r="JO1" s="606"/>
      <c r="JP1" s="606"/>
      <c r="JQ1" s="606"/>
      <c r="JR1" s="606"/>
      <c r="JS1" s="606"/>
      <c r="JT1" s="606"/>
      <c r="JU1" s="606"/>
      <c r="JV1" s="606"/>
      <c r="JW1" s="606"/>
      <c r="JX1" s="606"/>
      <c r="JY1" s="606"/>
      <c r="JZ1" s="606"/>
      <c r="KA1" s="606"/>
      <c r="KB1" s="606"/>
      <c r="KC1" s="606"/>
      <c r="KD1" s="606"/>
      <c r="KE1" s="606"/>
      <c r="KF1" s="606"/>
      <c r="KG1" s="606"/>
      <c r="KH1" s="606"/>
      <c r="KI1" s="606"/>
      <c r="KJ1" s="606"/>
      <c r="KK1" s="606"/>
      <c r="KL1" s="606"/>
      <c r="KM1" s="606"/>
      <c r="KN1" s="606"/>
      <c r="KO1" s="606"/>
      <c r="KP1" s="606"/>
      <c r="KQ1" s="606"/>
      <c r="KR1" s="606"/>
      <c r="KS1" s="606"/>
      <c r="KT1" s="606"/>
      <c r="KU1" s="606"/>
      <c r="KV1" s="606"/>
      <c r="KW1" s="606"/>
      <c r="KX1" s="606"/>
      <c r="KY1" s="606"/>
      <c r="KZ1" s="606"/>
      <c r="LA1" s="606"/>
      <c r="LB1" s="606"/>
      <c r="LC1" s="606"/>
      <c r="LD1" s="606"/>
      <c r="LE1" s="606"/>
      <c r="LF1" s="606"/>
      <c r="LG1" s="606"/>
      <c r="LH1" s="606"/>
      <c r="LI1" s="606"/>
      <c r="LJ1" s="606"/>
      <c r="LK1" s="606"/>
      <c r="LL1" s="606"/>
      <c r="LM1" s="606"/>
      <c r="LN1" s="606"/>
      <c r="LO1" s="606"/>
      <c r="LP1" s="606"/>
      <c r="LQ1" s="606"/>
      <c r="LR1" s="606"/>
      <c r="LS1" s="606"/>
      <c r="LT1" s="606"/>
      <c r="LU1" s="606"/>
      <c r="LV1" s="606"/>
      <c r="LW1" s="606"/>
      <c r="LX1" s="606"/>
      <c r="LY1" s="606"/>
      <c r="LZ1" s="606"/>
      <c r="MA1" s="606"/>
      <c r="MB1" s="606"/>
      <c r="MC1" s="606"/>
      <c r="MD1" s="606"/>
      <c r="ME1" s="606"/>
      <c r="MF1" s="606"/>
      <c r="MG1" s="606"/>
      <c r="MH1" s="606"/>
      <c r="MI1" s="606"/>
      <c r="MJ1" s="606"/>
      <c r="MK1" s="606"/>
      <c r="ML1" s="606"/>
      <c r="MM1" s="606"/>
      <c r="MN1" s="606"/>
      <c r="MO1" s="606"/>
      <c r="MP1" s="606"/>
      <c r="MQ1" s="606"/>
      <c r="MR1" s="606"/>
      <c r="MS1" s="606"/>
      <c r="MT1" s="606"/>
      <c r="MU1" s="606"/>
      <c r="MV1" s="606"/>
      <c r="MW1" s="606"/>
      <c r="MX1" s="606"/>
      <c r="MY1" s="606"/>
      <c r="MZ1" s="606"/>
      <c r="NA1" s="606"/>
      <c r="NB1" s="606"/>
      <c r="NC1" s="606"/>
      <c r="ND1" s="606"/>
      <c r="NE1" s="606"/>
      <c r="NF1" s="606"/>
      <c r="NG1" s="606"/>
      <c r="NH1" s="606"/>
      <c r="NI1" s="606"/>
      <c r="NJ1" s="606"/>
      <c r="NK1" s="606"/>
      <c r="NL1" s="606"/>
      <c r="NM1" s="606"/>
      <c r="NN1" s="606"/>
      <c r="NO1" s="606"/>
      <c r="NP1" s="606"/>
      <c r="NQ1" s="606"/>
      <c r="NR1" s="606"/>
      <c r="NS1" s="606"/>
      <c r="NT1" s="606"/>
      <c r="NU1" s="606"/>
      <c r="NV1" s="606"/>
      <c r="NW1" s="606"/>
      <c r="NX1" s="606"/>
      <c r="NY1" s="606"/>
      <c r="NZ1" s="606"/>
      <c r="OA1" s="606"/>
      <c r="OB1" s="606"/>
      <c r="OC1" s="606"/>
      <c r="OD1" s="606"/>
      <c r="OE1" s="606"/>
      <c r="OF1" s="606"/>
      <c r="OG1" s="606"/>
      <c r="OH1" s="606"/>
      <c r="OI1" s="606"/>
      <c r="OJ1" s="606"/>
      <c r="OK1" s="606"/>
      <c r="OL1" s="606"/>
      <c r="OM1" s="606"/>
      <c r="ON1" s="606"/>
      <c r="OO1" s="606"/>
      <c r="OP1" s="606"/>
      <c r="OQ1" s="606"/>
      <c r="OR1" s="606"/>
      <c r="OS1" s="606"/>
      <c r="OT1" s="606"/>
      <c r="OU1" s="606"/>
      <c r="OV1" s="606"/>
      <c r="OW1" s="606"/>
      <c r="OX1" s="606"/>
      <c r="OY1" s="606"/>
      <c r="OZ1" s="606"/>
      <c r="PA1" s="606"/>
      <c r="PB1" s="606"/>
      <c r="PC1" s="606"/>
      <c r="PD1" s="606"/>
      <c r="PE1" s="606"/>
      <c r="PF1" s="606"/>
      <c r="PG1" s="606"/>
      <c r="PH1" s="606"/>
      <c r="PI1" s="606"/>
      <c r="PJ1" s="606"/>
      <c r="PK1" s="606"/>
      <c r="PL1" s="606"/>
      <c r="PM1" s="606"/>
      <c r="PN1" s="606"/>
      <c r="PO1" s="606"/>
      <c r="PP1" s="606"/>
      <c r="PQ1" s="606"/>
      <c r="PR1" s="606"/>
      <c r="PS1" s="606"/>
      <c r="PT1" s="606"/>
      <c r="PU1" s="606"/>
      <c r="PV1" s="606"/>
      <c r="PW1" s="606"/>
      <c r="PX1" s="606"/>
      <c r="PY1" s="606"/>
      <c r="PZ1" s="606"/>
      <c r="QA1" s="606"/>
      <c r="QB1" s="606"/>
      <c r="QC1" s="606"/>
      <c r="QD1" s="606"/>
      <c r="QE1" s="606"/>
      <c r="QF1" s="606"/>
      <c r="QG1" s="606"/>
      <c r="QH1" s="606"/>
      <c r="QI1" s="606"/>
      <c r="QJ1" s="606"/>
      <c r="QK1" s="606"/>
      <c r="QL1" s="606"/>
      <c r="QM1" s="606"/>
      <c r="QN1" s="606"/>
      <c r="QO1" s="606"/>
      <c r="QP1" s="606"/>
      <c r="QQ1" s="606"/>
      <c r="QR1" s="606"/>
      <c r="QS1" s="606"/>
      <c r="QT1" s="606"/>
      <c r="QU1" s="606"/>
      <c r="QV1" s="606"/>
      <c r="QW1" s="606"/>
      <c r="QX1" s="606"/>
      <c r="QY1" s="606"/>
      <c r="QZ1" s="606"/>
      <c r="RA1" s="606"/>
      <c r="RB1" s="606"/>
      <c r="RC1" s="606"/>
      <c r="RD1" s="606"/>
      <c r="RE1" s="606"/>
      <c r="RF1" s="606"/>
      <c r="RG1" s="606"/>
      <c r="RH1" s="606"/>
      <c r="RI1" s="606"/>
      <c r="RJ1" s="606"/>
      <c r="RK1" s="606"/>
      <c r="RL1" s="606"/>
      <c r="RM1" s="606"/>
      <c r="RN1" s="606"/>
      <c r="RO1" s="606"/>
      <c r="RP1" s="606"/>
      <c r="RQ1" s="606"/>
      <c r="RR1" s="606"/>
      <c r="RS1" s="606"/>
      <c r="RT1" s="606"/>
      <c r="RU1" s="606"/>
      <c r="RV1" s="606"/>
      <c r="RW1" s="606"/>
      <c r="RX1" s="606"/>
      <c r="RY1" s="606"/>
      <c r="RZ1" s="606"/>
      <c r="SA1" s="606"/>
      <c r="SB1" s="606"/>
      <c r="SC1" s="606"/>
      <c r="SD1" s="606"/>
      <c r="SE1" s="606"/>
      <c r="SF1" s="606"/>
      <c r="SG1" s="606"/>
      <c r="SH1" s="606"/>
      <c r="SI1" s="606"/>
      <c r="SJ1" s="606"/>
      <c r="SK1" s="606"/>
      <c r="SL1" s="606"/>
      <c r="SM1" s="606"/>
      <c r="SN1" s="606"/>
      <c r="SO1" s="606"/>
      <c r="SP1" s="606"/>
      <c r="SQ1" s="606"/>
      <c r="SR1" s="606"/>
      <c r="SS1" s="606"/>
      <c r="ST1" s="606"/>
      <c r="SU1" s="606"/>
      <c r="SV1" s="606"/>
      <c r="SW1" s="606"/>
      <c r="SX1" s="606"/>
      <c r="SY1" s="606"/>
      <c r="SZ1" s="606"/>
      <c r="TA1" s="606"/>
      <c r="TB1" s="606"/>
      <c r="TC1" s="606"/>
      <c r="TD1" s="606"/>
      <c r="TE1" s="606"/>
      <c r="TF1" s="606"/>
      <c r="TG1" s="606"/>
      <c r="TH1" s="606"/>
      <c r="TI1" s="606"/>
      <c r="TJ1" s="606"/>
      <c r="TK1" s="606"/>
      <c r="TL1" s="606"/>
      <c r="TM1" s="606"/>
      <c r="TN1" s="606"/>
      <c r="TO1" s="606"/>
      <c r="TP1" s="606"/>
      <c r="TQ1" s="606"/>
      <c r="TR1" s="606"/>
      <c r="TS1" s="606"/>
      <c r="TT1" s="606"/>
      <c r="TU1" s="606"/>
      <c r="TV1" s="606"/>
      <c r="TW1" s="606"/>
      <c r="TX1" s="606"/>
      <c r="TY1" s="606"/>
      <c r="TZ1" s="606"/>
      <c r="UA1" s="606"/>
      <c r="UB1" s="606"/>
      <c r="UC1" s="606"/>
      <c r="UD1" s="606"/>
      <c r="UE1" s="606"/>
      <c r="UF1" s="606"/>
      <c r="UG1" s="606"/>
      <c r="UH1" s="606"/>
      <c r="UI1" s="606"/>
      <c r="UJ1" s="606"/>
      <c r="UK1" s="606"/>
      <c r="UL1" s="606"/>
      <c r="UM1" s="606"/>
      <c r="UN1" s="606"/>
      <c r="UO1" s="606"/>
      <c r="UP1" s="606"/>
      <c r="UQ1" s="606"/>
      <c r="UR1" s="606"/>
      <c r="US1" s="606"/>
      <c r="UT1" s="606"/>
      <c r="UU1" s="606"/>
      <c r="UV1" s="606"/>
      <c r="UW1" s="606"/>
      <c r="UX1" s="606"/>
      <c r="UY1" s="606"/>
      <c r="UZ1" s="606"/>
      <c r="VA1" s="606"/>
      <c r="VB1" s="606"/>
      <c r="VC1" s="606"/>
      <c r="VD1" s="606"/>
      <c r="VE1" s="606"/>
      <c r="VF1" s="606"/>
      <c r="VG1" s="606"/>
      <c r="VH1" s="606"/>
      <c r="VI1" s="606"/>
      <c r="VJ1" s="606"/>
      <c r="VK1" s="606"/>
      <c r="VL1" s="606"/>
      <c r="VM1" s="606"/>
      <c r="VN1" s="606"/>
      <c r="VO1" s="606"/>
      <c r="VP1" s="606"/>
      <c r="VQ1" s="606"/>
      <c r="VR1" s="606"/>
      <c r="VS1" s="606"/>
      <c r="VT1" s="606"/>
      <c r="VU1" s="606"/>
      <c r="VV1" s="606"/>
      <c r="VW1" s="606"/>
      <c r="VX1" s="606"/>
      <c r="VY1" s="606"/>
      <c r="VZ1" s="606"/>
      <c r="WA1" s="606"/>
      <c r="WB1" s="606"/>
      <c r="WC1" s="606"/>
      <c r="WD1" s="606"/>
      <c r="WE1" s="606"/>
      <c r="WF1" s="606"/>
      <c r="WG1" s="606"/>
      <c r="WH1" s="606"/>
      <c r="WI1" s="606"/>
      <c r="WJ1" s="606"/>
      <c r="WK1" s="606"/>
      <c r="WL1" s="606"/>
      <c r="WM1" s="606"/>
      <c r="WN1" s="606"/>
      <c r="WO1" s="606"/>
      <c r="WP1" s="606"/>
      <c r="WQ1" s="606"/>
      <c r="WR1" s="606"/>
      <c r="WS1" s="606"/>
      <c r="WT1" s="606"/>
      <c r="WU1" s="606"/>
      <c r="WV1" s="606"/>
      <c r="WW1" s="606"/>
      <c r="WX1" s="606"/>
      <c r="WY1" s="606"/>
      <c r="WZ1" s="606"/>
      <c r="XA1" s="606"/>
      <c r="XB1" s="606"/>
      <c r="XC1" s="606"/>
      <c r="XD1" s="606"/>
      <c r="XE1" s="606"/>
      <c r="XF1" s="606"/>
      <c r="XG1" s="606"/>
      <c r="XH1" s="606"/>
      <c r="XI1" s="606"/>
      <c r="XJ1" s="606"/>
      <c r="XK1" s="606"/>
      <c r="XL1" s="606"/>
      <c r="XM1" s="606"/>
      <c r="XN1" s="606"/>
      <c r="XO1" s="606"/>
      <c r="XP1" s="606"/>
      <c r="XQ1" s="606"/>
      <c r="XR1" s="606"/>
      <c r="XS1" s="606"/>
      <c r="XT1" s="606"/>
      <c r="XU1" s="606"/>
      <c r="XV1" s="606"/>
      <c r="XW1" s="606"/>
      <c r="XX1" s="606"/>
      <c r="XY1" s="606"/>
      <c r="XZ1" s="606"/>
      <c r="YA1" s="606"/>
      <c r="YB1" s="606"/>
      <c r="YC1" s="606"/>
      <c r="YD1" s="606"/>
      <c r="YE1" s="606"/>
      <c r="YF1" s="606"/>
      <c r="YG1" s="606"/>
      <c r="YH1" s="606"/>
      <c r="YI1" s="606"/>
      <c r="YJ1" s="606"/>
      <c r="YK1" s="606"/>
      <c r="YL1" s="606"/>
      <c r="YM1" s="606"/>
      <c r="YN1" s="606"/>
      <c r="YO1" s="606"/>
      <c r="YP1" s="606"/>
      <c r="YQ1" s="606"/>
      <c r="YR1" s="606"/>
      <c r="YS1" s="606"/>
      <c r="YT1" s="606"/>
      <c r="YU1" s="606"/>
      <c r="YV1" s="606"/>
      <c r="YW1" s="606"/>
      <c r="YX1" s="606"/>
      <c r="YY1" s="606"/>
      <c r="YZ1" s="606"/>
      <c r="ZA1" s="606"/>
      <c r="ZB1" s="606"/>
      <c r="ZC1" s="606"/>
      <c r="ZD1" s="606"/>
      <c r="ZE1" s="606"/>
      <c r="ZF1" s="606"/>
      <c r="ZG1" s="606"/>
      <c r="ZH1" s="606"/>
      <c r="ZI1" s="606"/>
      <c r="ZJ1" s="606"/>
      <c r="ZK1" s="606"/>
      <c r="ZL1" s="606"/>
      <c r="ZM1" s="606"/>
      <c r="ZN1" s="606"/>
      <c r="ZO1" s="606"/>
      <c r="ZP1" s="606"/>
      <c r="ZQ1" s="606"/>
      <c r="ZR1" s="606"/>
      <c r="ZS1" s="606"/>
      <c r="ZT1" s="606"/>
      <c r="ZU1" s="606"/>
      <c r="ZV1" s="606"/>
      <c r="ZW1" s="606"/>
      <c r="ZX1" s="606"/>
      <c r="ZY1" s="606"/>
      <c r="ZZ1" s="587"/>
      <c r="AAA1" s="587"/>
      <c r="AAD1" s="112"/>
      <c r="AAE1" s="770" t="s">
        <v>284</v>
      </c>
      <c r="AAF1" s="770"/>
      <c r="AAG1" s="770"/>
      <c r="AAH1" s="770"/>
      <c r="AAI1" s="770"/>
      <c r="AAJ1" s="770"/>
      <c r="AAK1" s="770"/>
      <c r="AAL1" s="331"/>
      <c r="AAM1" s="112"/>
      <c r="AAN1"/>
      <c r="AAT1" s="23"/>
      <c r="AAU1" s="44"/>
    </row>
    <row r="2" spans="1:745" ht="17.25" customHeight="1">
      <c r="A2" s="749"/>
      <c r="B2" s="754" t="s">
        <v>119</v>
      </c>
      <c r="C2" s="782" t="s">
        <v>369</v>
      </c>
      <c r="D2" s="782"/>
      <c r="E2" s="782"/>
      <c r="F2" s="782"/>
      <c r="G2" s="782"/>
      <c r="H2" s="782"/>
      <c r="I2" s="587"/>
      <c r="J2" s="625" t="s">
        <v>297</v>
      </c>
      <c r="K2" s="610"/>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283</v>
      </c>
      <c r="AAP2" s="780"/>
      <c r="AAQ2" s="780"/>
      <c r="AAR2" s="780"/>
      <c r="AAS2" s="780"/>
      <c r="AAT2" s="780"/>
      <c r="AAU2" s="44"/>
    </row>
    <row r="3" spans="1:745" ht="18" customHeight="1">
      <c r="A3" s="749"/>
      <c r="B3" s="754"/>
      <c r="C3" s="782"/>
      <c r="D3" s="782"/>
      <c r="E3" s="782"/>
      <c r="F3" s="782"/>
      <c r="G3" s="782"/>
      <c r="H3" s="782"/>
      <c r="I3" s="587"/>
      <c r="J3" s="676">
        <v>0</v>
      </c>
      <c r="K3" s="35"/>
      <c r="N3" s="53"/>
      <c r="O3" s="736" t="s">
        <v>65</v>
      </c>
      <c r="P3" s="737"/>
      <c r="Q3" s="53"/>
      <c r="R3" s="738" t="s">
        <v>64</v>
      </c>
      <c r="S3" s="739"/>
      <c r="T3" s="588"/>
      <c r="U3" s="734" t="s">
        <v>63</v>
      </c>
      <c r="V3" s="735"/>
      <c r="W3" s="588"/>
      <c r="X3" s="588"/>
      <c r="AM3" s="736" t="s">
        <v>65</v>
      </c>
      <c r="AN3" s="737"/>
      <c r="AO3" s="53"/>
      <c r="AP3" s="738" t="s">
        <v>64</v>
      </c>
      <c r="AQ3" s="739"/>
      <c r="AR3" s="53"/>
      <c r="AS3" s="734" t="s">
        <v>63</v>
      </c>
      <c r="AT3" s="735"/>
      <c r="BO3" s="736" t="s">
        <v>65</v>
      </c>
      <c r="BP3" s="737"/>
      <c r="BQ3" s="53"/>
      <c r="BR3" s="738" t="s">
        <v>64</v>
      </c>
      <c r="BS3" s="739"/>
      <c r="BT3" s="53"/>
      <c r="BU3" s="734" t="s">
        <v>63</v>
      </c>
      <c r="BV3" s="735"/>
      <c r="CP3" s="736" t="s">
        <v>65</v>
      </c>
      <c r="CQ3" s="737"/>
      <c r="CR3" s="53"/>
      <c r="CS3" s="738" t="s">
        <v>64</v>
      </c>
      <c r="CT3" s="739"/>
      <c r="CU3" s="53"/>
      <c r="CV3" s="734" t="s">
        <v>63</v>
      </c>
      <c r="CW3" s="735"/>
      <c r="DQ3" s="736" t="s">
        <v>65</v>
      </c>
      <c r="DR3" s="737"/>
      <c r="DS3" s="53"/>
      <c r="DT3" s="738" t="s">
        <v>64</v>
      </c>
      <c r="DU3" s="739"/>
      <c r="DV3" s="53"/>
      <c r="DW3" s="734" t="s">
        <v>63</v>
      </c>
      <c r="DX3" s="735"/>
      <c r="ER3" s="736" t="s">
        <v>65</v>
      </c>
      <c r="ES3" s="737"/>
      <c r="ET3" s="53"/>
      <c r="EU3" s="738" t="s">
        <v>64</v>
      </c>
      <c r="EV3" s="739"/>
      <c r="EW3" s="53"/>
      <c r="EX3" s="734" t="s">
        <v>63</v>
      </c>
      <c r="EY3" s="735"/>
      <c r="FS3" s="736" t="s">
        <v>65</v>
      </c>
      <c r="FT3" s="737"/>
      <c r="FU3" s="53"/>
      <c r="FV3" s="738" t="s">
        <v>64</v>
      </c>
      <c r="FW3" s="739"/>
      <c r="FX3" s="53"/>
      <c r="FY3" s="734" t="s">
        <v>63</v>
      </c>
      <c r="FZ3" s="735"/>
      <c r="GT3" s="736" t="s">
        <v>65</v>
      </c>
      <c r="GU3" s="737"/>
      <c r="GV3" s="53"/>
      <c r="GW3" s="738" t="s">
        <v>64</v>
      </c>
      <c r="GX3" s="739"/>
      <c r="GY3" s="53"/>
      <c r="GZ3" s="734" t="s">
        <v>63</v>
      </c>
      <c r="HA3" s="735"/>
      <c r="HU3" s="736" t="s">
        <v>65</v>
      </c>
      <c r="HV3" s="737"/>
      <c r="HW3" s="53"/>
      <c r="HX3" s="738" t="s">
        <v>64</v>
      </c>
      <c r="HY3" s="739"/>
      <c r="HZ3" s="53"/>
      <c r="IA3" s="734" t="s">
        <v>63</v>
      </c>
      <c r="IB3" s="735"/>
      <c r="IW3" s="736" t="s">
        <v>65</v>
      </c>
      <c r="IX3" s="737"/>
      <c r="IY3" s="53"/>
      <c r="IZ3" s="738" t="s">
        <v>64</v>
      </c>
      <c r="JA3" s="739"/>
      <c r="JB3" s="53"/>
      <c r="JC3" s="734" t="s">
        <v>63</v>
      </c>
      <c r="JD3" s="735"/>
      <c r="JY3" s="736" t="s">
        <v>65</v>
      </c>
      <c r="JZ3" s="737"/>
      <c r="KA3" s="53"/>
      <c r="KB3" s="738" t="s">
        <v>64</v>
      </c>
      <c r="KC3" s="739"/>
      <c r="KD3" s="53"/>
      <c r="KE3" s="734" t="s">
        <v>63</v>
      </c>
      <c r="KF3" s="735"/>
      <c r="LA3" s="736" t="s">
        <v>65</v>
      </c>
      <c r="LB3" s="737"/>
      <c r="LC3" s="53"/>
      <c r="LD3" s="738" t="s">
        <v>64</v>
      </c>
      <c r="LE3" s="739"/>
      <c r="LF3" s="53"/>
      <c r="LG3" s="734" t="s">
        <v>63</v>
      </c>
      <c r="LH3" s="735"/>
      <c r="MB3" s="736" t="s">
        <v>65</v>
      </c>
      <c r="MC3" s="737"/>
      <c r="MD3" s="53"/>
      <c r="ME3" s="738" t="s">
        <v>64</v>
      </c>
      <c r="MF3" s="739"/>
      <c r="MG3" s="53"/>
      <c r="MH3" s="734" t="s">
        <v>63</v>
      </c>
      <c r="MI3" s="735"/>
      <c r="ND3" s="736" t="s">
        <v>65</v>
      </c>
      <c r="NE3" s="737"/>
      <c r="NF3" s="53"/>
      <c r="NG3" s="738" t="s">
        <v>64</v>
      </c>
      <c r="NH3" s="739"/>
      <c r="NI3" s="53"/>
      <c r="NJ3" s="734" t="s">
        <v>63</v>
      </c>
      <c r="NK3" s="735"/>
      <c r="OE3" s="736" t="s">
        <v>65</v>
      </c>
      <c r="OF3" s="737"/>
      <c r="OG3" s="53"/>
      <c r="OH3" s="738" t="s">
        <v>64</v>
      </c>
      <c r="OI3" s="739"/>
      <c r="OJ3" s="53"/>
      <c r="OK3" s="734" t="s">
        <v>63</v>
      </c>
      <c r="OL3" s="735"/>
      <c r="PG3" s="736" t="s">
        <v>65</v>
      </c>
      <c r="PH3" s="737"/>
      <c r="PI3" s="53"/>
      <c r="PJ3" s="738" t="s">
        <v>64</v>
      </c>
      <c r="PK3" s="739"/>
      <c r="PL3" s="53"/>
      <c r="PM3" s="734" t="s">
        <v>63</v>
      </c>
      <c r="PN3" s="735"/>
      <c r="QH3" s="736" t="s">
        <v>65</v>
      </c>
      <c r="QI3" s="737"/>
      <c r="QJ3" s="53"/>
      <c r="QK3" s="738" t="s">
        <v>64</v>
      </c>
      <c r="QL3" s="739"/>
      <c r="QM3" s="53"/>
      <c r="QN3" s="734" t="s">
        <v>63</v>
      </c>
      <c r="QO3" s="735"/>
      <c r="RI3" s="736" t="s">
        <v>65</v>
      </c>
      <c r="RJ3" s="737"/>
      <c r="RK3" s="53"/>
      <c r="RL3" s="738" t="s">
        <v>64</v>
      </c>
      <c r="RM3" s="739"/>
      <c r="RN3" s="53"/>
      <c r="RO3" s="734" t="s">
        <v>63</v>
      </c>
      <c r="RP3" s="735"/>
      <c r="SK3" s="736" t="s">
        <v>65</v>
      </c>
      <c r="SL3" s="737"/>
      <c r="SM3" s="53"/>
      <c r="SN3" s="738" t="s">
        <v>64</v>
      </c>
      <c r="SO3" s="739"/>
      <c r="SP3" s="53"/>
      <c r="SQ3" s="734" t="s">
        <v>63</v>
      </c>
      <c r="SR3" s="735"/>
      <c r="TM3" s="736" t="s">
        <v>65</v>
      </c>
      <c r="TN3" s="737"/>
      <c r="TO3" s="53"/>
      <c r="TP3" s="738" t="s">
        <v>64</v>
      </c>
      <c r="TQ3" s="739"/>
      <c r="TR3" s="53"/>
      <c r="TS3" s="734" t="s">
        <v>63</v>
      </c>
      <c r="TT3" s="735"/>
      <c r="UP3" s="736" t="s">
        <v>65</v>
      </c>
      <c r="UQ3" s="737"/>
      <c r="UR3" s="53"/>
      <c r="US3" s="738" t="s">
        <v>64</v>
      </c>
      <c r="UT3" s="739"/>
      <c r="UU3" s="53"/>
      <c r="UV3" s="734" t="s">
        <v>63</v>
      </c>
      <c r="UW3" s="735"/>
      <c r="VQ3" s="736" t="s">
        <v>65</v>
      </c>
      <c r="VR3" s="737"/>
      <c r="VS3" s="53"/>
      <c r="VT3" s="738" t="s">
        <v>64</v>
      </c>
      <c r="VU3" s="739"/>
      <c r="VV3" s="53"/>
      <c r="VW3" s="734" t="s">
        <v>63</v>
      </c>
      <c r="VX3" s="735"/>
      <c r="WR3" s="736" t="s">
        <v>65</v>
      </c>
      <c r="WS3" s="737"/>
      <c r="WT3" s="53"/>
      <c r="WU3" s="738" t="s">
        <v>64</v>
      </c>
      <c r="WV3" s="739"/>
      <c r="WW3" s="53"/>
      <c r="WX3" s="734" t="s">
        <v>63</v>
      </c>
      <c r="WY3" s="735"/>
      <c r="XT3" s="736" t="s">
        <v>65</v>
      </c>
      <c r="XU3" s="737"/>
      <c r="XV3" s="53"/>
      <c r="XW3" s="738" t="s">
        <v>64</v>
      </c>
      <c r="XX3" s="739"/>
      <c r="XY3" s="53"/>
      <c r="XZ3" s="734" t="s">
        <v>63</v>
      </c>
      <c r="YA3" s="735"/>
      <c r="YU3" s="736" t="s">
        <v>65</v>
      </c>
      <c r="YV3" s="737"/>
      <c r="YW3" s="53"/>
      <c r="YX3" s="738" t="s">
        <v>64</v>
      </c>
      <c r="YY3" s="739"/>
      <c r="YZ3" s="53"/>
      <c r="ZA3" s="734" t="s">
        <v>63</v>
      </c>
      <c r="ZB3" s="735"/>
      <c r="ZY3"/>
      <c r="AAA3" s="587"/>
      <c r="AAD3" s="112"/>
      <c r="AAE3" s="549"/>
      <c r="AAF3" s="581" t="s">
        <v>209</v>
      </c>
      <c r="AAG3" s="61"/>
      <c r="AAH3" s="61"/>
      <c r="AAI3" s="61"/>
      <c r="AAJ3" s="111"/>
      <c r="AAK3" s="111"/>
      <c r="AAL3" s="62"/>
      <c r="AAM3" s="112"/>
      <c r="AAN3"/>
      <c r="AAT3" s="23"/>
      <c r="AAU3" s="44"/>
    </row>
    <row r="4" spans="1:745" ht="25.5" customHeight="1">
      <c r="A4" s="557" t="s">
        <v>0</v>
      </c>
      <c r="B4" s="204" t="s">
        <v>80</v>
      </c>
      <c r="C4" s="687" t="s">
        <v>0</v>
      </c>
      <c r="D4" s="515"/>
      <c r="E4" s="753" t="s">
        <v>2</v>
      </c>
      <c r="F4" s="753"/>
      <c r="G4" s="761" t="str">
        <f ca="1">"Today "&amp;TEXT(TODAY(),"mm/dd/yy")</f>
        <v>Today 07/29/13</v>
      </c>
      <c r="H4" s="761"/>
      <c r="I4" s="597"/>
      <c r="J4" s="729">
        <f ca="1">J5</f>
        <v>41484</v>
      </c>
      <c r="K4" s="729" t="str">
        <f ca="1">IF(WEEKDAY(K$6)=2,K6,"")</f>
        <v/>
      </c>
      <c r="L4" s="729" t="str">
        <f t="shared" ref="L4:BW4" ca="1" si="0">IF(WEEKDAY(L$6)=2,L6,"")</f>
        <v/>
      </c>
      <c r="M4" s="729" t="str">
        <f t="shared" ca="1" si="0"/>
        <v/>
      </c>
      <c r="N4" s="729" t="str">
        <f t="shared" ca="1" si="0"/>
        <v/>
      </c>
      <c r="O4" s="729" t="str">
        <f t="shared" ca="1" si="0"/>
        <v/>
      </c>
      <c r="P4" s="729" t="str">
        <f t="shared" ca="1" si="0"/>
        <v/>
      </c>
      <c r="Q4" s="729">
        <f t="shared" ca="1" si="0"/>
        <v>41491</v>
      </c>
      <c r="R4" s="729" t="str">
        <f t="shared" ca="1" si="0"/>
        <v/>
      </c>
      <c r="S4" s="729" t="str">
        <f t="shared" ca="1" si="0"/>
        <v/>
      </c>
      <c r="T4" s="729" t="str">
        <f t="shared" ca="1" si="0"/>
        <v/>
      </c>
      <c r="U4" s="729" t="str">
        <f t="shared" ca="1" si="0"/>
        <v/>
      </c>
      <c r="V4" s="729" t="str">
        <f t="shared" ca="1" si="0"/>
        <v/>
      </c>
      <c r="W4" s="729" t="str">
        <f t="shared" ca="1" si="0"/>
        <v/>
      </c>
      <c r="X4" s="729">
        <f t="shared" ca="1" si="0"/>
        <v>41498</v>
      </c>
      <c r="Y4" s="729" t="str">
        <f t="shared" ca="1" si="0"/>
        <v/>
      </c>
      <c r="Z4" s="729" t="str">
        <f t="shared" ca="1" si="0"/>
        <v/>
      </c>
      <c r="AA4" s="729" t="str">
        <f t="shared" ca="1" si="0"/>
        <v/>
      </c>
      <c r="AB4" s="729" t="str">
        <f t="shared" ca="1" si="0"/>
        <v/>
      </c>
      <c r="AC4" s="729" t="str">
        <f t="shared" ca="1" si="0"/>
        <v/>
      </c>
      <c r="AD4" s="729" t="str">
        <f t="shared" ca="1" si="0"/>
        <v/>
      </c>
      <c r="AE4" s="729">
        <f t="shared" ca="1" si="0"/>
        <v>41505</v>
      </c>
      <c r="AF4" s="729" t="str">
        <f t="shared" ca="1" si="0"/>
        <v/>
      </c>
      <c r="AG4" s="729" t="str">
        <f t="shared" ca="1" si="0"/>
        <v/>
      </c>
      <c r="AH4" s="729" t="str">
        <f t="shared" ca="1" si="0"/>
        <v/>
      </c>
      <c r="AI4" s="729" t="str">
        <f t="shared" ca="1" si="0"/>
        <v/>
      </c>
      <c r="AJ4" s="729" t="str">
        <f t="shared" ca="1" si="0"/>
        <v/>
      </c>
      <c r="AK4" s="729" t="str">
        <f t="shared" ca="1" si="0"/>
        <v/>
      </c>
      <c r="AL4" s="729">
        <f t="shared" ca="1" si="0"/>
        <v>41512</v>
      </c>
      <c r="AM4" s="729" t="str">
        <f t="shared" ca="1" si="0"/>
        <v/>
      </c>
      <c r="AN4" s="729" t="str">
        <f t="shared" ca="1" si="0"/>
        <v/>
      </c>
      <c r="AO4" s="729" t="str">
        <f t="shared" ca="1" si="0"/>
        <v/>
      </c>
      <c r="AP4" s="729" t="str">
        <f t="shared" ca="1" si="0"/>
        <v/>
      </c>
      <c r="AQ4" s="729" t="str">
        <f t="shared" ca="1" si="0"/>
        <v/>
      </c>
      <c r="AR4" s="729" t="str">
        <f t="shared" ca="1" si="0"/>
        <v/>
      </c>
      <c r="AS4" s="729">
        <f t="shared" ca="1" si="0"/>
        <v>41519</v>
      </c>
      <c r="AT4" s="729" t="str">
        <f t="shared" ca="1" si="0"/>
        <v/>
      </c>
      <c r="AU4" s="729" t="str">
        <f t="shared" ca="1" si="0"/>
        <v/>
      </c>
      <c r="AV4" s="729" t="str">
        <f t="shared" ca="1" si="0"/>
        <v/>
      </c>
      <c r="AW4" s="729" t="str">
        <f t="shared" ca="1" si="0"/>
        <v/>
      </c>
      <c r="AX4" s="729" t="str">
        <f t="shared" ca="1" si="0"/>
        <v/>
      </c>
      <c r="AY4" s="729" t="str">
        <f t="shared" ca="1" si="0"/>
        <v/>
      </c>
      <c r="AZ4" s="729">
        <f t="shared" ca="1" si="0"/>
        <v>41526</v>
      </c>
      <c r="BA4" s="729" t="str">
        <f t="shared" ca="1" si="0"/>
        <v/>
      </c>
      <c r="BB4" s="729" t="str">
        <f t="shared" ca="1" si="0"/>
        <v/>
      </c>
      <c r="BC4" s="729" t="str">
        <f t="shared" ca="1" si="0"/>
        <v/>
      </c>
      <c r="BD4" s="729" t="str">
        <f t="shared" ca="1" si="0"/>
        <v/>
      </c>
      <c r="BE4" s="729" t="str">
        <f t="shared" ca="1" si="0"/>
        <v/>
      </c>
      <c r="BF4" s="729" t="str">
        <f t="shared" ca="1" si="0"/>
        <v/>
      </c>
      <c r="BG4" s="729">
        <f t="shared" ca="1" si="0"/>
        <v>41533</v>
      </c>
      <c r="BH4" s="729" t="str">
        <f t="shared" ca="1" si="0"/>
        <v/>
      </c>
      <c r="BI4" s="729" t="str">
        <f t="shared" ca="1" si="0"/>
        <v/>
      </c>
      <c r="BJ4" s="729" t="str">
        <f t="shared" ca="1" si="0"/>
        <v/>
      </c>
      <c r="BK4" s="729" t="str">
        <f t="shared" ca="1" si="0"/>
        <v/>
      </c>
      <c r="BL4" s="729" t="str">
        <f t="shared" ca="1" si="0"/>
        <v/>
      </c>
      <c r="BM4" s="729" t="str">
        <f t="shared" ca="1" si="0"/>
        <v/>
      </c>
      <c r="BN4" s="729">
        <f t="shared" ca="1" si="0"/>
        <v>41540</v>
      </c>
      <c r="BO4" s="729" t="str">
        <f t="shared" ca="1" si="0"/>
        <v/>
      </c>
      <c r="BP4" s="729" t="str">
        <f t="shared" ca="1" si="0"/>
        <v/>
      </c>
      <c r="BQ4" s="729" t="str">
        <f t="shared" ca="1" si="0"/>
        <v/>
      </c>
      <c r="BR4" s="729" t="str">
        <f t="shared" ca="1" si="0"/>
        <v/>
      </c>
      <c r="BS4" s="729" t="str">
        <f t="shared" ca="1" si="0"/>
        <v/>
      </c>
      <c r="BT4" s="729" t="str">
        <f t="shared" ca="1" si="0"/>
        <v/>
      </c>
      <c r="BU4" s="729">
        <f t="shared" ca="1" si="0"/>
        <v>41547</v>
      </c>
      <c r="BV4" s="729" t="str">
        <f t="shared" ca="1" si="0"/>
        <v/>
      </c>
      <c r="BW4" s="729" t="str">
        <f t="shared" ca="1" si="0"/>
        <v/>
      </c>
      <c r="BX4" s="729" t="str">
        <f t="shared" ref="BX4:EI4" ca="1" si="1">IF(WEEKDAY(BX$6)=2,BX6,"")</f>
        <v/>
      </c>
      <c r="BY4" s="729" t="str">
        <f t="shared" ca="1" si="1"/>
        <v/>
      </c>
      <c r="BZ4" s="729" t="str">
        <f t="shared" ca="1" si="1"/>
        <v/>
      </c>
      <c r="CA4" s="729" t="str">
        <f t="shared" ca="1" si="1"/>
        <v/>
      </c>
      <c r="CB4" s="729">
        <f t="shared" ca="1" si="1"/>
        <v>41554</v>
      </c>
      <c r="CC4" s="729" t="str">
        <f t="shared" ca="1" si="1"/>
        <v/>
      </c>
      <c r="CD4" s="729" t="str">
        <f t="shared" ca="1" si="1"/>
        <v/>
      </c>
      <c r="CE4" s="729" t="str">
        <f t="shared" ca="1" si="1"/>
        <v/>
      </c>
      <c r="CF4" s="729" t="str">
        <f t="shared" ca="1" si="1"/>
        <v/>
      </c>
      <c r="CG4" s="729" t="str">
        <f t="shared" ca="1" si="1"/>
        <v/>
      </c>
      <c r="CH4" s="729" t="str">
        <f t="shared" ca="1" si="1"/>
        <v/>
      </c>
      <c r="CI4" s="729">
        <f t="shared" ca="1" si="1"/>
        <v>41561</v>
      </c>
      <c r="CJ4" s="729" t="str">
        <f t="shared" ca="1" si="1"/>
        <v/>
      </c>
      <c r="CK4" s="729" t="str">
        <f t="shared" ca="1" si="1"/>
        <v/>
      </c>
      <c r="CL4" s="729" t="str">
        <f t="shared" ca="1" si="1"/>
        <v/>
      </c>
      <c r="CM4" s="729" t="str">
        <f t="shared" ca="1" si="1"/>
        <v/>
      </c>
      <c r="CN4" s="729" t="str">
        <f t="shared" ca="1" si="1"/>
        <v/>
      </c>
      <c r="CO4" s="729" t="str">
        <f t="shared" ca="1" si="1"/>
        <v/>
      </c>
      <c r="CP4" s="729">
        <f t="shared" ca="1" si="1"/>
        <v>41568</v>
      </c>
      <c r="CQ4" s="729" t="str">
        <f t="shared" ca="1" si="1"/>
        <v/>
      </c>
      <c r="CR4" s="729" t="str">
        <f t="shared" ca="1" si="1"/>
        <v/>
      </c>
      <c r="CS4" s="729" t="str">
        <f t="shared" ca="1" si="1"/>
        <v/>
      </c>
      <c r="CT4" s="729" t="str">
        <f t="shared" ca="1" si="1"/>
        <v/>
      </c>
      <c r="CU4" s="729" t="str">
        <f t="shared" ca="1" si="1"/>
        <v/>
      </c>
      <c r="CV4" s="729" t="str">
        <f t="shared" ca="1" si="1"/>
        <v/>
      </c>
      <c r="CW4" s="729">
        <f t="shared" ca="1" si="1"/>
        <v>41575</v>
      </c>
      <c r="CX4" s="729" t="str">
        <f t="shared" ca="1" si="1"/>
        <v/>
      </c>
      <c r="CY4" s="729" t="str">
        <f t="shared" ca="1" si="1"/>
        <v/>
      </c>
      <c r="CZ4" s="729" t="str">
        <f t="shared" ca="1" si="1"/>
        <v/>
      </c>
      <c r="DA4" s="729" t="str">
        <f t="shared" ca="1" si="1"/>
        <v/>
      </c>
      <c r="DB4" s="729" t="str">
        <f t="shared" ca="1" si="1"/>
        <v/>
      </c>
      <c r="DC4" s="729" t="str">
        <f t="shared" ca="1" si="1"/>
        <v/>
      </c>
      <c r="DD4" s="729">
        <f t="shared" ca="1" si="1"/>
        <v>41582</v>
      </c>
      <c r="DE4" s="729" t="str">
        <f t="shared" ca="1" si="1"/>
        <v/>
      </c>
      <c r="DF4" s="729" t="str">
        <f t="shared" ca="1" si="1"/>
        <v/>
      </c>
      <c r="DG4" s="729" t="str">
        <f t="shared" ca="1" si="1"/>
        <v/>
      </c>
      <c r="DH4" s="729" t="str">
        <f t="shared" ca="1" si="1"/>
        <v/>
      </c>
      <c r="DI4" s="729" t="str">
        <f t="shared" ca="1" si="1"/>
        <v/>
      </c>
      <c r="DJ4" s="729" t="str">
        <f t="shared" ca="1" si="1"/>
        <v/>
      </c>
      <c r="DK4" s="729">
        <f t="shared" ca="1" si="1"/>
        <v>41589</v>
      </c>
      <c r="DL4" s="729" t="str">
        <f t="shared" ca="1" si="1"/>
        <v/>
      </c>
      <c r="DM4" s="729" t="str">
        <f t="shared" ca="1" si="1"/>
        <v/>
      </c>
      <c r="DN4" s="729" t="str">
        <f t="shared" ca="1" si="1"/>
        <v/>
      </c>
      <c r="DO4" s="729" t="str">
        <f t="shared" ca="1" si="1"/>
        <v/>
      </c>
      <c r="DP4" s="729" t="str">
        <f t="shared" ca="1" si="1"/>
        <v/>
      </c>
      <c r="DQ4" s="729" t="str">
        <f t="shared" ca="1" si="1"/>
        <v/>
      </c>
      <c r="DR4" s="729">
        <f t="shared" ca="1" si="1"/>
        <v>41596</v>
      </c>
      <c r="DS4" s="729" t="str">
        <f t="shared" ca="1" si="1"/>
        <v/>
      </c>
      <c r="DT4" s="729" t="str">
        <f t="shared" ca="1" si="1"/>
        <v/>
      </c>
      <c r="DU4" s="729" t="str">
        <f t="shared" ca="1" si="1"/>
        <v/>
      </c>
      <c r="DV4" s="729" t="str">
        <f t="shared" ca="1" si="1"/>
        <v/>
      </c>
      <c r="DW4" s="729" t="str">
        <f t="shared" ca="1" si="1"/>
        <v/>
      </c>
      <c r="DX4" s="729" t="str">
        <f t="shared" ca="1" si="1"/>
        <v/>
      </c>
      <c r="DY4" s="729">
        <f t="shared" ca="1" si="1"/>
        <v>41603</v>
      </c>
      <c r="DZ4" s="729" t="str">
        <f t="shared" ca="1" si="1"/>
        <v/>
      </c>
      <c r="EA4" s="729" t="str">
        <f t="shared" ca="1" si="1"/>
        <v/>
      </c>
      <c r="EB4" s="729" t="str">
        <f t="shared" ca="1" si="1"/>
        <v/>
      </c>
      <c r="EC4" s="729" t="str">
        <f t="shared" ca="1" si="1"/>
        <v/>
      </c>
      <c r="ED4" s="729" t="str">
        <f t="shared" ca="1" si="1"/>
        <v/>
      </c>
      <c r="EE4" s="729" t="str">
        <f t="shared" ca="1" si="1"/>
        <v/>
      </c>
      <c r="EF4" s="729">
        <f t="shared" ca="1" si="1"/>
        <v>41610</v>
      </c>
      <c r="EG4" s="729" t="str">
        <f t="shared" ca="1" si="1"/>
        <v/>
      </c>
      <c r="EH4" s="729" t="str">
        <f t="shared" ca="1" si="1"/>
        <v/>
      </c>
      <c r="EI4" s="729" t="str">
        <f t="shared" ca="1" si="1"/>
        <v/>
      </c>
      <c r="EJ4" s="729" t="str">
        <f t="shared" ref="EJ4:GU4" ca="1" si="2">IF(WEEKDAY(EJ$6)=2,EJ6,"")</f>
        <v/>
      </c>
      <c r="EK4" s="729" t="str">
        <f t="shared" ca="1" si="2"/>
        <v/>
      </c>
      <c r="EL4" s="729" t="str">
        <f t="shared" ca="1" si="2"/>
        <v/>
      </c>
      <c r="EM4" s="729">
        <f t="shared" ca="1" si="2"/>
        <v>41617</v>
      </c>
      <c r="EN4" s="729" t="str">
        <f t="shared" ca="1" si="2"/>
        <v/>
      </c>
      <c r="EO4" s="729" t="str">
        <f t="shared" ca="1" si="2"/>
        <v/>
      </c>
      <c r="EP4" s="729" t="str">
        <f t="shared" ca="1" si="2"/>
        <v/>
      </c>
      <c r="EQ4" s="729" t="str">
        <f t="shared" ca="1" si="2"/>
        <v/>
      </c>
      <c r="ER4" s="729" t="str">
        <f t="shared" ca="1" si="2"/>
        <v/>
      </c>
      <c r="ES4" s="729" t="str">
        <f t="shared" ca="1" si="2"/>
        <v/>
      </c>
      <c r="ET4" s="729">
        <f t="shared" ca="1" si="2"/>
        <v>41624</v>
      </c>
      <c r="EU4" s="729" t="str">
        <f t="shared" ca="1" si="2"/>
        <v/>
      </c>
      <c r="EV4" s="729" t="str">
        <f t="shared" ca="1" si="2"/>
        <v/>
      </c>
      <c r="EW4" s="729" t="str">
        <f t="shared" ca="1" si="2"/>
        <v/>
      </c>
      <c r="EX4" s="729" t="str">
        <f t="shared" ca="1" si="2"/>
        <v/>
      </c>
      <c r="EY4" s="729" t="str">
        <f t="shared" ca="1" si="2"/>
        <v/>
      </c>
      <c r="EZ4" s="729" t="str">
        <f t="shared" ca="1" si="2"/>
        <v/>
      </c>
      <c r="FA4" s="729">
        <f t="shared" ca="1" si="2"/>
        <v>41631</v>
      </c>
      <c r="FB4" s="729" t="str">
        <f t="shared" ca="1" si="2"/>
        <v/>
      </c>
      <c r="FC4" s="729" t="str">
        <f t="shared" ca="1" si="2"/>
        <v/>
      </c>
      <c r="FD4" s="729" t="str">
        <f t="shared" ca="1" si="2"/>
        <v/>
      </c>
      <c r="FE4" s="729" t="str">
        <f t="shared" ca="1" si="2"/>
        <v/>
      </c>
      <c r="FF4" s="729" t="str">
        <f t="shared" ca="1" si="2"/>
        <v/>
      </c>
      <c r="FG4" s="729" t="str">
        <f t="shared" ca="1" si="2"/>
        <v/>
      </c>
      <c r="FH4" s="729">
        <f t="shared" ca="1" si="2"/>
        <v>41638</v>
      </c>
      <c r="FI4" s="729" t="str">
        <f t="shared" ca="1" si="2"/>
        <v/>
      </c>
      <c r="FJ4" s="729" t="str">
        <f t="shared" ca="1" si="2"/>
        <v/>
      </c>
      <c r="FK4" s="729" t="str">
        <f t="shared" ca="1" si="2"/>
        <v/>
      </c>
      <c r="FL4" s="729" t="str">
        <f t="shared" ca="1" si="2"/>
        <v/>
      </c>
      <c r="FM4" s="729" t="str">
        <f t="shared" ca="1" si="2"/>
        <v/>
      </c>
      <c r="FN4" s="729" t="str">
        <f t="shared" ca="1" si="2"/>
        <v/>
      </c>
      <c r="FO4" s="729">
        <f t="shared" ca="1" si="2"/>
        <v>41645</v>
      </c>
      <c r="FP4" s="729" t="str">
        <f t="shared" ca="1" si="2"/>
        <v/>
      </c>
      <c r="FQ4" s="729" t="str">
        <f t="shared" ca="1" si="2"/>
        <v/>
      </c>
      <c r="FR4" s="729" t="str">
        <f t="shared" ca="1" si="2"/>
        <v/>
      </c>
      <c r="FS4" s="729" t="str">
        <f t="shared" ca="1" si="2"/>
        <v/>
      </c>
      <c r="FT4" s="729" t="str">
        <f t="shared" ca="1" si="2"/>
        <v/>
      </c>
      <c r="FU4" s="729" t="str">
        <f t="shared" ca="1" si="2"/>
        <v/>
      </c>
      <c r="FV4" s="729">
        <f t="shared" ca="1" si="2"/>
        <v>41652</v>
      </c>
      <c r="FW4" s="729" t="str">
        <f t="shared" ca="1" si="2"/>
        <v/>
      </c>
      <c r="FX4" s="729" t="str">
        <f t="shared" ca="1" si="2"/>
        <v/>
      </c>
      <c r="FY4" s="729" t="str">
        <f t="shared" ca="1" si="2"/>
        <v/>
      </c>
      <c r="FZ4" s="729" t="str">
        <f t="shared" ca="1" si="2"/>
        <v/>
      </c>
      <c r="GA4" s="729" t="str">
        <f t="shared" ca="1" si="2"/>
        <v/>
      </c>
      <c r="GB4" s="729" t="str">
        <f t="shared" ca="1" si="2"/>
        <v/>
      </c>
      <c r="GC4" s="729">
        <f t="shared" ca="1" si="2"/>
        <v>41659</v>
      </c>
      <c r="GD4" s="729" t="str">
        <f t="shared" ca="1" si="2"/>
        <v/>
      </c>
      <c r="GE4" s="729" t="str">
        <f t="shared" ca="1" si="2"/>
        <v/>
      </c>
      <c r="GF4" s="729" t="str">
        <f t="shared" ca="1" si="2"/>
        <v/>
      </c>
      <c r="GG4" s="729" t="str">
        <f t="shared" ca="1" si="2"/>
        <v/>
      </c>
      <c r="GH4" s="729" t="str">
        <f t="shared" ca="1" si="2"/>
        <v/>
      </c>
      <c r="GI4" s="729" t="str">
        <f t="shared" ca="1" si="2"/>
        <v/>
      </c>
      <c r="GJ4" s="729">
        <f t="shared" ca="1" si="2"/>
        <v>41666</v>
      </c>
      <c r="GK4" s="729" t="str">
        <f t="shared" ca="1" si="2"/>
        <v/>
      </c>
      <c r="GL4" s="729" t="str">
        <f t="shared" ca="1" si="2"/>
        <v/>
      </c>
      <c r="GM4" s="729" t="str">
        <f t="shared" ca="1" si="2"/>
        <v/>
      </c>
      <c r="GN4" s="729" t="str">
        <f t="shared" ca="1" si="2"/>
        <v/>
      </c>
      <c r="GO4" s="729" t="str">
        <f t="shared" ca="1" si="2"/>
        <v/>
      </c>
      <c r="GP4" s="729" t="str">
        <f t="shared" ca="1" si="2"/>
        <v/>
      </c>
      <c r="GQ4" s="729">
        <f t="shared" ca="1" si="2"/>
        <v>41673</v>
      </c>
      <c r="GR4" s="729" t="str">
        <f t="shared" ca="1" si="2"/>
        <v/>
      </c>
      <c r="GS4" s="729" t="str">
        <f t="shared" ca="1" si="2"/>
        <v/>
      </c>
      <c r="GT4" s="729" t="str">
        <f t="shared" ca="1" si="2"/>
        <v/>
      </c>
      <c r="GU4" s="729" t="str">
        <f t="shared" ca="1" si="2"/>
        <v/>
      </c>
      <c r="GV4" s="729" t="str">
        <f t="shared" ref="GV4:JG4" ca="1" si="3">IF(WEEKDAY(GV$6)=2,GV6,"")</f>
        <v/>
      </c>
      <c r="GW4" s="729" t="str">
        <f t="shared" ca="1" si="3"/>
        <v/>
      </c>
      <c r="GX4" s="729">
        <f t="shared" ca="1" si="3"/>
        <v>41680</v>
      </c>
      <c r="GY4" s="729" t="str">
        <f t="shared" ca="1" si="3"/>
        <v/>
      </c>
      <c r="GZ4" s="729" t="str">
        <f t="shared" ca="1" si="3"/>
        <v/>
      </c>
      <c r="HA4" s="729" t="str">
        <f t="shared" ca="1" si="3"/>
        <v/>
      </c>
      <c r="HB4" s="729" t="str">
        <f t="shared" ca="1" si="3"/>
        <v/>
      </c>
      <c r="HC4" s="729" t="str">
        <f t="shared" ca="1" si="3"/>
        <v/>
      </c>
      <c r="HD4" s="729" t="str">
        <f t="shared" ca="1" si="3"/>
        <v/>
      </c>
      <c r="HE4" s="729">
        <f t="shared" ca="1" si="3"/>
        <v>41687</v>
      </c>
      <c r="HF4" s="729" t="str">
        <f t="shared" ca="1" si="3"/>
        <v/>
      </c>
      <c r="HG4" s="729" t="str">
        <f t="shared" ca="1" si="3"/>
        <v/>
      </c>
      <c r="HH4" s="729" t="str">
        <f t="shared" ca="1" si="3"/>
        <v/>
      </c>
      <c r="HI4" s="729" t="str">
        <f t="shared" ca="1" si="3"/>
        <v/>
      </c>
      <c r="HJ4" s="729" t="str">
        <f t="shared" ca="1" si="3"/>
        <v/>
      </c>
      <c r="HK4" s="729" t="str">
        <f t="shared" ca="1" si="3"/>
        <v/>
      </c>
      <c r="HL4" s="729">
        <f t="shared" ca="1" si="3"/>
        <v>41694</v>
      </c>
      <c r="HM4" s="729" t="str">
        <f t="shared" ca="1" si="3"/>
        <v/>
      </c>
      <c r="HN4" s="729" t="str">
        <f t="shared" ca="1" si="3"/>
        <v/>
      </c>
      <c r="HO4" s="729" t="str">
        <f t="shared" ca="1" si="3"/>
        <v/>
      </c>
      <c r="HP4" s="729" t="str">
        <f t="shared" ca="1" si="3"/>
        <v/>
      </c>
      <c r="HQ4" s="729" t="str">
        <f t="shared" ca="1" si="3"/>
        <v/>
      </c>
      <c r="HR4" s="729" t="str">
        <f t="shared" ca="1" si="3"/>
        <v/>
      </c>
      <c r="HS4" s="729">
        <f t="shared" ca="1" si="3"/>
        <v>41701</v>
      </c>
      <c r="HT4" s="729" t="str">
        <f t="shared" ca="1" si="3"/>
        <v/>
      </c>
      <c r="HU4" s="729" t="str">
        <f t="shared" ca="1" si="3"/>
        <v/>
      </c>
      <c r="HV4" s="729" t="str">
        <f t="shared" ca="1" si="3"/>
        <v/>
      </c>
      <c r="HW4" s="729" t="str">
        <f t="shared" ca="1" si="3"/>
        <v/>
      </c>
      <c r="HX4" s="729" t="str">
        <f t="shared" ca="1" si="3"/>
        <v/>
      </c>
      <c r="HY4" s="729" t="str">
        <f t="shared" ca="1" si="3"/>
        <v/>
      </c>
      <c r="HZ4" s="729">
        <f t="shared" ca="1" si="3"/>
        <v>41708</v>
      </c>
      <c r="IA4" s="729" t="str">
        <f t="shared" ca="1" si="3"/>
        <v/>
      </c>
      <c r="IB4" s="729" t="str">
        <f t="shared" ca="1" si="3"/>
        <v/>
      </c>
      <c r="IC4" s="729" t="str">
        <f t="shared" ca="1" si="3"/>
        <v/>
      </c>
      <c r="ID4" s="729" t="str">
        <f t="shared" ca="1" si="3"/>
        <v/>
      </c>
      <c r="IE4" s="729" t="str">
        <f t="shared" ca="1" si="3"/>
        <v/>
      </c>
      <c r="IF4" s="729" t="str">
        <f t="shared" ca="1" si="3"/>
        <v/>
      </c>
      <c r="IG4" s="729">
        <f t="shared" ca="1" si="3"/>
        <v>41715</v>
      </c>
      <c r="IH4" s="729" t="str">
        <f t="shared" ca="1" si="3"/>
        <v/>
      </c>
      <c r="II4" s="729" t="str">
        <f t="shared" ca="1" si="3"/>
        <v/>
      </c>
      <c r="IJ4" s="729" t="str">
        <f t="shared" ca="1" si="3"/>
        <v/>
      </c>
      <c r="IK4" s="729" t="str">
        <f t="shared" ca="1" si="3"/>
        <v/>
      </c>
      <c r="IL4" s="729" t="str">
        <f t="shared" ca="1" si="3"/>
        <v/>
      </c>
      <c r="IM4" s="729" t="str">
        <f t="shared" ca="1" si="3"/>
        <v/>
      </c>
      <c r="IN4" s="729">
        <f t="shared" ca="1" si="3"/>
        <v>41722</v>
      </c>
      <c r="IO4" s="729" t="str">
        <f t="shared" ca="1" si="3"/>
        <v/>
      </c>
      <c r="IP4" s="729" t="str">
        <f t="shared" ca="1" si="3"/>
        <v/>
      </c>
      <c r="IQ4" s="729" t="str">
        <f t="shared" ca="1" si="3"/>
        <v/>
      </c>
      <c r="IR4" s="729" t="str">
        <f t="shared" ca="1" si="3"/>
        <v/>
      </c>
      <c r="IS4" s="729" t="str">
        <f t="shared" ca="1" si="3"/>
        <v/>
      </c>
      <c r="IT4" s="729" t="str">
        <f t="shared" ca="1" si="3"/>
        <v/>
      </c>
      <c r="IU4" s="729">
        <f t="shared" ca="1" si="3"/>
        <v>41729</v>
      </c>
      <c r="IV4" s="729" t="str">
        <f t="shared" ca="1" si="3"/>
        <v/>
      </c>
      <c r="IW4" s="729" t="str">
        <f t="shared" ca="1" si="3"/>
        <v/>
      </c>
      <c r="IX4" s="729" t="str">
        <f t="shared" ca="1" si="3"/>
        <v/>
      </c>
      <c r="IY4" s="729" t="str">
        <f t="shared" ca="1" si="3"/>
        <v/>
      </c>
      <c r="IZ4" s="729" t="str">
        <f t="shared" ca="1" si="3"/>
        <v/>
      </c>
      <c r="JA4" s="729" t="str">
        <f t="shared" ca="1" si="3"/>
        <v/>
      </c>
      <c r="JB4" s="729">
        <f t="shared" ca="1" si="3"/>
        <v>41736</v>
      </c>
      <c r="JC4" s="729" t="str">
        <f t="shared" ca="1" si="3"/>
        <v/>
      </c>
      <c r="JD4" s="729" t="str">
        <f t="shared" ca="1" si="3"/>
        <v/>
      </c>
      <c r="JE4" s="729" t="str">
        <f t="shared" ca="1" si="3"/>
        <v/>
      </c>
      <c r="JF4" s="729" t="str">
        <f t="shared" ca="1" si="3"/>
        <v/>
      </c>
      <c r="JG4" s="729" t="str">
        <f t="shared" ca="1" si="3"/>
        <v/>
      </c>
      <c r="JH4" s="729" t="str">
        <f t="shared" ref="JH4:LS4" ca="1" si="4">IF(WEEKDAY(JH$6)=2,JH6,"")</f>
        <v/>
      </c>
      <c r="JI4" s="729">
        <f t="shared" ca="1" si="4"/>
        <v>41743</v>
      </c>
      <c r="JJ4" s="729" t="str">
        <f t="shared" ca="1" si="4"/>
        <v/>
      </c>
      <c r="JK4" s="729" t="str">
        <f t="shared" ca="1" si="4"/>
        <v/>
      </c>
      <c r="JL4" s="729" t="str">
        <f t="shared" ca="1" si="4"/>
        <v/>
      </c>
      <c r="JM4" s="729" t="str">
        <f t="shared" ca="1" si="4"/>
        <v/>
      </c>
      <c r="JN4" s="729" t="str">
        <f t="shared" ca="1" si="4"/>
        <v/>
      </c>
      <c r="JO4" s="729" t="str">
        <f t="shared" ca="1" si="4"/>
        <v/>
      </c>
      <c r="JP4" s="729">
        <f t="shared" ca="1" si="4"/>
        <v>41750</v>
      </c>
      <c r="JQ4" s="729" t="str">
        <f t="shared" ca="1" si="4"/>
        <v/>
      </c>
      <c r="JR4" s="729" t="str">
        <f t="shared" ca="1" si="4"/>
        <v/>
      </c>
      <c r="JS4" s="729" t="str">
        <f t="shared" ca="1" si="4"/>
        <v/>
      </c>
      <c r="JT4" s="729" t="str">
        <f t="shared" ca="1" si="4"/>
        <v/>
      </c>
      <c r="JU4" s="729" t="str">
        <f t="shared" ca="1" si="4"/>
        <v/>
      </c>
      <c r="JV4" s="729" t="str">
        <f t="shared" ca="1" si="4"/>
        <v/>
      </c>
      <c r="JW4" s="729">
        <f t="shared" ca="1" si="4"/>
        <v>41757</v>
      </c>
      <c r="JX4" s="729" t="str">
        <f t="shared" ca="1" si="4"/>
        <v/>
      </c>
      <c r="JY4" s="729" t="str">
        <f t="shared" ca="1" si="4"/>
        <v/>
      </c>
      <c r="JZ4" s="729" t="str">
        <f t="shared" ca="1" si="4"/>
        <v/>
      </c>
      <c r="KA4" s="729" t="str">
        <f t="shared" ca="1" si="4"/>
        <v/>
      </c>
      <c r="KB4" s="729" t="str">
        <f t="shared" ca="1" si="4"/>
        <v/>
      </c>
      <c r="KC4" s="729" t="str">
        <f t="shared" ca="1" si="4"/>
        <v/>
      </c>
      <c r="KD4" s="729">
        <f t="shared" ca="1" si="4"/>
        <v>41764</v>
      </c>
      <c r="KE4" s="729" t="str">
        <f t="shared" ca="1" si="4"/>
        <v/>
      </c>
      <c r="KF4" s="729" t="str">
        <f t="shared" ca="1" si="4"/>
        <v/>
      </c>
      <c r="KG4" s="729" t="str">
        <f t="shared" ca="1" si="4"/>
        <v/>
      </c>
      <c r="KH4" s="729" t="str">
        <f t="shared" ca="1" si="4"/>
        <v/>
      </c>
      <c r="KI4" s="729" t="str">
        <f t="shared" ca="1" si="4"/>
        <v/>
      </c>
      <c r="KJ4" s="729" t="str">
        <f t="shared" ca="1" si="4"/>
        <v/>
      </c>
      <c r="KK4" s="729">
        <f t="shared" ca="1" si="4"/>
        <v>41771</v>
      </c>
      <c r="KL4" s="729" t="str">
        <f t="shared" ca="1" si="4"/>
        <v/>
      </c>
      <c r="KM4" s="729" t="str">
        <f t="shared" ca="1" si="4"/>
        <v/>
      </c>
      <c r="KN4" s="729" t="str">
        <f t="shared" ca="1" si="4"/>
        <v/>
      </c>
      <c r="KO4" s="729" t="str">
        <f t="shared" ca="1" si="4"/>
        <v/>
      </c>
      <c r="KP4" s="729" t="str">
        <f t="shared" ca="1" si="4"/>
        <v/>
      </c>
      <c r="KQ4" s="729" t="str">
        <f t="shared" ca="1" si="4"/>
        <v/>
      </c>
      <c r="KR4" s="729">
        <f t="shared" ca="1" si="4"/>
        <v>41778</v>
      </c>
      <c r="KS4" s="729" t="str">
        <f t="shared" ca="1" si="4"/>
        <v/>
      </c>
      <c r="KT4" s="729" t="str">
        <f t="shared" ca="1" si="4"/>
        <v/>
      </c>
      <c r="KU4" s="729" t="str">
        <f t="shared" ca="1" si="4"/>
        <v/>
      </c>
      <c r="KV4" s="729" t="str">
        <f t="shared" ca="1" si="4"/>
        <v/>
      </c>
      <c r="KW4" s="729" t="str">
        <f t="shared" ca="1" si="4"/>
        <v/>
      </c>
      <c r="KX4" s="729" t="str">
        <f t="shared" ca="1" si="4"/>
        <v/>
      </c>
      <c r="KY4" s="729">
        <f t="shared" ca="1" si="4"/>
        <v>41785</v>
      </c>
      <c r="KZ4" s="729" t="str">
        <f t="shared" ca="1" si="4"/>
        <v/>
      </c>
      <c r="LA4" s="729" t="str">
        <f t="shared" ca="1" si="4"/>
        <v/>
      </c>
      <c r="LB4" s="729" t="str">
        <f t="shared" ca="1" si="4"/>
        <v/>
      </c>
      <c r="LC4" s="729" t="str">
        <f t="shared" ca="1" si="4"/>
        <v/>
      </c>
      <c r="LD4" s="729" t="str">
        <f t="shared" ca="1" si="4"/>
        <v/>
      </c>
      <c r="LE4" s="729" t="str">
        <f t="shared" ca="1" si="4"/>
        <v/>
      </c>
      <c r="LF4" s="729">
        <f t="shared" ca="1" si="4"/>
        <v>41792</v>
      </c>
      <c r="LG4" s="729" t="str">
        <f t="shared" ca="1" si="4"/>
        <v/>
      </c>
      <c r="LH4" s="729" t="str">
        <f t="shared" ca="1" si="4"/>
        <v/>
      </c>
      <c r="LI4" s="729" t="str">
        <f t="shared" ca="1" si="4"/>
        <v/>
      </c>
      <c r="LJ4" s="729" t="str">
        <f t="shared" ca="1" si="4"/>
        <v/>
      </c>
      <c r="LK4" s="729" t="str">
        <f t="shared" ca="1" si="4"/>
        <v/>
      </c>
      <c r="LL4" s="729" t="str">
        <f t="shared" ca="1" si="4"/>
        <v/>
      </c>
      <c r="LM4" s="729">
        <f t="shared" ca="1" si="4"/>
        <v>41799</v>
      </c>
      <c r="LN4" s="729" t="str">
        <f t="shared" ca="1" si="4"/>
        <v/>
      </c>
      <c r="LO4" s="729" t="str">
        <f t="shared" ca="1" si="4"/>
        <v/>
      </c>
      <c r="LP4" s="729" t="str">
        <f t="shared" ca="1" si="4"/>
        <v/>
      </c>
      <c r="LQ4" s="729" t="str">
        <f t="shared" ca="1" si="4"/>
        <v/>
      </c>
      <c r="LR4" s="729" t="str">
        <f t="shared" ca="1" si="4"/>
        <v/>
      </c>
      <c r="LS4" s="729" t="str">
        <f t="shared" ca="1" si="4"/>
        <v/>
      </c>
      <c r="LT4" s="729">
        <f t="shared" ref="LT4:OE4" ca="1" si="5">IF(WEEKDAY(LT$6)=2,LT6,"")</f>
        <v>41806</v>
      </c>
      <c r="LU4" s="729" t="str">
        <f t="shared" ca="1" si="5"/>
        <v/>
      </c>
      <c r="LV4" s="729" t="str">
        <f t="shared" ca="1" si="5"/>
        <v/>
      </c>
      <c r="LW4" s="729" t="str">
        <f t="shared" ca="1" si="5"/>
        <v/>
      </c>
      <c r="LX4" s="729" t="str">
        <f t="shared" ca="1" si="5"/>
        <v/>
      </c>
      <c r="LY4" s="729" t="str">
        <f t="shared" ca="1" si="5"/>
        <v/>
      </c>
      <c r="LZ4" s="729" t="str">
        <f t="shared" ca="1" si="5"/>
        <v/>
      </c>
      <c r="MA4" s="729">
        <f t="shared" ca="1" si="5"/>
        <v>41813</v>
      </c>
      <c r="MB4" s="729" t="str">
        <f t="shared" ca="1" si="5"/>
        <v/>
      </c>
      <c r="MC4" s="729" t="str">
        <f t="shared" ca="1" si="5"/>
        <v/>
      </c>
      <c r="MD4" s="729" t="str">
        <f t="shared" ca="1" si="5"/>
        <v/>
      </c>
      <c r="ME4" s="729" t="str">
        <f t="shared" ca="1" si="5"/>
        <v/>
      </c>
      <c r="MF4" s="729" t="str">
        <f t="shared" ca="1" si="5"/>
        <v/>
      </c>
      <c r="MG4" s="729" t="str">
        <f t="shared" ca="1" si="5"/>
        <v/>
      </c>
      <c r="MH4" s="729">
        <f t="shared" ca="1" si="5"/>
        <v>41820</v>
      </c>
      <c r="MI4" s="729" t="str">
        <f t="shared" ca="1" si="5"/>
        <v/>
      </c>
      <c r="MJ4" s="729" t="str">
        <f t="shared" ca="1" si="5"/>
        <v/>
      </c>
      <c r="MK4" s="729" t="str">
        <f t="shared" ca="1" si="5"/>
        <v/>
      </c>
      <c r="ML4" s="729" t="str">
        <f t="shared" ca="1" si="5"/>
        <v/>
      </c>
      <c r="MM4" s="729" t="str">
        <f t="shared" ca="1" si="5"/>
        <v/>
      </c>
      <c r="MN4" s="729" t="str">
        <f t="shared" ca="1" si="5"/>
        <v/>
      </c>
      <c r="MO4" s="729">
        <f t="shared" ca="1" si="5"/>
        <v>41827</v>
      </c>
      <c r="MP4" s="729" t="str">
        <f t="shared" ca="1" si="5"/>
        <v/>
      </c>
      <c r="MQ4" s="729" t="str">
        <f t="shared" ca="1" si="5"/>
        <v/>
      </c>
      <c r="MR4" s="729" t="str">
        <f t="shared" ca="1" si="5"/>
        <v/>
      </c>
      <c r="MS4" s="729" t="str">
        <f t="shared" ca="1" si="5"/>
        <v/>
      </c>
      <c r="MT4" s="729" t="str">
        <f t="shared" ca="1" si="5"/>
        <v/>
      </c>
      <c r="MU4" s="729" t="str">
        <f t="shared" ca="1" si="5"/>
        <v/>
      </c>
      <c r="MV4" s="729">
        <f t="shared" ca="1" si="5"/>
        <v>41834</v>
      </c>
      <c r="MW4" s="729" t="str">
        <f t="shared" ca="1" si="5"/>
        <v/>
      </c>
      <c r="MX4" s="729" t="str">
        <f t="shared" ca="1" si="5"/>
        <v/>
      </c>
      <c r="MY4" s="729" t="str">
        <f t="shared" ca="1" si="5"/>
        <v/>
      </c>
      <c r="MZ4" s="729" t="str">
        <f t="shared" ca="1" si="5"/>
        <v/>
      </c>
      <c r="NA4" s="729" t="str">
        <f t="shared" ca="1" si="5"/>
        <v/>
      </c>
      <c r="NB4" s="729" t="str">
        <f t="shared" ca="1" si="5"/>
        <v/>
      </c>
      <c r="NC4" s="729">
        <f t="shared" ca="1" si="5"/>
        <v>41841</v>
      </c>
      <c r="ND4" s="729" t="str">
        <f t="shared" ca="1" si="5"/>
        <v/>
      </c>
      <c r="NE4" s="729" t="str">
        <f t="shared" ca="1" si="5"/>
        <v/>
      </c>
      <c r="NF4" s="729" t="str">
        <f t="shared" ca="1" si="5"/>
        <v/>
      </c>
      <c r="NG4" s="729" t="str">
        <f t="shared" ca="1" si="5"/>
        <v/>
      </c>
      <c r="NH4" s="729" t="str">
        <f t="shared" ca="1" si="5"/>
        <v/>
      </c>
      <c r="NI4" s="729" t="str">
        <f t="shared" ca="1" si="5"/>
        <v/>
      </c>
      <c r="NJ4" s="729">
        <f t="shared" ca="1" si="5"/>
        <v>41848</v>
      </c>
      <c r="NK4" s="729" t="str">
        <f t="shared" ca="1" si="5"/>
        <v/>
      </c>
      <c r="NL4" s="729" t="str">
        <f t="shared" ca="1" si="5"/>
        <v/>
      </c>
      <c r="NM4" s="729" t="str">
        <f t="shared" ca="1" si="5"/>
        <v/>
      </c>
      <c r="NN4" s="729" t="str">
        <f t="shared" ca="1" si="5"/>
        <v/>
      </c>
      <c r="NO4" s="729" t="str">
        <f t="shared" ca="1" si="5"/>
        <v/>
      </c>
      <c r="NP4" s="729" t="str">
        <f t="shared" ca="1" si="5"/>
        <v/>
      </c>
      <c r="NQ4" s="729">
        <f t="shared" ca="1" si="5"/>
        <v>41855</v>
      </c>
      <c r="NR4" s="729" t="str">
        <f t="shared" ca="1" si="5"/>
        <v/>
      </c>
      <c r="NS4" s="729" t="str">
        <f t="shared" ca="1" si="5"/>
        <v/>
      </c>
      <c r="NT4" s="729" t="str">
        <f t="shared" ca="1" si="5"/>
        <v/>
      </c>
      <c r="NU4" s="729" t="str">
        <f t="shared" ca="1" si="5"/>
        <v/>
      </c>
      <c r="NV4" s="729" t="str">
        <f t="shared" ca="1" si="5"/>
        <v/>
      </c>
      <c r="NW4" s="729" t="str">
        <f t="shared" ca="1" si="5"/>
        <v/>
      </c>
      <c r="NX4" s="729">
        <f t="shared" ca="1" si="5"/>
        <v>41862</v>
      </c>
      <c r="NY4" s="729" t="str">
        <f t="shared" ca="1" si="5"/>
        <v/>
      </c>
      <c r="NZ4" s="729" t="str">
        <f t="shared" ca="1" si="5"/>
        <v/>
      </c>
      <c r="OA4" s="729" t="str">
        <f t="shared" ca="1" si="5"/>
        <v/>
      </c>
      <c r="OB4" s="729" t="str">
        <f t="shared" ca="1" si="5"/>
        <v/>
      </c>
      <c r="OC4" s="729" t="str">
        <f t="shared" ca="1" si="5"/>
        <v/>
      </c>
      <c r="OD4" s="729" t="str">
        <f t="shared" ca="1" si="5"/>
        <v/>
      </c>
      <c r="OE4" s="729">
        <f t="shared" ca="1" si="5"/>
        <v>41869</v>
      </c>
      <c r="OF4" s="729" t="str">
        <f t="shared" ref="OF4:QQ4" ca="1" si="6">IF(WEEKDAY(OF$6)=2,OF6,"")</f>
        <v/>
      </c>
      <c r="OG4" s="729" t="str">
        <f t="shared" ca="1" si="6"/>
        <v/>
      </c>
      <c r="OH4" s="729" t="str">
        <f t="shared" ca="1" si="6"/>
        <v/>
      </c>
      <c r="OI4" s="729" t="str">
        <f t="shared" ca="1" si="6"/>
        <v/>
      </c>
      <c r="OJ4" s="729" t="str">
        <f t="shared" ca="1" si="6"/>
        <v/>
      </c>
      <c r="OK4" s="729" t="str">
        <f t="shared" ca="1" si="6"/>
        <v/>
      </c>
      <c r="OL4" s="729">
        <f t="shared" ca="1" si="6"/>
        <v>41876</v>
      </c>
      <c r="OM4" s="729" t="str">
        <f t="shared" ca="1" si="6"/>
        <v/>
      </c>
      <c r="ON4" s="729" t="str">
        <f t="shared" ca="1" si="6"/>
        <v/>
      </c>
      <c r="OO4" s="729" t="str">
        <f t="shared" ca="1" si="6"/>
        <v/>
      </c>
      <c r="OP4" s="729" t="str">
        <f t="shared" ca="1" si="6"/>
        <v/>
      </c>
      <c r="OQ4" s="729" t="str">
        <f t="shared" ca="1" si="6"/>
        <v/>
      </c>
      <c r="OR4" s="729" t="str">
        <f t="shared" ca="1" si="6"/>
        <v/>
      </c>
      <c r="OS4" s="729">
        <f t="shared" ca="1" si="6"/>
        <v>41883</v>
      </c>
      <c r="OT4" s="729" t="str">
        <f t="shared" ca="1" si="6"/>
        <v/>
      </c>
      <c r="OU4" s="729" t="str">
        <f t="shared" ca="1" si="6"/>
        <v/>
      </c>
      <c r="OV4" s="729" t="str">
        <f t="shared" ca="1" si="6"/>
        <v/>
      </c>
      <c r="OW4" s="729" t="str">
        <f t="shared" ca="1" si="6"/>
        <v/>
      </c>
      <c r="OX4" s="729" t="str">
        <f t="shared" ca="1" si="6"/>
        <v/>
      </c>
      <c r="OY4" s="729" t="str">
        <f t="shared" ca="1" si="6"/>
        <v/>
      </c>
      <c r="OZ4" s="729">
        <f t="shared" ca="1" si="6"/>
        <v>41890</v>
      </c>
      <c r="PA4" s="729" t="str">
        <f t="shared" ca="1" si="6"/>
        <v/>
      </c>
      <c r="PB4" s="729" t="str">
        <f t="shared" ca="1" si="6"/>
        <v/>
      </c>
      <c r="PC4" s="729" t="str">
        <f t="shared" ca="1" si="6"/>
        <v/>
      </c>
      <c r="PD4" s="729" t="str">
        <f t="shared" ca="1" si="6"/>
        <v/>
      </c>
      <c r="PE4" s="729" t="str">
        <f t="shared" ca="1" si="6"/>
        <v/>
      </c>
      <c r="PF4" s="729" t="str">
        <f t="shared" ca="1" si="6"/>
        <v/>
      </c>
      <c r="PG4" s="729">
        <f t="shared" ca="1" si="6"/>
        <v>41897</v>
      </c>
      <c r="PH4" s="729" t="str">
        <f t="shared" ca="1" si="6"/>
        <v/>
      </c>
      <c r="PI4" s="729" t="str">
        <f t="shared" ca="1" si="6"/>
        <v/>
      </c>
      <c r="PJ4" s="729" t="str">
        <f t="shared" ca="1" si="6"/>
        <v/>
      </c>
      <c r="PK4" s="729" t="str">
        <f t="shared" ca="1" si="6"/>
        <v/>
      </c>
      <c r="PL4" s="729" t="str">
        <f t="shared" ca="1" si="6"/>
        <v/>
      </c>
      <c r="PM4" s="729" t="str">
        <f t="shared" ca="1" si="6"/>
        <v/>
      </c>
      <c r="PN4" s="729">
        <f t="shared" ca="1" si="6"/>
        <v>41904</v>
      </c>
      <c r="PO4" s="729" t="str">
        <f t="shared" ca="1" si="6"/>
        <v/>
      </c>
      <c r="PP4" s="729" t="str">
        <f t="shared" ca="1" si="6"/>
        <v/>
      </c>
      <c r="PQ4" s="729" t="str">
        <f t="shared" ca="1" si="6"/>
        <v/>
      </c>
      <c r="PR4" s="729" t="str">
        <f t="shared" ca="1" si="6"/>
        <v/>
      </c>
      <c r="PS4" s="729" t="str">
        <f t="shared" ca="1" si="6"/>
        <v/>
      </c>
      <c r="PT4" s="729" t="str">
        <f t="shared" ca="1" si="6"/>
        <v/>
      </c>
      <c r="PU4" s="729">
        <f t="shared" ca="1" si="6"/>
        <v>41911</v>
      </c>
      <c r="PV4" s="729" t="str">
        <f t="shared" ca="1" si="6"/>
        <v/>
      </c>
      <c r="PW4" s="729" t="str">
        <f t="shared" ca="1" si="6"/>
        <v/>
      </c>
      <c r="PX4" s="729" t="str">
        <f t="shared" ca="1" si="6"/>
        <v/>
      </c>
      <c r="PY4" s="729" t="str">
        <f t="shared" ca="1" si="6"/>
        <v/>
      </c>
      <c r="PZ4" s="729" t="str">
        <f t="shared" ca="1" si="6"/>
        <v/>
      </c>
      <c r="QA4" s="729" t="str">
        <f t="shared" ca="1" si="6"/>
        <v/>
      </c>
      <c r="QB4" s="729">
        <f t="shared" ca="1" si="6"/>
        <v>41918</v>
      </c>
      <c r="QC4" s="729" t="str">
        <f t="shared" ca="1" si="6"/>
        <v/>
      </c>
      <c r="QD4" s="729" t="str">
        <f t="shared" ca="1" si="6"/>
        <v/>
      </c>
      <c r="QE4" s="729" t="str">
        <f t="shared" ca="1" si="6"/>
        <v/>
      </c>
      <c r="QF4" s="729" t="str">
        <f t="shared" ca="1" si="6"/>
        <v/>
      </c>
      <c r="QG4" s="729" t="str">
        <f t="shared" ca="1" si="6"/>
        <v/>
      </c>
      <c r="QH4" s="729" t="str">
        <f t="shared" ca="1" si="6"/>
        <v/>
      </c>
      <c r="QI4" s="729">
        <f t="shared" ca="1" si="6"/>
        <v>41925</v>
      </c>
      <c r="QJ4" s="729" t="str">
        <f t="shared" ca="1" si="6"/>
        <v/>
      </c>
      <c r="QK4" s="729" t="str">
        <f t="shared" ca="1" si="6"/>
        <v/>
      </c>
      <c r="QL4" s="729" t="str">
        <f t="shared" ca="1" si="6"/>
        <v/>
      </c>
      <c r="QM4" s="729" t="str">
        <f t="shared" ca="1" si="6"/>
        <v/>
      </c>
      <c r="QN4" s="729" t="str">
        <f t="shared" ca="1" si="6"/>
        <v/>
      </c>
      <c r="QO4" s="729" t="str">
        <f t="shared" ca="1" si="6"/>
        <v/>
      </c>
      <c r="QP4" s="729">
        <f t="shared" ca="1" si="6"/>
        <v>41932</v>
      </c>
      <c r="QQ4" s="729" t="str">
        <f t="shared" ca="1" si="6"/>
        <v/>
      </c>
      <c r="QR4" s="729" t="str">
        <f t="shared" ref="QR4:TC4" ca="1" si="7">IF(WEEKDAY(QR$6)=2,QR6,"")</f>
        <v/>
      </c>
      <c r="QS4" s="729" t="str">
        <f t="shared" ca="1" si="7"/>
        <v/>
      </c>
      <c r="QT4" s="729" t="str">
        <f t="shared" ca="1" si="7"/>
        <v/>
      </c>
      <c r="QU4" s="729" t="str">
        <f t="shared" ca="1" si="7"/>
        <v/>
      </c>
      <c r="QV4" s="729" t="str">
        <f t="shared" ca="1" si="7"/>
        <v/>
      </c>
      <c r="QW4" s="729">
        <f t="shared" ca="1" si="7"/>
        <v>41939</v>
      </c>
      <c r="QX4" s="729" t="str">
        <f t="shared" ca="1" si="7"/>
        <v/>
      </c>
      <c r="QY4" s="729" t="str">
        <f t="shared" ca="1" si="7"/>
        <v/>
      </c>
      <c r="QZ4" s="729" t="str">
        <f t="shared" ca="1" si="7"/>
        <v/>
      </c>
      <c r="RA4" s="729" t="str">
        <f t="shared" ca="1" si="7"/>
        <v/>
      </c>
      <c r="RB4" s="729" t="str">
        <f t="shared" ca="1" si="7"/>
        <v/>
      </c>
      <c r="RC4" s="729" t="str">
        <f t="shared" ca="1" si="7"/>
        <v/>
      </c>
      <c r="RD4" s="729">
        <f t="shared" ca="1" si="7"/>
        <v>41946</v>
      </c>
      <c r="RE4" s="729" t="str">
        <f t="shared" ca="1" si="7"/>
        <v/>
      </c>
      <c r="RF4" s="729" t="str">
        <f t="shared" ca="1" si="7"/>
        <v/>
      </c>
      <c r="RG4" s="729" t="str">
        <f t="shared" ca="1" si="7"/>
        <v/>
      </c>
      <c r="RH4" s="729" t="str">
        <f t="shared" ca="1" si="7"/>
        <v/>
      </c>
      <c r="RI4" s="729" t="str">
        <f t="shared" ca="1" si="7"/>
        <v/>
      </c>
      <c r="RJ4" s="729" t="str">
        <f t="shared" ca="1" si="7"/>
        <v/>
      </c>
      <c r="RK4" s="729">
        <f t="shared" ca="1" si="7"/>
        <v>41953</v>
      </c>
      <c r="RL4" s="729" t="str">
        <f t="shared" ca="1" si="7"/>
        <v/>
      </c>
      <c r="RM4" s="729" t="str">
        <f t="shared" ca="1" si="7"/>
        <v/>
      </c>
      <c r="RN4" s="729" t="str">
        <f t="shared" ca="1" si="7"/>
        <v/>
      </c>
      <c r="RO4" s="729" t="str">
        <f t="shared" ca="1" si="7"/>
        <v/>
      </c>
      <c r="RP4" s="729" t="str">
        <f t="shared" ca="1" si="7"/>
        <v/>
      </c>
      <c r="RQ4" s="729" t="str">
        <f t="shared" ca="1" si="7"/>
        <v/>
      </c>
      <c r="RR4" s="729">
        <f t="shared" ca="1" si="7"/>
        <v>41960</v>
      </c>
      <c r="RS4" s="729" t="str">
        <f t="shared" ca="1" si="7"/>
        <v/>
      </c>
      <c r="RT4" s="729" t="str">
        <f t="shared" ca="1" si="7"/>
        <v/>
      </c>
      <c r="RU4" s="729" t="str">
        <f t="shared" ca="1" si="7"/>
        <v/>
      </c>
      <c r="RV4" s="729" t="str">
        <f t="shared" ca="1" si="7"/>
        <v/>
      </c>
      <c r="RW4" s="729" t="str">
        <f t="shared" ca="1" si="7"/>
        <v/>
      </c>
      <c r="RX4" s="729" t="str">
        <f t="shared" ca="1" si="7"/>
        <v/>
      </c>
      <c r="RY4" s="729">
        <f t="shared" ca="1" si="7"/>
        <v>41967</v>
      </c>
      <c r="RZ4" s="729" t="str">
        <f t="shared" ca="1" si="7"/>
        <v/>
      </c>
      <c r="SA4" s="729" t="str">
        <f t="shared" ca="1" si="7"/>
        <v/>
      </c>
      <c r="SB4" s="729" t="str">
        <f t="shared" ca="1" si="7"/>
        <v/>
      </c>
      <c r="SC4" s="729" t="str">
        <f t="shared" ca="1" si="7"/>
        <v/>
      </c>
      <c r="SD4" s="729" t="str">
        <f t="shared" ca="1" si="7"/>
        <v/>
      </c>
      <c r="SE4" s="729" t="str">
        <f t="shared" ca="1" si="7"/>
        <v/>
      </c>
      <c r="SF4" s="729">
        <f t="shared" ca="1" si="7"/>
        <v>41974</v>
      </c>
      <c r="SG4" s="729" t="str">
        <f t="shared" ca="1" si="7"/>
        <v/>
      </c>
      <c r="SH4" s="729" t="str">
        <f t="shared" ca="1" si="7"/>
        <v/>
      </c>
      <c r="SI4" s="729" t="str">
        <f t="shared" ca="1" si="7"/>
        <v/>
      </c>
      <c r="SJ4" s="729" t="str">
        <f t="shared" ca="1" si="7"/>
        <v/>
      </c>
      <c r="SK4" s="729" t="str">
        <f t="shared" ca="1" si="7"/>
        <v/>
      </c>
      <c r="SL4" s="729" t="str">
        <f t="shared" ca="1" si="7"/>
        <v/>
      </c>
      <c r="SM4" s="729">
        <f t="shared" ca="1" si="7"/>
        <v>41981</v>
      </c>
      <c r="SN4" s="729" t="str">
        <f t="shared" ca="1" si="7"/>
        <v/>
      </c>
      <c r="SO4" s="729" t="str">
        <f t="shared" ca="1" si="7"/>
        <v/>
      </c>
      <c r="SP4" s="729" t="str">
        <f t="shared" ca="1" si="7"/>
        <v/>
      </c>
      <c r="SQ4" s="729" t="str">
        <f t="shared" ca="1" si="7"/>
        <v/>
      </c>
      <c r="SR4" s="729" t="str">
        <f t="shared" ca="1" si="7"/>
        <v/>
      </c>
      <c r="SS4" s="729" t="str">
        <f t="shared" ca="1" si="7"/>
        <v/>
      </c>
      <c r="ST4" s="729">
        <f t="shared" ca="1" si="7"/>
        <v>41988</v>
      </c>
      <c r="SU4" s="729" t="str">
        <f t="shared" ca="1" si="7"/>
        <v/>
      </c>
      <c r="SV4" s="729" t="str">
        <f t="shared" ca="1" si="7"/>
        <v/>
      </c>
      <c r="SW4" s="729" t="str">
        <f t="shared" ca="1" si="7"/>
        <v/>
      </c>
      <c r="SX4" s="729" t="str">
        <f t="shared" ca="1" si="7"/>
        <v/>
      </c>
      <c r="SY4" s="729" t="str">
        <f t="shared" ca="1" si="7"/>
        <v/>
      </c>
      <c r="SZ4" s="729" t="str">
        <f t="shared" ca="1" si="7"/>
        <v/>
      </c>
      <c r="TA4" s="729">
        <f t="shared" ca="1" si="7"/>
        <v>41995</v>
      </c>
      <c r="TB4" s="729" t="str">
        <f t="shared" ca="1" si="7"/>
        <v/>
      </c>
      <c r="TC4" s="729" t="str">
        <f t="shared" ca="1" si="7"/>
        <v/>
      </c>
      <c r="TD4" s="729" t="str">
        <f t="shared" ref="TD4:VO4" ca="1" si="8">IF(WEEKDAY(TD$6)=2,TD6,"")</f>
        <v/>
      </c>
      <c r="TE4" s="729" t="str">
        <f t="shared" ca="1" si="8"/>
        <v/>
      </c>
      <c r="TF4" s="729" t="str">
        <f t="shared" ca="1" si="8"/>
        <v/>
      </c>
      <c r="TG4" s="729" t="str">
        <f t="shared" ca="1" si="8"/>
        <v/>
      </c>
      <c r="TH4" s="729">
        <f t="shared" ca="1" si="8"/>
        <v>42002</v>
      </c>
      <c r="TI4" s="729" t="str">
        <f t="shared" ca="1" si="8"/>
        <v/>
      </c>
      <c r="TJ4" s="729" t="str">
        <f t="shared" ca="1" si="8"/>
        <v/>
      </c>
      <c r="TK4" s="729" t="str">
        <f t="shared" ca="1" si="8"/>
        <v/>
      </c>
      <c r="TL4" s="729" t="str">
        <f t="shared" ca="1" si="8"/>
        <v/>
      </c>
      <c r="TM4" s="729" t="str">
        <f t="shared" ca="1" si="8"/>
        <v/>
      </c>
      <c r="TN4" s="729" t="str">
        <f t="shared" ca="1" si="8"/>
        <v/>
      </c>
      <c r="TO4" s="729">
        <f t="shared" ca="1" si="8"/>
        <v>42009</v>
      </c>
      <c r="TP4" s="729" t="str">
        <f t="shared" ca="1" si="8"/>
        <v/>
      </c>
      <c r="TQ4" s="729" t="str">
        <f t="shared" ca="1" si="8"/>
        <v/>
      </c>
      <c r="TR4" s="729" t="str">
        <f t="shared" ca="1" si="8"/>
        <v/>
      </c>
      <c r="TS4" s="729" t="str">
        <f t="shared" ca="1" si="8"/>
        <v/>
      </c>
      <c r="TT4" s="729" t="str">
        <f t="shared" ca="1" si="8"/>
        <v/>
      </c>
      <c r="TU4" s="729" t="str">
        <f t="shared" ca="1" si="8"/>
        <v/>
      </c>
      <c r="TV4" s="729">
        <f t="shared" ca="1" si="8"/>
        <v>42016</v>
      </c>
      <c r="TW4" s="729" t="str">
        <f t="shared" ca="1" si="8"/>
        <v/>
      </c>
      <c r="TX4" s="729" t="str">
        <f t="shared" ca="1" si="8"/>
        <v/>
      </c>
      <c r="TY4" s="729" t="str">
        <f t="shared" ca="1" si="8"/>
        <v/>
      </c>
      <c r="TZ4" s="729" t="str">
        <f t="shared" ca="1" si="8"/>
        <v/>
      </c>
      <c r="UA4" s="729" t="str">
        <f t="shared" ca="1" si="8"/>
        <v/>
      </c>
      <c r="UB4" s="729" t="str">
        <f t="shared" ca="1" si="8"/>
        <v/>
      </c>
      <c r="UC4" s="729">
        <f t="shared" ca="1" si="8"/>
        <v>42023</v>
      </c>
      <c r="UD4" s="729" t="str">
        <f t="shared" ca="1" si="8"/>
        <v/>
      </c>
      <c r="UE4" s="729" t="str">
        <f t="shared" ca="1" si="8"/>
        <v/>
      </c>
      <c r="UF4" s="729" t="str">
        <f t="shared" ca="1" si="8"/>
        <v/>
      </c>
      <c r="UG4" s="729" t="str">
        <f t="shared" ca="1" si="8"/>
        <v/>
      </c>
      <c r="UH4" s="729" t="str">
        <f t="shared" ca="1" si="8"/>
        <v/>
      </c>
      <c r="UI4" s="729" t="str">
        <f t="shared" ca="1" si="8"/>
        <v/>
      </c>
      <c r="UJ4" s="729">
        <f t="shared" ca="1" si="8"/>
        <v>42030</v>
      </c>
      <c r="UK4" s="729" t="str">
        <f t="shared" ca="1" si="8"/>
        <v/>
      </c>
      <c r="UL4" s="729" t="str">
        <f t="shared" ca="1" si="8"/>
        <v/>
      </c>
      <c r="UM4" s="729" t="str">
        <f t="shared" ca="1" si="8"/>
        <v/>
      </c>
      <c r="UN4" s="729" t="str">
        <f t="shared" ca="1" si="8"/>
        <v/>
      </c>
      <c r="UO4" s="729" t="str">
        <f t="shared" ca="1" si="8"/>
        <v/>
      </c>
      <c r="UP4" s="729" t="str">
        <f t="shared" ca="1" si="8"/>
        <v/>
      </c>
      <c r="UQ4" s="729">
        <f t="shared" ca="1" si="8"/>
        <v>42037</v>
      </c>
      <c r="UR4" s="729" t="str">
        <f t="shared" ca="1" si="8"/>
        <v/>
      </c>
      <c r="US4" s="729" t="str">
        <f t="shared" ca="1" si="8"/>
        <v/>
      </c>
      <c r="UT4" s="729" t="str">
        <f t="shared" ca="1" si="8"/>
        <v/>
      </c>
      <c r="UU4" s="729" t="str">
        <f t="shared" ca="1" si="8"/>
        <v/>
      </c>
      <c r="UV4" s="729" t="str">
        <f t="shared" ca="1" si="8"/>
        <v/>
      </c>
      <c r="UW4" s="729" t="str">
        <f t="shared" ca="1" si="8"/>
        <v/>
      </c>
      <c r="UX4" s="729">
        <f t="shared" ca="1" si="8"/>
        <v>42044</v>
      </c>
      <c r="UY4" s="729" t="str">
        <f t="shared" ca="1" si="8"/>
        <v/>
      </c>
      <c r="UZ4" s="729" t="str">
        <f t="shared" ca="1" si="8"/>
        <v/>
      </c>
      <c r="VA4" s="729" t="str">
        <f t="shared" ca="1" si="8"/>
        <v/>
      </c>
      <c r="VB4" s="729" t="str">
        <f t="shared" ca="1" si="8"/>
        <v/>
      </c>
      <c r="VC4" s="729" t="str">
        <f t="shared" ca="1" si="8"/>
        <v/>
      </c>
      <c r="VD4" s="729" t="str">
        <f t="shared" ca="1" si="8"/>
        <v/>
      </c>
      <c r="VE4" s="729">
        <f t="shared" ca="1" si="8"/>
        <v>42051</v>
      </c>
      <c r="VF4" s="729" t="str">
        <f t="shared" ca="1" si="8"/>
        <v/>
      </c>
      <c r="VG4" s="729" t="str">
        <f t="shared" ca="1" si="8"/>
        <v/>
      </c>
      <c r="VH4" s="729" t="str">
        <f t="shared" ca="1" si="8"/>
        <v/>
      </c>
      <c r="VI4" s="729" t="str">
        <f t="shared" ca="1" si="8"/>
        <v/>
      </c>
      <c r="VJ4" s="729" t="str">
        <f t="shared" ca="1" si="8"/>
        <v/>
      </c>
      <c r="VK4" s="729" t="str">
        <f t="shared" ca="1" si="8"/>
        <v/>
      </c>
      <c r="VL4" s="729">
        <f t="shared" ca="1" si="8"/>
        <v>42058</v>
      </c>
      <c r="VM4" s="729" t="str">
        <f t="shared" ca="1" si="8"/>
        <v/>
      </c>
      <c r="VN4" s="729" t="str">
        <f t="shared" ca="1" si="8"/>
        <v/>
      </c>
      <c r="VO4" s="729" t="str">
        <f t="shared" ca="1" si="8"/>
        <v/>
      </c>
      <c r="VP4" s="729" t="str">
        <f t="shared" ref="VP4:YA4" ca="1" si="9">IF(WEEKDAY(VP$6)=2,VP6,"")</f>
        <v/>
      </c>
      <c r="VQ4" s="729" t="str">
        <f t="shared" ca="1" si="9"/>
        <v/>
      </c>
      <c r="VR4" s="729" t="str">
        <f t="shared" ca="1" si="9"/>
        <v/>
      </c>
      <c r="VS4" s="729">
        <f t="shared" ca="1" si="9"/>
        <v>42065</v>
      </c>
      <c r="VT4" s="729" t="str">
        <f t="shared" ca="1" si="9"/>
        <v/>
      </c>
      <c r="VU4" s="729" t="str">
        <f t="shared" ca="1" si="9"/>
        <v/>
      </c>
      <c r="VV4" s="729" t="str">
        <f t="shared" ca="1" si="9"/>
        <v/>
      </c>
      <c r="VW4" s="729" t="str">
        <f t="shared" ca="1" si="9"/>
        <v/>
      </c>
      <c r="VX4" s="729" t="str">
        <f t="shared" ca="1" si="9"/>
        <v/>
      </c>
      <c r="VY4" s="729" t="str">
        <f t="shared" ca="1" si="9"/>
        <v/>
      </c>
      <c r="VZ4" s="729">
        <f t="shared" ca="1" si="9"/>
        <v>42072</v>
      </c>
      <c r="WA4" s="729" t="str">
        <f t="shared" ca="1" si="9"/>
        <v/>
      </c>
      <c r="WB4" s="729" t="str">
        <f t="shared" ca="1" si="9"/>
        <v/>
      </c>
      <c r="WC4" s="729" t="str">
        <f t="shared" ca="1" si="9"/>
        <v/>
      </c>
      <c r="WD4" s="729" t="str">
        <f t="shared" ca="1" si="9"/>
        <v/>
      </c>
      <c r="WE4" s="729" t="str">
        <f t="shared" ca="1" si="9"/>
        <v/>
      </c>
      <c r="WF4" s="729" t="str">
        <f t="shared" ca="1" si="9"/>
        <v/>
      </c>
      <c r="WG4" s="729">
        <f t="shared" ca="1" si="9"/>
        <v>42079</v>
      </c>
      <c r="WH4" s="729" t="str">
        <f t="shared" ca="1" si="9"/>
        <v/>
      </c>
      <c r="WI4" s="729" t="str">
        <f t="shared" ca="1" si="9"/>
        <v/>
      </c>
      <c r="WJ4" s="729" t="str">
        <f t="shared" ca="1" si="9"/>
        <v/>
      </c>
      <c r="WK4" s="729" t="str">
        <f t="shared" ca="1" si="9"/>
        <v/>
      </c>
      <c r="WL4" s="729" t="str">
        <f t="shared" ca="1" si="9"/>
        <v/>
      </c>
      <c r="WM4" s="729" t="str">
        <f t="shared" ca="1" si="9"/>
        <v/>
      </c>
      <c r="WN4" s="729">
        <f t="shared" ca="1" si="9"/>
        <v>42086</v>
      </c>
      <c r="WO4" s="729" t="str">
        <f t="shared" ca="1" si="9"/>
        <v/>
      </c>
      <c r="WP4" s="729" t="str">
        <f t="shared" ca="1" si="9"/>
        <v/>
      </c>
      <c r="WQ4" s="729" t="str">
        <f t="shared" ca="1" si="9"/>
        <v/>
      </c>
      <c r="WR4" s="729" t="str">
        <f t="shared" ca="1" si="9"/>
        <v/>
      </c>
      <c r="WS4" s="729" t="str">
        <f t="shared" ca="1" si="9"/>
        <v/>
      </c>
      <c r="WT4" s="729" t="str">
        <f t="shared" ca="1" si="9"/>
        <v/>
      </c>
      <c r="WU4" s="729">
        <f t="shared" ca="1" si="9"/>
        <v>42093</v>
      </c>
      <c r="WV4" s="729" t="str">
        <f t="shared" ca="1" si="9"/>
        <v/>
      </c>
      <c r="WW4" s="729" t="str">
        <f t="shared" ca="1" si="9"/>
        <v/>
      </c>
      <c r="WX4" s="729" t="str">
        <f t="shared" ca="1" si="9"/>
        <v/>
      </c>
      <c r="WY4" s="729" t="str">
        <f t="shared" ca="1" si="9"/>
        <v/>
      </c>
      <c r="WZ4" s="729" t="str">
        <f t="shared" ca="1" si="9"/>
        <v/>
      </c>
      <c r="XA4" s="729" t="str">
        <f t="shared" ca="1" si="9"/>
        <v/>
      </c>
      <c r="XB4" s="729">
        <f t="shared" ca="1" si="9"/>
        <v>42100</v>
      </c>
      <c r="XC4" s="729" t="str">
        <f t="shared" ca="1" si="9"/>
        <v/>
      </c>
      <c r="XD4" s="729" t="str">
        <f t="shared" ca="1" si="9"/>
        <v/>
      </c>
      <c r="XE4" s="729" t="str">
        <f t="shared" ca="1" si="9"/>
        <v/>
      </c>
      <c r="XF4" s="729" t="str">
        <f t="shared" ca="1" si="9"/>
        <v/>
      </c>
      <c r="XG4" s="729" t="str">
        <f t="shared" ca="1" si="9"/>
        <v/>
      </c>
      <c r="XH4" s="729" t="str">
        <f t="shared" ca="1" si="9"/>
        <v/>
      </c>
      <c r="XI4" s="729">
        <f t="shared" ca="1" si="9"/>
        <v>42107</v>
      </c>
      <c r="XJ4" s="729" t="str">
        <f t="shared" ca="1" si="9"/>
        <v/>
      </c>
      <c r="XK4" s="729" t="str">
        <f t="shared" ca="1" si="9"/>
        <v/>
      </c>
      <c r="XL4" s="729" t="str">
        <f t="shared" ca="1" si="9"/>
        <v/>
      </c>
      <c r="XM4" s="729" t="str">
        <f t="shared" ca="1" si="9"/>
        <v/>
      </c>
      <c r="XN4" s="729" t="str">
        <f t="shared" ca="1" si="9"/>
        <v/>
      </c>
      <c r="XO4" s="729" t="str">
        <f t="shared" ca="1" si="9"/>
        <v/>
      </c>
      <c r="XP4" s="729">
        <f t="shared" ca="1" si="9"/>
        <v>42114</v>
      </c>
      <c r="XQ4" s="729" t="str">
        <f t="shared" ca="1" si="9"/>
        <v/>
      </c>
      <c r="XR4" s="729" t="str">
        <f t="shared" ca="1" si="9"/>
        <v/>
      </c>
      <c r="XS4" s="729" t="str">
        <f t="shared" ca="1" si="9"/>
        <v/>
      </c>
      <c r="XT4" s="729" t="str">
        <f t="shared" ca="1" si="9"/>
        <v/>
      </c>
      <c r="XU4" s="729" t="str">
        <f t="shared" ca="1" si="9"/>
        <v/>
      </c>
      <c r="XV4" s="729" t="str">
        <f t="shared" ca="1" si="9"/>
        <v/>
      </c>
      <c r="XW4" s="729">
        <f t="shared" ca="1" si="9"/>
        <v>42121</v>
      </c>
      <c r="XX4" s="729" t="str">
        <f t="shared" ca="1" si="9"/>
        <v/>
      </c>
      <c r="XY4" s="729" t="str">
        <f t="shared" ca="1" si="9"/>
        <v/>
      </c>
      <c r="XZ4" s="729" t="str">
        <f t="shared" ca="1" si="9"/>
        <v/>
      </c>
      <c r="YA4" s="729" t="str">
        <f t="shared" ca="1" si="9"/>
        <v/>
      </c>
      <c r="YB4" s="729" t="str">
        <f t="shared" ref="YB4:ZZ4" ca="1" si="10">IF(WEEKDAY(YB$6)=2,YB6,"")</f>
        <v/>
      </c>
      <c r="YC4" s="729" t="str">
        <f t="shared" ca="1" si="10"/>
        <v/>
      </c>
      <c r="YD4" s="729">
        <f t="shared" ca="1" si="10"/>
        <v>42128</v>
      </c>
      <c r="YE4" s="729" t="str">
        <f t="shared" ca="1" si="10"/>
        <v/>
      </c>
      <c r="YF4" s="729" t="str">
        <f t="shared" ca="1" si="10"/>
        <v/>
      </c>
      <c r="YG4" s="729" t="str">
        <f t="shared" ca="1" si="10"/>
        <v/>
      </c>
      <c r="YH4" s="729" t="str">
        <f t="shared" ca="1" si="10"/>
        <v/>
      </c>
      <c r="YI4" s="729" t="str">
        <f t="shared" ca="1" si="10"/>
        <v/>
      </c>
      <c r="YJ4" s="729" t="str">
        <f t="shared" ca="1" si="10"/>
        <v/>
      </c>
      <c r="YK4" s="729">
        <f t="shared" ca="1" si="10"/>
        <v>42135</v>
      </c>
      <c r="YL4" s="729" t="str">
        <f t="shared" ca="1" si="10"/>
        <v/>
      </c>
      <c r="YM4" s="729" t="str">
        <f t="shared" ca="1" si="10"/>
        <v/>
      </c>
      <c r="YN4" s="729" t="str">
        <f t="shared" ca="1" si="10"/>
        <v/>
      </c>
      <c r="YO4" s="729" t="str">
        <f t="shared" ca="1" si="10"/>
        <v/>
      </c>
      <c r="YP4" s="729" t="str">
        <f t="shared" ca="1" si="10"/>
        <v/>
      </c>
      <c r="YQ4" s="729" t="str">
        <f t="shared" ca="1" si="10"/>
        <v/>
      </c>
      <c r="YR4" s="729">
        <f t="shared" ca="1" si="10"/>
        <v>42142</v>
      </c>
      <c r="YS4" s="729" t="str">
        <f t="shared" ca="1" si="10"/>
        <v/>
      </c>
      <c r="YT4" s="729" t="str">
        <f t="shared" ca="1" si="10"/>
        <v/>
      </c>
      <c r="YU4" s="729" t="str">
        <f t="shared" ca="1" si="10"/>
        <v/>
      </c>
      <c r="YV4" s="729" t="str">
        <f t="shared" ca="1" si="10"/>
        <v/>
      </c>
      <c r="YW4" s="729" t="str">
        <f t="shared" ca="1" si="10"/>
        <v/>
      </c>
      <c r="YX4" s="729" t="str">
        <f t="shared" ca="1" si="10"/>
        <v/>
      </c>
      <c r="YY4" s="729">
        <f t="shared" ca="1" si="10"/>
        <v>42149</v>
      </c>
      <c r="YZ4" s="729" t="str">
        <f t="shared" ca="1" si="10"/>
        <v/>
      </c>
      <c r="ZA4" s="729" t="str">
        <f t="shared" ca="1" si="10"/>
        <v/>
      </c>
      <c r="ZB4" s="729" t="str">
        <f t="shared" ca="1" si="10"/>
        <v/>
      </c>
      <c r="ZC4" s="729" t="str">
        <f t="shared" ca="1" si="10"/>
        <v/>
      </c>
      <c r="ZD4" s="729" t="str">
        <f t="shared" ca="1" si="10"/>
        <v/>
      </c>
      <c r="ZE4" s="729" t="str">
        <f t="shared" ca="1" si="10"/>
        <v/>
      </c>
      <c r="ZF4" s="729">
        <f t="shared" ca="1" si="10"/>
        <v>42156</v>
      </c>
      <c r="ZG4" s="729" t="str">
        <f t="shared" ca="1" si="10"/>
        <v/>
      </c>
      <c r="ZH4" s="729" t="str">
        <f t="shared" ca="1" si="10"/>
        <v/>
      </c>
      <c r="ZI4" s="729" t="str">
        <f t="shared" ca="1" si="10"/>
        <v/>
      </c>
      <c r="ZJ4" s="729" t="str">
        <f t="shared" ca="1" si="10"/>
        <v/>
      </c>
      <c r="ZK4" s="729" t="str">
        <f t="shared" ca="1" si="10"/>
        <v/>
      </c>
      <c r="ZL4" s="729" t="str">
        <f t="shared" ca="1" si="10"/>
        <v/>
      </c>
      <c r="ZM4" s="729">
        <f t="shared" ca="1" si="10"/>
        <v>42163</v>
      </c>
      <c r="ZN4" s="729" t="str">
        <f t="shared" ca="1" si="10"/>
        <v/>
      </c>
      <c r="ZO4" s="729" t="str">
        <f t="shared" ca="1" si="10"/>
        <v/>
      </c>
      <c r="ZP4" s="729" t="str">
        <f t="shared" ca="1" si="10"/>
        <v/>
      </c>
      <c r="ZQ4" s="729" t="str">
        <f t="shared" ca="1" si="10"/>
        <v/>
      </c>
      <c r="ZR4" s="729" t="str">
        <f t="shared" ca="1" si="10"/>
        <v/>
      </c>
      <c r="ZS4" s="729" t="str">
        <f t="shared" ca="1" si="10"/>
        <v/>
      </c>
      <c r="ZT4" s="729">
        <f t="shared" ca="1" si="10"/>
        <v>42170</v>
      </c>
      <c r="ZU4" s="729" t="str">
        <f t="shared" ca="1" si="10"/>
        <v/>
      </c>
      <c r="ZV4" s="729" t="str">
        <f t="shared" ca="1" si="10"/>
        <v/>
      </c>
      <c r="ZW4" s="729" t="str">
        <f t="shared" ca="1" si="10"/>
        <v/>
      </c>
      <c r="ZX4" s="729" t="str">
        <f t="shared" ca="1" si="10"/>
        <v/>
      </c>
      <c r="ZY4" s="729" t="str">
        <f t="shared" ca="1" si="10"/>
        <v/>
      </c>
      <c r="ZZ4" s="729" t="str">
        <f t="shared" ca="1" si="10"/>
        <v/>
      </c>
      <c r="AAA4" s="587"/>
      <c r="AAD4" s="112"/>
      <c r="AAE4" s="550" t="s">
        <v>27</v>
      </c>
      <c r="AAF4" s="582" t="s">
        <v>172</v>
      </c>
      <c r="AAG4" s="77"/>
      <c r="AAH4" s="78">
        <f>WORKDAY(S.RuleEffective+44,1,S.DDL_DEQClosed)</f>
        <v>41666</v>
      </c>
      <c r="AAI4" s="63"/>
      <c r="AAJ4" s="507" t="s">
        <v>241</v>
      </c>
      <c r="AAK4" s="507"/>
      <c r="AAL4" s="65"/>
      <c r="AAM4" s="112"/>
      <c r="AAN4"/>
      <c r="AAP4" s="23" t="s">
        <v>0</v>
      </c>
      <c r="AAT4" s="23"/>
      <c r="AAU4" s="44"/>
    </row>
    <row r="5" spans="1:745" s="23" customFormat="1" ht="29.25" customHeight="1">
      <c r="A5" s="557"/>
      <c r="B5" s="317"/>
      <c r="C5" s="687"/>
      <c r="D5" s="205"/>
      <c r="E5" s="539" t="s">
        <v>179</v>
      </c>
      <c r="F5" s="235" t="s">
        <v>282</v>
      </c>
      <c r="G5" s="221" t="s">
        <v>246</v>
      </c>
      <c r="H5" s="221" t="s">
        <v>87</v>
      </c>
      <c r="I5" s="597"/>
      <c r="J5" s="608">
        <f ca="1">J6</f>
        <v>41484</v>
      </c>
      <c r="K5" s="608" t="str">
        <f ca="1">IF(WEEKDAY(K$6)=2,K6,"")</f>
        <v/>
      </c>
      <c r="L5" s="608" t="str">
        <f t="shared" ref="L5:R5" ca="1" si="11">IF(WEEKDAY(L$6)=2,L6,"")</f>
        <v/>
      </c>
      <c r="M5" s="608" t="str">
        <f t="shared" ca="1" si="11"/>
        <v/>
      </c>
      <c r="N5" s="608" t="str">
        <f t="shared" ca="1" si="11"/>
        <v/>
      </c>
      <c r="O5" s="608" t="str">
        <f t="shared" ca="1" si="11"/>
        <v/>
      </c>
      <c r="P5" s="608" t="str">
        <f t="shared" ca="1" si="11"/>
        <v/>
      </c>
      <c r="Q5" s="608">
        <f t="shared" ca="1" si="11"/>
        <v>41491</v>
      </c>
      <c r="R5" s="608" t="str">
        <f t="shared" ca="1" si="11"/>
        <v/>
      </c>
      <c r="S5" s="608" t="str">
        <f t="shared" ref="S5" ca="1" si="12">IF(WEEKDAY(S$6)=2,S6,"")</f>
        <v/>
      </c>
      <c r="T5" s="608" t="str">
        <f t="shared" ref="T5" ca="1" si="13">IF(WEEKDAY(T$6)=2,T6,"")</f>
        <v/>
      </c>
      <c r="U5" s="608" t="str">
        <f t="shared" ref="U5" ca="1" si="14">IF(WEEKDAY(U$6)=2,U6,"")</f>
        <v/>
      </c>
      <c r="V5" s="608" t="str">
        <f t="shared" ref="V5" ca="1" si="15">IF(WEEKDAY(V$6)=2,V6,"")</f>
        <v/>
      </c>
      <c r="W5" s="608" t="str">
        <f t="shared" ref="W5" ca="1" si="16">IF(WEEKDAY(W$6)=2,W6,"")</f>
        <v/>
      </c>
      <c r="X5" s="608">
        <f t="shared" ref="X5:Y5" ca="1" si="17">IF(WEEKDAY(X$6)=2,X6,"")</f>
        <v>41498</v>
      </c>
      <c r="Y5" s="608" t="str">
        <f t="shared" ca="1" si="17"/>
        <v/>
      </c>
      <c r="Z5" s="608" t="str">
        <f t="shared" ref="Z5" ca="1" si="18">IF(WEEKDAY(Z$6)=2,Z6,"")</f>
        <v/>
      </c>
      <c r="AA5" s="608" t="str">
        <f t="shared" ref="AA5" ca="1" si="19">IF(WEEKDAY(AA$6)=2,AA6,"")</f>
        <v/>
      </c>
      <c r="AB5" s="608" t="str">
        <f t="shared" ref="AB5" ca="1" si="20">IF(WEEKDAY(AB$6)=2,AB6,"")</f>
        <v/>
      </c>
      <c r="AC5" s="608" t="str">
        <f t="shared" ref="AC5" ca="1" si="21">IF(WEEKDAY(AC$6)=2,AC6,"")</f>
        <v/>
      </c>
      <c r="AD5" s="608" t="str">
        <f t="shared" ref="AD5" ca="1" si="22">IF(WEEKDAY(AD$6)=2,AD6,"")</f>
        <v/>
      </c>
      <c r="AE5" s="608">
        <f t="shared" ref="AE5:AF5" ca="1" si="23">IF(WEEKDAY(AE$6)=2,AE6,"")</f>
        <v>41505</v>
      </c>
      <c r="AF5" s="608" t="str">
        <f t="shared" ca="1" si="23"/>
        <v/>
      </c>
      <c r="AG5" s="608" t="str">
        <f t="shared" ref="AG5" ca="1" si="24">IF(WEEKDAY(AG$6)=2,AG6,"")</f>
        <v/>
      </c>
      <c r="AH5" s="608" t="str">
        <f t="shared" ref="AH5" ca="1" si="25">IF(WEEKDAY(AH$6)=2,AH6,"")</f>
        <v/>
      </c>
      <c r="AI5" s="608" t="str">
        <f t="shared" ref="AI5" ca="1" si="26">IF(WEEKDAY(AI$6)=2,AI6,"")</f>
        <v/>
      </c>
      <c r="AJ5" s="608" t="str">
        <f t="shared" ref="AJ5" ca="1" si="27">IF(WEEKDAY(AJ$6)=2,AJ6,"")</f>
        <v/>
      </c>
      <c r="AK5" s="608" t="str">
        <f t="shared" ref="AK5" ca="1" si="28">IF(WEEKDAY(AK$6)=2,AK6,"")</f>
        <v/>
      </c>
      <c r="AL5" s="608">
        <f t="shared" ref="AL5" ca="1" si="29">IF(WEEKDAY(AL$6)=2,AL6,"")</f>
        <v>41512</v>
      </c>
      <c r="AM5" s="608" t="str">
        <f t="shared" ref="AM5" ca="1" si="30">IF(WEEKDAY(AM$6)=2,AM6,"")</f>
        <v/>
      </c>
      <c r="AN5" s="608" t="str">
        <f t="shared" ref="AN5" ca="1" si="31">IF(WEEKDAY(AN$6)=2,AN6,"")</f>
        <v/>
      </c>
      <c r="AO5" s="608" t="str">
        <f t="shared" ref="AO5" ca="1" si="32">IF(WEEKDAY(AO$6)=2,AO6,"")</f>
        <v/>
      </c>
      <c r="AP5" s="608" t="str">
        <f t="shared" ref="AP5" ca="1" si="33">IF(WEEKDAY(AP$6)=2,AP6,"")</f>
        <v/>
      </c>
      <c r="AQ5" s="608" t="str">
        <f t="shared" ref="AQ5" ca="1" si="34">IF(WEEKDAY(AQ$6)=2,AQ6,"")</f>
        <v/>
      </c>
      <c r="AR5" s="608" t="str">
        <f t="shared" ref="AR5" ca="1" si="35">IF(WEEKDAY(AR$6)=2,AR6,"")</f>
        <v/>
      </c>
      <c r="AS5" s="608">
        <f t="shared" ref="AS5" ca="1" si="36">IF(WEEKDAY(AS$6)=2,AS6,"")</f>
        <v>41519</v>
      </c>
      <c r="AT5" s="608" t="str">
        <f t="shared" ref="AT5" ca="1" si="37">IF(WEEKDAY(AT$6)=2,AT6,"")</f>
        <v/>
      </c>
      <c r="AU5" s="608" t="str">
        <f t="shared" ref="AU5" ca="1" si="38">IF(WEEKDAY(AU$6)=2,AU6,"")</f>
        <v/>
      </c>
      <c r="AV5" s="608" t="str">
        <f t="shared" ref="AV5" ca="1" si="39">IF(WEEKDAY(AV$6)=2,AV6,"")</f>
        <v/>
      </c>
      <c r="AW5" s="608" t="str">
        <f t="shared" ref="AW5" ca="1" si="40">IF(WEEKDAY(AW$6)=2,AW6,"")</f>
        <v/>
      </c>
      <c r="AX5" s="608" t="str">
        <f t="shared" ref="AX5" ca="1" si="41">IF(WEEKDAY(AX$6)=2,AX6,"")</f>
        <v/>
      </c>
      <c r="AY5" s="608" t="str">
        <f t="shared" ref="AY5" ca="1" si="42">IF(WEEKDAY(AY$6)=2,AY6,"")</f>
        <v/>
      </c>
      <c r="AZ5" s="608">
        <f t="shared" ref="AZ5" ca="1" si="43">IF(WEEKDAY(AZ$6)=2,AZ6,"")</f>
        <v>41526</v>
      </c>
      <c r="BA5" s="608" t="str">
        <f t="shared" ref="BA5" ca="1" si="44">IF(WEEKDAY(BA$6)=2,BA6,"")</f>
        <v/>
      </c>
      <c r="BB5" s="608" t="str">
        <f t="shared" ref="BB5" ca="1" si="45">IF(WEEKDAY(BB$6)=2,BB6,"")</f>
        <v/>
      </c>
      <c r="BC5" s="608" t="str">
        <f t="shared" ref="BC5" ca="1" si="46">IF(WEEKDAY(BC$6)=2,BC6,"")</f>
        <v/>
      </c>
      <c r="BD5" s="608" t="str">
        <f t="shared" ref="BD5" ca="1" si="47">IF(WEEKDAY(BD$6)=2,BD6,"")</f>
        <v/>
      </c>
      <c r="BE5" s="608" t="str">
        <f t="shared" ref="BE5" ca="1" si="48">IF(WEEKDAY(BE$6)=2,BE6,"")</f>
        <v/>
      </c>
      <c r="BF5" s="608" t="str">
        <f t="shared" ref="BF5" ca="1" si="49">IF(WEEKDAY(BF$6)=2,BF6,"")</f>
        <v/>
      </c>
      <c r="BG5" s="608">
        <f t="shared" ref="BG5" ca="1" si="50">IF(WEEKDAY(BG$6)=2,BG6,"")</f>
        <v>41533</v>
      </c>
      <c r="BH5" s="608" t="str">
        <f t="shared" ref="BH5" ca="1" si="51">IF(WEEKDAY(BH$6)=2,BH6,"")</f>
        <v/>
      </c>
      <c r="BI5" s="608" t="str">
        <f t="shared" ref="BI5" ca="1" si="52">IF(WEEKDAY(BI$6)=2,BI6,"")</f>
        <v/>
      </c>
      <c r="BJ5" s="608" t="str">
        <f t="shared" ref="BJ5" ca="1" si="53">IF(WEEKDAY(BJ$6)=2,BJ6,"")</f>
        <v/>
      </c>
      <c r="BK5" s="608" t="str">
        <f t="shared" ref="BK5" ca="1" si="54">IF(WEEKDAY(BK$6)=2,BK6,"")</f>
        <v/>
      </c>
      <c r="BL5" s="608" t="str">
        <f t="shared" ref="BL5" ca="1" si="55">IF(WEEKDAY(BL$6)=2,BL6,"")</f>
        <v/>
      </c>
      <c r="BM5" s="608" t="str">
        <f t="shared" ref="BM5" ca="1" si="56">IF(WEEKDAY(BM$6)=2,BM6,"")</f>
        <v/>
      </c>
      <c r="BN5" s="608">
        <f t="shared" ref="BN5" ca="1" si="57">IF(WEEKDAY(BN$6)=2,BN6,"")</f>
        <v>41540</v>
      </c>
      <c r="BO5" s="608" t="str">
        <f t="shared" ref="BO5" ca="1" si="58">IF(WEEKDAY(BO$6)=2,BO6,"")</f>
        <v/>
      </c>
      <c r="BP5" s="608" t="str">
        <f t="shared" ref="BP5" ca="1" si="59">IF(WEEKDAY(BP$6)=2,BP6,"")</f>
        <v/>
      </c>
      <c r="BQ5" s="608" t="str">
        <f t="shared" ref="BQ5" ca="1" si="60">IF(WEEKDAY(BQ$6)=2,BQ6,"")</f>
        <v/>
      </c>
      <c r="BR5" s="608" t="str">
        <f t="shared" ref="BR5" ca="1" si="61">IF(WEEKDAY(BR$6)=2,BR6,"")</f>
        <v/>
      </c>
      <c r="BS5" s="608" t="str">
        <f t="shared" ref="BS5" ca="1" si="62">IF(WEEKDAY(BS$6)=2,BS6,"")</f>
        <v/>
      </c>
      <c r="BT5" s="608" t="str">
        <f t="shared" ref="BT5" ca="1" si="63">IF(WEEKDAY(BT$6)=2,BT6,"")</f>
        <v/>
      </c>
      <c r="BU5" s="608">
        <f t="shared" ref="BU5" ca="1" si="64">IF(WEEKDAY(BU$6)=2,BU6,"")</f>
        <v>41547</v>
      </c>
      <c r="BV5" s="608" t="str">
        <f t="shared" ref="BV5" ca="1" si="65">IF(WEEKDAY(BV$6)=2,BV6,"")</f>
        <v/>
      </c>
      <c r="BW5" s="608" t="str">
        <f t="shared" ref="BW5" ca="1" si="66">IF(WEEKDAY(BW$6)=2,BW6,"")</f>
        <v/>
      </c>
      <c r="BX5" s="608" t="str">
        <f t="shared" ref="BX5" ca="1" si="67">IF(WEEKDAY(BX$6)=2,BX6,"")</f>
        <v/>
      </c>
      <c r="BY5" s="608" t="str">
        <f t="shared" ref="BY5" ca="1" si="68">IF(WEEKDAY(BY$6)=2,BY6,"")</f>
        <v/>
      </c>
      <c r="BZ5" s="608" t="str">
        <f t="shared" ref="BZ5" ca="1" si="69">IF(WEEKDAY(BZ$6)=2,BZ6,"")</f>
        <v/>
      </c>
      <c r="CA5" s="608" t="str">
        <f t="shared" ref="CA5" ca="1" si="70">IF(WEEKDAY(CA$6)=2,CA6,"")</f>
        <v/>
      </c>
      <c r="CB5" s="608">
        <f t="shared" ref="CB5" ca="1" si="71">IF(WEEKDAY(CB$6)=2,CB6,"")</f>
        <v>41554</v>
      </c>
      <c r="CC5" s="608" t="str">
        <f t="shared" ref="CC5" ca="1" si="72">IF(WEEKDAY(CC$6)=2,CC6,"")</f>
        <v/>
      </c>
      <c r="CD5" s="608" t="str">
        <f t="shared" ref="CD5" ca="1" si="73">IF(WEEKDAY(CD$6)=2,CD6,"")</f>
        <v/>
      </c>
      <c r="CE5" s="608" t="str">
        <f t="shared" ref="CE5" ca="1" si="74">IF(WEEKDAY(CE$6)=2,CE6,"")</f>
        <v/>
      </c>
      <c r="CF5" s="608" t="str">
        <f t="shared" ref="CF5" ca="1" si="75">IF(WEEKDAY(CF$6)=2,CF6,"")</f>
        <v/>
      </c>
      <c r="CG5" s="608" t="str">
        <f t="shared" ref="CG5" ca="1" si="76">IF(WEEKDAY(CG$6)=2,CG6,"")</f>
        <v/>
      </c>
      <c r="CH5" s="608" t="str">
        <f t="shared" ref="CH5" ca="1" si="77">IF(WEEKDAY(CH$6)=2,CH6,"")</f>
        <v/>
      </c>
      <c r="CI5" s="608">
        <f t="shared" ref="CI5" ca="1" si="78">IF(WEEKDAY(CI$6)=2,CI6,"")</f>
        <v>41561</v>
      </c>
      <c r="CJ5" s="608" t="str">
        <f t="shared" ref="CJ5" ca="1" si="79">IF(WEEKDAY(CJ$6)=2,CJ6,"")</f>
        <v/>
      </c>
      <c r="CK5" s="608" t="str">
        <f t="shared" ref="CK5" ca="1" si="80">IF(WEEKDAY(CK$6)=2,CK6,"")</f>
        <v/>
      </c>
      <c r="CL5" s="608" t="str">
        <f t="shared" ref="CL5" ca="1" si="81">IF(WEEKDAY(CL$6)=2,CL6,"")</f>
        <v/>
      </c>
      <c r="CM5" s="608" t="str">
        <f t="shared" ref="CM5" ca="1" si="82">IF(WEEKDAY(CM$6)=2,CM6,"")</f>
        <v/>
      </c>
      <c r="CN5" s="608" t="str">
        <f t="shared" ref="CN5" ca="1" si="83">IF(WEEKDAY(CN$6)=2,CN6,"")</f>
        <v/>
      </c>
      <c r="CO5" s="608" t="str">
        <f t="shared" ref="CO5" ca="1" si="84">IF(WEEKDAY(CO$6)=2,CO6,"")</f>
        <v/>
      </c>
      <c r="CP5" s="608">
        <f t="shared" ref="CP5" ca="1" si="85">IF(WEEKDAY(CP$6)=2,CP6,"")</f>
        <v>41568</v>
      </c>
      <c r="CQ5" s="608" t="str">
        <f t="shared" ref="CQ5" ca="1" si="86">IF(WEEKDAY(CQ$6)=2,CQ6,"")</f>
        <v/>
      </c>
      <c r="CR5" s="608" t="str">
        <f t="shared" ref="CR5" ca="1" si="87">IF(WEEKDAY(CR$6)=2,CR6,"")</f>
        <v/>
      </c>
      <c r="CS5" s="608" t="str">
        <f t="shared" ref="CS5" ca="1" si="88">IF(WEEKDAY(CS$6)=2,CS6,"")</f>
        <v/>
      </c>
      <c r="CT5" s="608" t="str">
        <f t="shared" ref="CT5" ca="1" si="89">IF(WEEKDAY(CT$6)=2,CT6,"")</f>
        <v/>
      </c>
      <c r="CU5" s="608" t="str">
        <f t="shared" ref="CU5" ca="1" si="90">IF(WEEKDAY(CU$6)=2,CU6,"")</f>
        <v/>
      </c>
      <c r="CV5" s="608" t="str">
        <f t="shared" ref="CV5" ca="1" si="91">IF(WEEKDAY(CV$6)=2,CV6,"")</f>
        <v/>
      </c>
      <c r="CW5" s="608">
        <f t="shared" ref="CW5" ca="1" si="92">IF(WEEKDAY(CW$6)=2,CW6,"")</f>
        <v>41575</v>
      </c>
      <c r="CX5" s="608" t="str">
        <f t="shared" ref="CX5" ca="1" si="93">IF(WEEKDAY(CX$6)=2,CX6,"")</f>
        <v/>
      </c>
      <c r="CY5" s="608" t="str">
        <f t="shared" ref="CY5" ca="1" si="94">IF(WEEKDAY(CY$6)=2,CY6,"")</f>
        <v/>
      </c>
      <c r="CZ5" s="608" t="str">
        <f t="shared" ref="CZ5" ca="1" si="95">IF(WEEKDAY(CZ$6)=2,CZ6,"")</f>
        <v/>
      </c>
      <c r="DA5" s="608" t="str">
        <f t="shared" ref="DA5" ca="1" si="96">IF(WEEKDAY(DA$6)=2,DA6,"")</f>
        <v/>
      </c>
      <c r="DB5" s="608" t="str">
        <f t="shared" ref="DB5" ca="1" si="97">IF(WEEKDAY(DB$6)=2,DB6,"")</f>
        <v/>
      </c>
      <c r="DC5" s="608" t="str">
        <f t="shared" ref="DC5" ca="1" si="98">IF(WEEKDAY(DC$6)=2,DC6,"")</f>
        <v/>
      </c>
      <c r="DD5" s="608">
        <f t="shared" ref="DD5" ca="1" si="99">IF(WEEKDAY(DD$6)=2,DD6,"")</f>
        <v>41582</v>
      </c>
      <c r="DE5" s="608" t="str">
        <f t="shared" ref="DE5" ca="1" si="100">IF(WEEKDAY(DE$6)=2,DE6,"")</f>
        <v/>
      </c>
      <c r="DF5" s="608" t="str">
        <f t="shared" ref="DF5" ca="1" si="101">IF(WEEKDAY(DF$6)=2,DF6,"")</f>
        <v/>
      </c>
      <c r="DG5" s="608" t="str">
        <f t="shared" ref="DG5" ca="1" si="102">IF(WEEKDAY(DG$6)=2,DG6,"")</f>
        <v/>
      </c>
      <c r="DH5" s="608" t="str">
        <f t="shared" ref="DH5" ca="1" si="103">IF(WEEKDAY(DH$6)=2,DH6,"")</f>
        <v/>
      </c>
      <c r="DI5" s="608" t="str">
        <f t="shared" ref="DI5" ca="1" si="104">IF(WEEKDAY(DI$6)=2,DI6,"")</f>
        <v/>
      </c>
      <c r="DJ5" s="608" t="str">
        <f t="shared" ref="DJ5" ca="1" si="105">IF(WEEKDAY(DJ$6)=2,DJ6,"")</f>
        <v/>
      </c>
      <c r="DK5" s="608">
        <f t="shared" ref="DK5" ca="1" si="106">IF(WEEKDAY(DK$6)=2,DK6,"")</f>
        <v>41589</v>
      </c>
      <c r="DL5" s="608" t="str">
        <f t="shared" ref="DL5" ca="1" si="107">IF(WEEKDAY(DL$6)=2,DL6,"")</f>
        <v/>
      </c>
      <c r="DM5" s="608" t="str">
        <f t="shared" ref="DM5" ca="1" si="108">IF(WEEKDAY(DM$6)=2,DM6,"")</f>
        <v/>
      </c>
      <c r="DN5" s="608" t="str">
        <f t="shared" ref="DN5" ca="1" si="109">IF(WEEKDAY(DN$6)=2,DN6,"")</f>
        <v/>
      </c>
      <c r="DO5" s="608" t="str">
        <f t="shared" ref="DO5" ca="1" si="110">IF(WEEKDAY(DO$6)=2,DO6,"")</f>
        <v/>
      </c>
      <c r="DP5" s="608" t="str">
        <f t="shared" ref="DP5" ca="1" si="111">IF(WEEKDAY(DP$6)=2,DP6,"")</f>
        <v/>
      </c>
      <c r="DQ5" s="608" t="str">
        <f t="shared" ref="DQ5" ca="1" si="112">IF(WEEKDAY(DQ$6)=2,DQ6,"")</f>
        <v/>
      </c>
      <c r="DR5" s="608">
        <f t="shared" ref="DR5" ca="1" si="113">IF(WEEKDAY(DR$6)=2,DR6,"")</f>
        <v>41596</v>
      </c>
      <c r="DS5" s="608" t="str">
        <f t="shared" ref="DS5" ca="1" si="114">IF(WEEKDAY(DS$6)=2,DS6,"")</f>
        <v/>
      </c>
      <c r="DT5" s="608" t="str">
        <f t="shared" ref="DT5" ca="1" si="115">IF(WEEKDAY(DT$6)=2,DT6,"")</f>
        <v/>
      </c>
      <c r="DU5" s="608" t="str">
        <f t="shared" ref="DU5" ca="1" si="116">IF(WEEKDAY(DU$6)=2,DU6,"")</f>
        <v/>
      </c>
      <c r="DV5" s="608" t="str">
        <f t="shared" ref="DV5" ca="1" si="117">IF(WEEKDAY(DV$6)=2,DV6,"")</f>
        <v/>
      </c>
      <c r="DW5" s="608" t="str">
        <f t="shared" ref="DW5" ca="1" si="118">IF(WEEKDAY(DW$6)=2,DW6,"")</f>
        <v/>
      </c>
      <c r="DX5" s="608" t="str">
        <f t="shared" ref="DX5" ca="1" si="119">IF(WEEKDAY(DX$6)=2,DX6,"")</f>
        <v/>
      </c>
      <c r="DY5" s="608">
        <f t="shared" ref="DY5" ca="1" si="120">IF(WEEKDAY(DY$6)=2,DY6,"")</f>
        <v>41603</v>
      </c>
      <c r="DZ5" s="608" t="str">
        <f t="shared" ref="DZ5" ca="1" si="121">IF(WEEKDAY(DZ$6)=2,DZ6,"")</f>
        <v/>
      </c>
      <c r="EA5" s="608" t="str">
        <f t="shared" ref="EA5" ca="1" si="122">IF(WEEKDAY(EA$6)=2,EA6,"")</f>
        <v/>
      </c>
      <c r="EB5" s="608" t="str">
        <f t="shared" ref="EB5" ca="1" si="123">IF(WEEKDAY(EB$6)=2,EB6,"")</f>
        <v/>
      </c>
      <c r="EC5" s="608" t="str">
        <f t="shared" ref="EC5" ca="1" si="124">IF(WEEKDAY(EC$6)=2,EC6,"")</f>
        <v/>
      </c>
      <c r="ED5" s="608" t="str">
        <f t="shared" ref="ED5" ca="1" si="125">IF(WEEKDAY(ED$6)=2,ED6,"")</f>
        <v/>
      </c>
      <c r="EE5" s="608" t="str">
        <f t="shared" ref="EE5" ca="1" si="126">IF(WEEKDAY(EE$6)=2,EE6,"")</f>
        <v/>
      </c>
      <c r="EF5" s="608">
        <f t="shared" ref="EF5" ca="1" si="127">IF(WEEKDAY(EF$6)=2,EF6,"")</f>
        <v>41610</v>
      </c>
      <c r="EG5" s="608" t="str">
        <f t="shared" ref="EG5" ca="1" si="128">IF(WEEKDAY(EG$6)=2,EG6,"")</f>
        <v/>
      </c>
      <c r="EH5" s="608" t="str">
        <f t="shared" ref="EH5" ca="1" si="129">IF(WEEKDAY(EH$6)=2,EH6,"")</f>
        <v/>
      </c>
      <c r="EI5" s="608" t="str">
        <f t="shared" ref="EI5" ca="1" si="130">IF(WEEKDAY(EI$6)=2,EI6,"")</f>
        <v/>
      </c>
      <c r="EJ5" s="608" t="str">
        <f t="shared" ref="EJ5" ca="1" si="131">IF(WEEKDAY(EJ$6)=2,EJ6,"")</f>
        <v/>
      </c>
      <c r="EK5" s="608" t="str">
        <f t="shared" ref="EK5" ca="1" si="132">IF(WEEKDAY(EK$6)=2,EK6,"")</f>
        <v/>
      </c>
      <c r="EL5" s="608" t="str">
        <f t="shared" ref="EL5" ca="1" si="133">IF(WEEKDAY(EL$6)=2,EL6,"")</f>
        <v/>
      </c>
      <c r="EM5" s="608">
        <f t="shared" ref="EM5" ca="1" si="134">IF(WEEKDAY(EM$6)=2,EM6,"")</f>
        <v>41617</v>
      </c>
      <c r="EN5" s="608" t="str">
        <f t="shared" ref="EN5" ca="1" si="135">IF(WEEKDAY(EN$6)=2,EN6,"")</f>
        <v/>
      </c>
      <c r="EO5" s="608" t="str">
        <f t="shared" ref="EO5" ca="1" si="136">IF(WEEKDAY(EO$6)=2,EO6,"")</f>
        <v/>
      </c>
      <c r="EP5" s="608" t="str">
        <f t="shared" ref="EP5" ca="1" si="137">IF(WEEKDAY(EP$6)=2,EP6,"")</f>
        <v/>
      </c>
      <c r="EQ5" s="608" t="str">
        <f t="shared" ref="EQ5" ca="1" si="138">IF(WEEKDAY(EQ$6)=2,EQ6,"")</f>
        <v/>
      </c>
      <c r="ER5" s="608" t="str">
        <f t="shared" ref="ER5" ca="1" si="139">IF(WEEKDAY(ER$6)=2,ER6,"")</f>
        <v/>
      </c>
      <c r="ES5" s="608" t="str">
        <f t="shared" ref="ES5" ca="1" si="140">IF(WEEKDAY(ES$6)=2,ES6,"")</f>
        <v/>
      </c>
      <c r="ET5" s="608">
        <f t="shared" ref="ET5" ca="1" si="141">IF(WEEKDAY(ET$6)=2,ET6,"")</f>
        <v>41624</v>
      </c>
      <c r="EU5" s="608" t="str">
        <f t="shared" ref="EU5" ca="1" si="142">IF(WEEKDAY(EU$6)=2,EU6,"")</f>
        <v/>
      </c>
      <c r="EV5" s="608" t="str">
        <f t="shared" ref="EV5" ca="1" si="143">IF(WEEKDAY(EV$6)=2,EV6,"")</f>
        <v/>
      </c>
      <c r="EW5" s="608" t="str">
        <f t="shared" ref="EW5" ca="1" si="144">IF(WEEKDAY(EW$6)=2,EW6,"")</f>
        <v/>
      </c>
      <c r="EX5" s="608" t="str">
        <f t="shared" ref="EX5" ca="1" si="145">IF(WEEKDAY(EX$6)=2,EX6,"")</f>
        <v/>
      </c>
      <c r="EY5" s="608" t="str">
        <f t="shared" ref="EY5" ca="1" si="146">IF(WEEKDAY(EY$6)=2,EY6,"")</f>
        <v/>
      </c>
      <c r="EZ5" s="608" t="str">
        <f t="shared" ref="EZ5" ca="1" si="147">IF(WEEKDAY(EZ$6)=2,EZ6,"")</f>
        <v/>
      </c>
      <c r="FA5" s="608">
        <f t="shared" ref="FA5" ca="1" si="148">IF(WEEKDAY(FA$6)=2,FA6,"")</f>
        <v>41631</v>
      </c>
      <c r="FB5" s="608" t="str">
        <f t="shared" ref="FB5" ca="1" si="149">IF(WEEKDAY(FB$6)=2,FB6,"")</f>
        <v/>
      </c>
      <c r="FC5" s="608" t="str">
        <f t="shared" ref="FC5" ca="1" si="150">IF(WEEKDAY(FC$6)=2,FC6,"")</f>
        <v/>
      </c>
      <c r="FD5" s="608" t="str">
        <f t="shared" ref="FD5" ca="1" si="151">IF(WEEKDAY(FD$6)=2,FD6,"")</f>
        <v/>
      </c>
      <c r="FE5" s="608" t="str">
        <f t="shared" ref="FE5" ca="1" si="152">IF(WEEKDAY(FE$6)=2,FE6,"")</f>
        <v/>
      </c>
      <c r="FF5" s="608" t="str">
        <f t="shared" ref="FF5" ca="1" si="153">IF(WEEKDAY(FF$6)=2,FF6,"")</f>
        <v/>
      </c>
      <c r="FG5" s="608" t="str">
        <f t="shared" ref="FG5" ca="1" si="154">IF(WEEKDAY(FG$6)=2,FG6,"")</f>
        <v/>
      </c>
      <c r="FH5" s="608">
        <f t="shared" ref="FH5" ca="1" si="155">IF(WEEKDAY(FH$6)=2,FH6,"")</f>
        <v>41638</v>
      </c>
      <c r="FI5" s="608" t="str">
        <f t="shared" ref="FI5" ca="1" si="156">IF(WEEKDAY(FI$6)=2,FI6,"")</f>
        <v/>
      </c>
      <c r="FJ5" s="608" t="str">
        <f t="shared" ref="FJ5" ca="1" si="157">IF(WEEKDAY(FJ$6)=2,FJ6,"")</f>
        <v/>
      </c>
      <c r="FK5" s="608" t="str">
        <f t="shared" ref="FK5" ca="1" si="158">IF(WEEKDAY(FK$6)=2,FK6,"")</f>
        <v/>
      </c>
      <c r="FL5" s="608" t="str">
        <f t="shared" ref="FL5" ca="1" si="159">IF(WEEKDAY(FL$6)=2,FL6,"")</f>
        <v/>
      </c>
      <c r="FM5" s="608" t="str">
        <f t="shared" ref="FM5" ca="1" si="160">IF(WEEKDAY(FM$6)=2,FM6,"")</f>
        <v/>
      </c>
      <c r="FN5" s="608" t="str">
        <f t="shared" ref="FN5" ca="1" si="161">IF(WEEKDAY(FN$6)=2,FN6,"")</f>
        <v/>
      </c>
      <c r="FO5" s="608">
        <f t="shared" ref="FO5" ca="1" si="162">IF(WEEKDAY(FO$6)=2,FO6,"")</f>
        <v>41645</v>
      </c>
      <c r="FP5" s="608" t="str">
        <f t="shared" ref="FP5" ca="1" si="163">IF(WEEKDAY(FP$6)=2,FP6,"")</f>
        <v/>
      </c>
      <c r="FQ5" s="608" t="str">
        <f t="shared" ref="FQ5" ca="1" si="164">IF(WEEKDAY(FQ$6)=2,FQ6,"")</f>
        <v/>
      </c>
      <c r="FR5" s="608" t="str">
        <f t="shared" ref="FR5" ca="1" si="165">IF(WEEKDAY(FR$6)=2,FR6,"")</f>
        <v/>
      </c>
      <c r="FS5" s="608" t="str">
        <f t="shared" ref="FS5" ca="1" si="166">IF(WEEKDAY(FS$6)=2,FS6,"")</f>
        <v/>
      </c>
      <c r="FT5" s="608" t="str">
        <f t="shared" ref="FT5" ca="1" si="167">IF(WEEKDAY(FT$6)=2,FT6,"")</f>
        <v/>
      </c>
      <c r="FU5" s="608" t="str">
        <f t="shared" ref="FU5" ca="1" si="168">IF(WEEKDAY(FU$6)=2,FU6,"")</f>
        <v/>
      </c>
      <c r="FV5" s="608">
        <f t="shared" ref="FV5" ca="1" si="169">IF(WEEKDAY(FV$6)=2,FV6,"")</f>
        <v>41652</v>
      </c>
      <c r="FW5" s="608" t="str">
        <f t="shared" ref="FW5" ca="1" si="170">IF(WEEKDAY(FW$6)=2,FW6,"")</f>
        <v/>
      </c>
      <c r="FX5" s="608" t="str">
        <f t="shared" ref="FX5" ca="1" si="171">IF(WEEKDAY(FX$6)=2,FX6,"")</f>
        <v/>
      </c>
      <c r="FY5" s="608" t="str">
        <f t="shared" ref="FY5" ca="1" si="172">IF(WEEKDAY(FY$6)=2,FY6,"")</f>
        <v/>
      </c>
      <c r="FZ5" s="608" t="str">
        <f t="shared" ref="FZ5" ca="1" si="173">IF(WEEKDAY(FZ$6)=2,FZ6,"")</f>
        <v/>
      </c>
      <c r="GA5" s="608" t="str">
        <f t="shared" ref="GA5" ca="1" si="174">IF(WEEKDAY(GA$6)=2,GA6,"")</f>
        <v/>
      </c>
      <c r="GB5" s="608" t="str">
        <f t="shared" ref="GB5" ca="1" si="175">IF(WEEKDAY(GB$6)=2,GB6,"")</f>
        <v/>
      </c>
      <c r="GC5" s="608">
        <f t="shared" ref="GC5" ca="1" si="176">IF(WEEKDAY(GC$6)=2,GC6,"")</f>
        <v>41659</v>
      </c>
      <c r="GD5" s="608" t="str">
        <f t="shared" ref="GD5" ca="1" si="177">IF(WEEKDAY(GD$6)=2,GD6,"")</f>
        <v/>
      </c>
      <c r="GE5" s="608" t="str">
        <f t="shared" ref="GE5" ca="1" si="178">IF(WEEKDAY(GE$6)=2,GE6,"")</f>
        <v/>
      </c>
      <c r="GF5" s="608" t="str">
        <f t="shared" ref="GF5" ca="1" si="179">IF(WEEKDAY(GF$6)=2,GF6,"")</f>
        <v/>
      </c>
      <c r="GG5" s="608" t="str">
        <f t="shared" ref="GG5" ca="1" si="180">IF(WEEKDAY(GG$6)=2,GG6,"")</f>
        <v/>
      </c>
      <c r="GH5" s="608" t="str">
        <f t="shared" ref="GH5" ca="1" si="181">IF(WEEKDAY(GH$6)=2,GH6,"")</f>
        <v/>
      </c>
      <c r="GI5" s="608" t="str">
        <f t="shared" ref="GI5" ca="1" si="182">IF(WEEKDAY(GI$6)=2,GI6,"")</f>
        <v/>
      </c>
      <c r="GJ5" s="608">
        <f t="shared" ref="GJ5" ca="1" si="183">IF(WEEKDAY(GJ$6)=2,GJ6,"")</f>
        <v>41666</v>
      </c>
      <c r="GK5" s="608" t="str">
        <f t="shared" ref="GK5" ca="1" si="184">IF(WEEKDAY(GK$6)=2,GK6,"")</f>
        <v/>
      </c>
      <c r="GL5" s="608" t="str">
        <f t="shared" ref="GL5" ca="1" si="185">IF(WEEKDAY(GL$6)=2,GL6,"")</f>
        <v/>
      </c>
      <c r="GM5" s="608" t="str">
        <f t="shared" ref="GM5" ca="1" si="186">IF(WEEKDAY(GM$6)=2,GM6,"")</f>
        <v/>
      </c>
      <c r="GN5" s="608" t="str">
        <f t="shared" ref="GN5" ca="1" si="187">IF(WEEKDAY(GN$6)=2,GN6,"")</f>
        <v/>
      </c>
      <c r="GO5" s="608" t="str">
        <f t="shared" ref="GO5" ca="1" si="188">IF(WEEKDAY(GO$6)=2,GO6,"")</f>
        <v/>
      </c>
      <c r="GP5" s="608" t="str">
        <f t="shared" ref="GP5" ca="1" si="189">IF(WEEKDAY(GP$6)=2,GP6,"")</f>
        <v/>
      </c>
      <c r="GQ5" s="608">
        <f t="shared" ref="GQ5" ca="1" si="190">IF(WEEKDAY(GQ$6)=2,GQ6,"")</f>
        <v>41673</v>
      </c>
      <c r="GR5" s="608" t="str">
        <f t="shared" ref="GR5" ca="1" si="191">IF(WEEKDAY(GR$6)=2,GR6,"")</f>
        <v/>
      </c>
      <c r="GS5" s="608" t="str">
        <f t="shared" ref="GS5" ca="1" si="192">IF(WEEKDAY(GS$6)=2,GS6,"")</f>
        <v/>
      </c>
      <c r="GT5" s="608" t="str">
        <f t="shared" ref="GT5" ca="1" si="193">IF(WEEKDAY(GT$6)=2,GT6,"")</f>
        <v/>
      </c>
      <c r="GU5" s="608" t="str">
        <f t="shared" ref="GU5" ca="1" si="194">IF(WEEKDAY(GU$6)=2,GU6,"")</f>
        <v/>
      </c>
      <c r="GV5" s="608" t="str">
        <f t="shared" ref="GV5" ca="1" si="195">IF(WEEKDAY(GV$6)=2,GV6,"")</f>
        <v/>
      </c>
      <c r="GW5" s="608" t="str">
        <f t="shared" ref="GW5" ca="1" si="196">IF(WEEKDAY(GW$6)=2,GW6,"")</f>
        <v/>
      </c>
      <c r="GX5" s="608">
        <f t="shared" ref="GX5" ca="1" si="197">IF(WEEKDAY(GX$6)=2,GX6,"")</f>
        <v>41680</v>
      </c>
      <c r="GY5" s="608" t="str">
        <f t="shared" ref="GY5" ca="1" si="198">IF(WEEKDAY(GY$6)=2,GY6,"")</f>
        <v/>
      </c>
      <c r="GZ5" s="608" t="str">
        <f t="shared" ref="GZ5" ca="1" si="199">IF(WEEKDAY(GZ$6)=2,GZ6,"")</f>
        <v/>
      </c>
      <c r="HA5" s="608" t="str">
        <f t="shared" ref="HA5" ca="1" si="200">IF(WEEKDAY(HA$6)=2,HA6,"")</f>
        <v/>
      </c>
      <c r="HB5" s="608" t="str">
        <f t="shared" ref="HB5" ca="1" si="201">IF(WEEKDAY(HB$6)=2,HB6,"")</f>
        <v/>
      </c>
      <c r="HC5" s="608" t="str">
        <f t="shared" ref="HC5" ca="1" si="202">IF(WEEKDAY(HC$6)=2,HC6,"")</f>
        <v/>
      </c>
      <c r="HD5" s="608" t="str">
        <f t="shared" ref="HD5" ca="1" si="203">IF(WEEKDAY(HD$6)=2,HD6,"")</f>
        <v/>
      </c>
      <c r="HE5" s="608">
        <f t="shared" ref="HE5" ca="1" si="204">IF(WEEKDAY(HE$6)=2,HE6,"")</f>
        <v>41687</v>
      </c>
      <c r="HF5" s="608" t="str">
        <f t="shared" ref="HF5" ca="1" si="205">IF(WEEKDAY(HF$6)=2,HF6,"")</f>
        <v/>
      </c>
      <c r="HG5" s="608" t="str">
        <f t="shared" ref="HG5" ca="1" si="206">IF(WEEKDAY(HG$6)=2,HG6,"")</f>
        <v/>
      </c>
      <c r="HH5" s="608" t="str">
        <f t="shared" ref="HH5" ca="1" si="207">IF(WEEKDAY(HH$6)=2,HH6,"")</f>
        <v/>
      </c>
      <c r="HI5" s="608" t="str">
        <f t="shared" ref="HI5" ca="1" si="208">IF(WEEKDAY(HI$6)=2,HI6,"")</f>
        <v/>
      </c>
      <c r="HJ5" s="608" t="str">
        <f t="shared" ref="HJ5" ca="1" si="209">IF(WEEKDAY(HJ$6)=2,HJ6,"")</f>
        <v/>
      </c>
      <c r="HK5" s="608" t="str">
        <f t="shared" ref="HK5" ca="1" si="210">IF(WEEKDAY(HK$6)=2,HK6,"")</f>
        <v/>
      </c>
      <c r="HL5" s="608">
        <f t="shared" ref="HL5" ca="1" si="211">IF(WEEKDAY(HL$6)=2,HL6,"")</f>
        <v>41694</v>
      </c>
      <c r="HM5" s="608" t="str">
        <f t="shared" ref="HM5" ca="1" si="212">IF(WEEKDAY(HM$6)=2,HM6,"")</f>
        <v/>
      </c>
      <c r="HN5" s="608" t="str">
        <f t="shared" ref="HN5" ca="1" si="213">IF(WEEKDAY(HN$6)=2,HN6,"")</f>
        <v/>
      </c>
      <c r="HO5" s="608" t="str">
        <f t="shared" ref="HO5" ca="1" si="214">IF(WEEKDAY(HO$6)=2,HO6,"")</f>
        <v/>
      </c>
      <c r="HP5" s="608" t="str">
        <f t="shared" ref="HP5" ca="1" si="215">IF(WEEKDAY(HP$6)=2,HP6,"")</f>
        <v/>
      </c>
      <c r="HQ5" s="608" t="str">
        <f t="shared" ref="HQ5" ca="1" si="216">IF(WEEKDAY(HQ$6)=2,HQ6,"")</f>
        <v/>
      </c>
      <c r="HR5" s="608" t="str">
        <f t="shared" ref="HR5" ca="1" si="217">IF(WEEKDAY(HR$6)=2,HR6,"")</f>
        <v/>
      </c>
      <c r="HS5" s="608">
        <f t="shared" ref="HS5" ca="1" si="218">IF(WEEKDAY(HS$6)=2,HS6,"")</f>
        <v>41701</v>
      </c>
      <c r="HT5" s="608" t="str">
        <f t="shared" ref="HT5" ca="1" si="219">IF(WEEKDAY(HT$6)=2,HT6,"")</f>
        <v/>
      </c>
      <c r="HU5" s="608" t="str">
        <f t="shared" ref="HU5" ca="1" si="220">IF(WEEKDAY(HU$6)=2,HU6,"")</f>
        <v/>
      </c>
      <c r="HV5" s="608" t="str">
        <f t="shared" ref="HV5" ca="1" si="221">IF(WEEKDAY(HV$6)=2,HV6,"")</f>
        <v/>
      </c>
      <c r="HW5" s="608" t="str">
        <f t="shared" ref="HW5" ca="1" si="222">IF(WEEKDAY(HW$6)=2,HW6,"")</f>
        <v/>
      </c>
      <c r="HX5" s="608" t="str">
        <f t="shared" ref="HX5" ca="1" si="223">IF(WEEKDAY(HX$6)=2,HX6,"")</f>
        <v/>
      </c>
      <c r="HY5" s="608" t="str">
        <f t="shared" ref="HY5" ca="1" si="224">IF(WEEKDAY(HY$6)=2,HY6,"")</f>
        <v/>
      </c>
      <c r="HZ5" s="608">
        <f t="shared" ref="HZ5" ca="1" si="225">IF(WEEKDAY(HZ$6)=2,HZ6,"")</f>
        <v>41708</v>
      </c>
      <c r="IA5" s="608" t="str">
        <f t="shared" ref="IA5" ca="1" si="226">IF(WEEKDAY(IA$6)=2,IA6,"")</f>
        <v/>
      </c>
      <c r="IB5" s="608" t="str">
        <f t="shared" ref="IB5" ca="1" si="227">IF(WEEKDAY(IB$6)=2,IB6,"")</f>
        <v/>
      </c>
      <c r="IC5" s="608" t="str">
        <f t="shared" ref="IC5" ca="1" si="228">IF(WEEKDAY(IC$6)=2,IC6,"")</f>
        <v/>
      </c>
      <c r="ID5" s="608" t="str">
        <f t="shared" ref="ID5" ca="1" si="229">IF(WEEKDAY(ID$6)=2,ID6,"")</f>
        <v/>
      </c>
      <c r="IE5" s="608" t="str">
        <f t="shared" ref="IE5" ca="1" si="230">IF(WEEKDAY(IE$6)=2,IE6,"")</f>
        <v/>
      </c>
      <c r="IF5" s="608" t="str">
        <f t="shared" ref="IF5" ca="1" si="231">IF(WEEKDAY(IF$6)=2,IF6,"")</f>
        <v/>
      </c>
      <c r="IG5" s="608">
        <f t="shared" ref="IG5" ca="1" si="232">IF(WEEKDAY(IG$6)=2,IG6,"")</f>
        <v>41715</v>
      </c>
      <c r="IH5" s="608" t="str">
        <f t="shared" ref="IH5" ca="1" si="233">IF(WEEKDAY(IH$6)=2,IH6,"")</f>
        <v/>
      </c>
      <c r="II5" s="608" t="str">
        <f t="shared" ref="II5" ca="1" si="234">IF(WEEKDAY(II$6)=2,II6,"")</f>
        <v/>
      </c>
      <c r="IJ5" s="608" t="str">
        <f t="shared" ref="IJ5" ca="1" si="235">IF(WEEKDAY(IJ$6)=2,IJ6,"")</f>
        <v/>
      </c>
      <c r="IK5" s="608" t="str">
        <f t="shared" ref="IK5" ca="1" si="236">IF(WEEKDAY(IK$6)=2,IK6,"")</f>
        <v/>
      </c>
      <c r="IL5" s="608" t="str">
        <f t="shared" ref="IL5" ca="1" si="237">IF(WEEKDAY(IL$6)=2,IL6,"")</f>
        <v/>
      </c>
      <c r="IM5" s="608" t="str">
        <f t="shared" ref="IM5" ca="1" si="238">IF(WEEKDAY(IM$6)=2,IM6,"")</f>
        <v/>
      </c>
      <c r="IN5" s="608">
        <f t="shared" ref="IN5" ca="1" si="239">IF(WEEKDAY(IN$6)=2,IN6,"")</f>
        <v>41722</v>
      </c>
      <c r="IO5" s="608" t="str">
        <f t="shared" ref="IO5" ca="1" si="240">IF(WEEKDAY(IO$6)=2,IO6,"")</f>
        <v/>
      </c>
      <c r="IP5" s="608" t="str">
        <f t="shared" ref="IP5" ca="1" si="241">IF(WEEKDAY(IP$6)=2,IP6,"")</f>
        <v/>
      </c>
      <c r="IQ5" s="608" t="str">
        <f t="shared" ref="IQ5" ca="1" si="242">IF(WEEKDAY(IQ$6)=2,IQ6,"")</f>
        <v/>
      </c>
      <c r="IR5" s="608" t="str">
        <f t="shared" ref="IR5" ca="1" si="243">IF(WEEKDAY(IR$6)=2,IR6,"")</f>
        <v/>
      </c>
      <c r="IS5" s="608" t="str">
        <f t="shared" ref="IS5" ca="1" si="244">IF(WEEKDAY(IS$6)=2,IS6,"")</f>
        <v/>
      </c>
      <c r="IT5" s="608" t="str">
        <f t="shared" ref="IT5" ca="1" si="245">IF(WEEKDAY(IT$6)=2,IT6,"")</f>
        <v/>
      </c>
      <c r="IU5" s="608">
        <f t="shared" ref="IU5" ca="1" si="246">IF(WEEKDAY(IU$6)=2,IU6,"")</f>
        <v>41729</v>
      </c>
      <c r="IV5" s="608" t="str">
        <f t="shared" ref="IV5" ca="1" si="247">IF(WEEKDAY(IV$6)=2,IV6,"")</f>
        <v/>
      </c>
      <c r="IW5" s="608" t="str">
        <f t="shared" ref="IW5" ca="1" si="248">IF(WEEKDAY(IW$6)=2,IW6,"")</f>
        <v/>
      </c>
      <c r="IX5" s="608" t="str">
        <f t="shared" ref="IX5" ca="1" si="249">IF(WEEKDAY(IX$6)=2,IX6,"")</f>
        <v/>
      </c>
      <c r="IY5" s="608" t="str">
        <f t="shared" ref="IY5" ca="1" si="250">IF(WEEKDAY(IY$6)=2,IY6,"")</f>
        <v/>
      </c>
      <c r="IZ5" s="608" t="str">
        <f t="shared" ref="IZ5" ca="1" si="251">IF(WEEKDAY(IZ$6)=2,IZ6,"")</f>
        <v/>
      </c>
      <c r="JA5" s="608" t="str">
        <f t="shared" ref="JA5" ca="1" si="252">IF(WEEKDAY(JA$6)=2,JA6,"")</f>
        <v/>
      </c>
      <c r="JB5" s="608">
        <f t="shared" ref="JB5" ca="1" si="253">IF(WEEKDAY(JB$6)=2,JB6,"")</f>
        <v>41736</v>
      </c>
      <c r="JC5" s="608" t="str">
        <f t="shared" ref="JC5" ca="1" si="254">IF(WEEKDAY(JC$6)=2,JC6,"")</f>
        <v/>
      </c>
      <c r="JD5" s="608" t="str">
        <f t="shared" ref="JD5" ca="1" si="255">IF(WEEKDAY(JD$6)=2,JD6,"")</f>
        <v/>
      </c>
      <c r="JE5" s="608" t="str">
        <f t="shared" ref="JE5" ca="1" si="256">IF(WEEKDAY(JE$6)=2,JE6,"")</f>
        <v/>
      </c>
      <c r="JF5" s="608" t="str">
        <f t="shared" ref="JF5" ca="1" si="257">IF(WEEKDAY(JF$6)=2,JF6,"")</f>
        <v/>
      </c>
      <c r="JG5" s="608" t="str">
        <f t="shared" ref="JG5" ca="1" si="258">IF(WEEKDAY(JG$6)=2,JG6,"")</f>
        <v/>
      </c>
      <c r="JH5" s="608" t="str">
        <f t="shared" ref="JH5" ca="1" si="259">IF(WEEKDAY(JH$6)=2,JH6,"")</f>
        <v/>
      </c>
      <c r="JI5" s="608">
        <f t="shared" ref="JI5" ca="1" si="260">IF(WEEKDAY(JI$6)=2,JI6,"")</f>
        <v>41743</v>
      </c>
      <c r="JJ5" s="608" t="str">
        <f t="shared" ref="JJ5" ca="1" si="261">IF(WEEKDAY(JJ$6)=2,JJ6,"")</f>
        <v/>
      </c>
      <c r="JK5" s="608" t="str">
        <f t="shared" ref="JK5" ca="1" si="262">IF(WEEKDAY(JK$6)=2,JK6,"")</f>
        <v/>
      </c>
      <c r="JL5" s="608" t="str">
        <f t="shared" ref="JL5" ca="1" si="263">IF(WEEKDAY(JL$6)=2,JL6,"")</f>
        <v/>
      </c>
      <c r="JM5" s="608" t="str">
        <f t="shared" ref="JM5" ca="1" si="264">IF(WEEKDAY(JM$6)=2,JM6,"")</f>
        <v/>
      </c>
      <c r="JN5" s="608" t="str">
        <f t="shared" ref="JN5" ca="1" si="265">IF(WEEKDAY(JN$6)=2,JN6,"")</f>
        <v/>
      </c>
      <c r="JO5" s="608" t="str">
        <f t="shared" ref="JO5" ca="1" si="266">IF(WEEKDAY(JO$6)=2,JO6,"")</f>
        <v/>
      </c>
      <c r="JP5" s="608">
        <f t="shared" ref="JP5" ca="1" si="267">IF(WEEKDAY(JP$6)=2,JP6,"")</f>
        <v>41750</v>
      </c>
      <c r="JQ5" s="608" t="str">
        <f t="shared" ref="JQ5" ca="1" si="268">IF(WEEKDAY(JQ$6)=2,JQ6,"")</f>
        <v/>
      </c>
      <c r="JR5" s="608" t="str">
        <f t="shared" ref="JR5" ca="1" si="269">IF(WEEKDAY(JR$6)=2,JR6,"")</f>
        <v/>
      </c>
      <c r="JS5" s="608" t="str">
        <f t="shared" ref="JS5" ca="1" si="270">IF(WEEKDAY(JS$6)=2,JS6,"")</f>
        <v/>
      </c>
      <c r="JT5" s="608" t="str">
        <f t="shared" ref="JT5" ca="1" si="271">IF(WEEKDAY(JT$6)=2,JT6,"")</f>
        <v/>
      </c>
      <c r="JU5" s="608" t="str">
        <f t="shared" ref="JU5" ca="1" si="272">IF(WEEKDAY(JU$6)=2,JU6,"")</f>
        <v/>
      </c>
      <c r="JV5" s="608" t="str">
        <f t="shared" ref="JV5" ca="1" si="273">IF(WEEKDAY(JV$6)=2,JV6,"")</f>
        <v/>
      </c>
      <c r="JW5" s="608">
        <f t="shared" ref="JW5" ca="1" si="274">IF(WEEKDAY(JW$6)=2,JW6,"")</f>
        <v>41757</v>
      </c>
      <c r="JX5" s="608" t="str">
        <f t="shared" ref="JX5" ca="1" si="275">IF(WEEKDAY(JX$6)=2,JX6,"")</f>
        <v/>
      </c>
      <c r="JY5" s="608" t="str">
        <f t="shared" ref="JY5" ca="1" si="276">IF(WEEKDAY(JY$6)=2,JY6,"")</f>
        <v/>
      </c>
      <c r="JZ5" s="608" t="str">
        <f t="shared" ref="JZ5" ca="1" si="277">IF(WEEKDAY(JZ$6)=2,JZ6,"")</f>
        <v/>
      </c>
      <c r="KA5" s="608" t="str">
        <f t="shared" ref="KA5" ca="1" si="278">IF(WEEKDAY(KA$6)=2,KA6,"")</f>
        <v/>
      </c>
      <c r="KB5" s="608" t="str">
        <f t="shared" ref="KB5" ca="1" si="279">IF(WEEKDAY(KB$6)=2,KB6,"")</f>
        <v/>
      </c>
      <c r="KC5" s="608" t="str">
        <f t="shared" ref="KC5" ca="1" si="280">IF(WEEKDAY(KC$6)=2,KC6,"")</f>
        <v/>
      </c>
      <c r="KD5" s="608">
        <f t="shared" ref="KD5" ca="1" si="281">IF(WEEKDAY(KD$6)=2,KD6,"")</f>
        <v>41764</v>
      </c>
      <c r="KE5" s="608" t="str">
        <f t="shared" ref="KE5" ca="1" si="282">IF(WEEKDAY(KE$6)=2,KE6,"")</f>
        <v/>
      </c>
      <c r="KF5" s="608" t="str">
        <f t="shared" ref="KF5" ca="1" si="283">IF(WEEKDAY(KF$6)=2,KF6,"")</f>
        <v/>
      </c>
      <c r="KG5" s="608" t="str">
        <f t="shared" ref="KG5" ca="1" si="284">IF(WEEKDAY(KG$6)=2,KG6,"")</f>
        <v/>
      </c>
      <c r="KH5" s="608" t="str">
        <f t="shared" ref="KH5" ca="1" si="285">IF(WEEKDAY(KH$6)=2,KH6,"")</f>
        <v/>
      </c>
      <c r="KI5" s="608" t="str">
        <f t="shared" ref="KI5" ca="1" si="286">IF(WEEKDAY(KI$6)=2,KI6,"")</f>
        <v/>
      </c>
      <c r="KJ5" s="608" t="str">
        <f t="shared" ref="KJ5" ca="1" si="287">IF(WEEKDAY(KJ$6)=2,KJ6,"")</f>
        <v/>
      </c>
      <c r="KK5" s="608">
        <f t="shared" ref="KK5" ca="1" si="288">IF(WEEKDAY(KK$6)=2,KK6,"")</f>
        <v>41771</v>
      </c>
      <c r="KL5" s="608" t="str">
        <f t="shared" ref="KL5" ca="1" si="289">IF(WEEKDAY(KL$6)=2,KL6,"")</f>
        <v/>
      </c>
      <c r="KM5" s="608" t="str">
        <f t="shared" ref="KM5" ca="1" si="290">IF(WEEKDAY(KM$6)=2,KM6,"")</f>
        <v/>
      </c>
      <c r="KN5" s="608" t="str">
        <f t="shared" ref="KN5" ca="1" si="291">IF(WEEKDAY(KN$6)=2,KN6,"")</f>
        <v/>
      </c>
      <c r="KO5" s="608" t="str">
        <f t="shared" ref="KO5" ca="1" si="292">IF(WEEKDAY(KO$6)=2,KO6,"")</f>
        <v/>
      </c>
      <c r="KP5" s="608" t="str">
        <f t="shared" ref="KP5" ca="1" si="293">IF(WEEKDAY(KP$6)=2,KP6,"")</f>
        <v/>
      </c>
      <c r="KQ5" s="608" t="str">
        <f t="shared" ref="KQ5" ca="1" si="294">IF(WEEKDAY(KQ$6)=2,KQ6,"")</f>
        <v/>
      </c>
      <c r="KR5" s="608">
        <f t="shared" ref="KR5" ca="1" si="295">IF(WEEKDAY(KR$6)=2,KR6,"")</f>
        <v>41778</v>
      </c>
      <c r="KS5" s="608" t="str">
        <f t="shared" ref="KS5" ca="1" si="296">IF(WEEKDAY(KS$6)=2,KS6,"")</f>
        <v/>
      </c>
      <c r="KT5" s="608" t="str">
        <f t="shared" ref="KT5" ca="1" si="297">IF(WEEKDAY(KT$6)=2,KT6,"")</f>
        <v/>
      </c>
      <c r="KU5" s="608" t="str">
        <f t="shared" ref="KU5" ca="1" si="298">IF(WEEKDAY(KU$6)=2,KU6,"")</f>
        <v/>
      </c>
      <c r="KV5" s="608" t="str">
        <f t="shared" ref="KV5" ca="1" si="299">IF(WEEKDAY(KV$6)=2,KV6,"")</f>
        <v/>
      </c>
      <c r="KW5" s="608" t="str">
        <f t="shared" ref="KW5" ca="1" si="300">IF(WEEKDAY(KW$6)=2,KW6,"")</f>
        <v/>
      </c>
      <c r="KX5" s="608" t="str">
        <f t="shared" ref="KX5" ca="1" si="301">IF(WEEKDAY(KX$6)=2,KX6,"")</f>
        <v/>
      </c>
      <c r="KY5" s="608">
        <f t="shared" ref="KY5" ca="1" si="302">IF(WEEKDAY(KY$6)=2,KY6,"")</f>
        <v>41785</v>
      </c>
      <c r="KZ5" s="608" t="str">
        <f t="shared" ref="KZ5" ca="1" si="303">IF(WEEKDAY(KZ$6)=2,KZ6,"")</f>
        <v/>
      </c>
      <c r="LA5" s="608" t="str">
        <f t="shared" ref="LA5" ca="1" si="304">IF(WEEKDAY(LA$6)=2,LA6,"")</f>
        <v/>
      </c>
      <c r="LB5" s="608" t="str">
        <f t="shared" ref="LB5" ca="1" si="305">IF(WEEKDAY(LB$6)=2,LB6,"")</f>
        <v/>
      </c>
      <c r="LC5" s="608" t="str">
        <f t="shared" ref="LC5" ca="1" si="306">IF(WEEKDAY(LC$6)=2,LC6,"")</f>
        <v/>
      </c>
      <c r="LD5" s="608" t="str">
        <f t="shared" ref="LD5" ca="1" si="307">IF(WEEKDAY(LD$6)=2,LD6,"")</f>
        <v/>
      </c>
      <c r="LE5" s="608" t="str">
        <f t="shared" ref="LE5" ca="1" si="308">IF(WEEKDAY(LE$6)=2,LE6,"")</f>
        <v/>
      </c>
      <c r="LF5" s="608">
        <f t="shared" ref="LF5" ca="1" si="309">IF(WEEKDAY(LF$6)=2,LF6,"")</f>
        <v>41792</v>
      </c>
      <c r="LG5" s="608" t="str">
        <f t="shared" ref="LG5" ca="1" si="310">IF(WEEKDAY(LG$6)=2,LG6,"")</f>
        <v/>
      </c>
      <c r="LH5" s="608" t="str">
        <f t="shared" ref="LH5" ca="1" si="311">IF(WEEKDAY(LH$6)=2,LH6,"")</f>
        <v/>
      </c>
      <c r="LI5" s="608" t="str">
        <f t="shared" ref="LI5" ca="1" si="312">IF(WEEKDAY(LI$6)=2,LI6,"")</f>
        <v/>
      </c>
      <c r="LJ5" s="608" t="str">
        <f t="shared" ref="LJ5" ca="1" si="313">IF(WEEKDAY(LJ$6)=2,LJ6,"")</f>
        <v/>
      </c>
      <c r="LK5" s="608" t="str">
        <f t="shared" ref="LK5" ca="1" si="314">IF(WEEKDAY(LK$6)=2,LK6,"")</f>
        <v/>
      </c>
      <c r="LL5" s="608" t="str">
        <f t="shared" ref="LL5" ca="1" si="315">IF(WEEKDAY(LL$6)=2,LL6,"")</f>
        <v/>
      </c>
      <c r="LM5" s="608">
        <f t="shared" ref="LM5" ca="1" si="316">IF(WEEKDAY(LM$6)=2,LM6,"")</f>
        <v>41799</v>
      </c>
      <c r="LN5" s="608" t="str">
        <f t="shared" ref="LN5" ca="1" si="317">IF(WEEKDAY(LN$6)=2,LN6,"")</f>
        <v/>
      </c>
      <c r="LO5" s="608" t="str">
        <f t="shared" ref="LO5" ca="1" si="318">IF(WEEKDAY(LO$6)=2,LO6,"")</f>
        <v/>
      </c>
      <c r="LP5" s="608" t="str">
        <f t="shared" ref="LP5" ca="1" si="319">IF(WEEKDAY(LP$6)=2,LP6,"")</f>
        <v/>
      </c>
      <c r="LQ5" s="608" t="str">
        <f t="shared" ref="LQ5" ca="1" si="320">IF(WEEKDAY(LQ$6)=2,LQ6,"")</f>
        <v/>
      </c>
      <c r="LR5" s="608" t="str">
        <f t="shared" ref="LR5" ca="1" si="321">IF(WEEKDAY(LR$6)=2,LR6,"")</f>
        <v/>
      </c>
      <c r="LS5" s="608" t="str">
        <f t="shared" ref="LS5" ca="1" si="322">IF(WEEKDAY(LS$6)=2,LS6,"")</f>
        <v/>
      </c>
      <c r="LT5" s="608">
        <f t="shared" ref="LT5" ca="1" si="323">IF(WEEKDAY(LT$6)=2,LT6,"")</f>
        <v>41806</v>
      </c>
      <c r="LU5" s="608" t="str">
        <f t="shared" ref="LU5" ca="1" si="324">IF(WEEKDAY(LU$6)=2,LU6,"")</f>
        <v/>
      </c>
      <c r="LV5" s="608" t="str">
        <f t="shared" ref="LV5" ca="1" si="325">IF(WEEKDAY(LV$6)=2,LV6,"")</f>
        <v/>
      </c>
      <c r="LW5" s="608" t="str">
        <f t="shared" ref="LW5" ca="1" si="326">IF(WEEKDAY(LW$6)=2,LW6,"")</f>
        <v/>
      </c>
      <c r="LX5" s="608" t="str">
        <f t="shared" ref="LX5" ca="1" si="327">IF(WEEKDAY(LX$6)=2,LX6,"")</f>
        <v/>
      </c>
      <c r="LY5" s="608" t="str">
        <f t="shared" ref="LY5" ca="1" si="328">IF(WEEKDAY(LY$6)=2,LY6,"")</f>
        <v/>
      </c>
      <c r="LZ5" s="608" t="str">
        <f t="shared" ref="LZ5" ca="1" si="329">IF(WEEKDAY(LZ$6)=2,LZ6,"")</f>
        <v/>
      </c>
      <c r="MA5" s="608">
        <f t="shared" ref="MA5" ca="1" si="330">IF(WEEKDAY(MA$6)=2,MA6,"")</f>
        <v>41813</v>
      </c>
      <c r="MB5" s="608" t="str">
        <f t="shared" ref="MB5" ca="1" si="331">IF(WEEKDAY(MB$6)=2,MB6,"")</f>
        <v/>
      </c>
      <c r="MC5" s="608" t="str">
        <f t="shared" ref="MC5" ca="1" si="332">IF(WEEKDAY(MC$6)=2,MC6,"")</f>
        <v/>
      </c>
      <c r="MD5" s="608" t="str">
        <f t="shared" ref="MD5" ca="1" si="333">IF(WEEKDAY(MD$6)=2,MD6,"")</f>
        <v/>
      </c>
      <c r="ME5" s="608" t="str">
        <f t="shared" ref="ME5" ca="1" si="334">IF(WEEKDAY(ME$6)=2,ME6,"")</f>
        <v/>
      </c>
      <c r="MF5" s="608" t="str">
        <f t="shared" ref="MF5" ca="1" si="335">IF(WEEKDAY(MF$6)=2,MF6,"")</f>
        <v/>
      </c>
      <c r="MG5" s="608" t="str">
        <f t="shared" ref="MG5" ca="1" si="336">IF(WEEKDAY(MG$6)=2,MG6,"")</f>
        <v/>
      </c>
      <c r="MH5" s="608">
        <f t="shared" ref="MH5" ca="1" si="337">IF(WEEKDAY(MH$6)=2,MH6,"")</f>
        <v>41820</v>
      </c>
      <c r="MI5" s="608" t="str">
        <f t="shared" ref="MI5" ca="1" si="338">IF(WEEKDAY(MI$6)=2,MI6,"")</f>
        <v/>
      </c>
      <c r="MJ5" s="608" t="str">
        <f t="shared" ref="MJ5" ca="1" si="339">IF(WEEKDAY(MJ$6)=2,MJ6,"")</f>
        <v/>
      </c>
      <c r="MK5" s="608" t="str">
        <f t="shared" ref="MK5" ca="1" si="340">IF(WEEKDAY(MK$6)=2,MK6,"")</f>
        <v/>
      </c>
      <c r="ML5" s="608" t="str">
        <f t="shared" ref="ML5" ca="1" si="341">IF(WEEKDAY(ML$6)=2,ML6,"")</f>
        <v/>
      </c>
      <c r="MM5" s="608" t="str">
        <f t="shared" ref="MM5" ca="1" si="342">IF(WEEKDAY(MM$6)=2,MM6,"")</f>
        <v/>
      </c>
      <c r="MN5" s="608" t="str">
        <f t="shared" ref="MN5" ca="1" si="343">IF(WEEKDAY(MN$6)=2,MN6,"")</f>
        <v/>
      </c>
      <c r="MO5" s="608">
        <f t="shared" ref="MO5" ca="1" si="344">IF(WEEKDAY(MO$6)=2,MO6,"")</f>
        <v>41827</v>
      </c>
      <c r="MP5" s="608" t="str">
        <f t="shared" ref="MP5" ca="1" si="345">IF(WEEKDAY(MP$6)=2,MP6,"")</f>
        <v/>
      </c>
      <c r="MQ5" s="608" t="str">
        <f t="shared" ref="MQ5" ca="1" si="346">IF(WEEKDAY(MQ$6)=2,MQ6,"")</f>
        <v/>
      </c>
      <c r="MR5" s="608" t="str">
        <f t="shared" ref="MR5" ca="1" si="347">IF(WEEKDAY(MR$6)=2,MR6,"")</f>
        <v/>
      </c>
      <c r="MS5" s="608" t="str">
        <f t="shared" ref="MS5" ca="1" si="348">IF(WEEKDAY(MS$6)=2,MS6,"")</f>
        <v/>
      </c>
      <c r="MT5" s="608" t="str">
        <f t="shared" ref="MT5" ca="1" si="349">IF(WEEKDAY(MT$6)=2,MT6,"")</f>
        <v/>
      </c>
      <c r="MU5" s="608" t="str">
        <f t="shared" ref="MU5" ca="1" si="350">IF(WEEKDAY(MU$6)=2,MU6,"")</f>
        <v/>
      </c>
      <c r="MV5" s="608">
        <f t="shared" ref="MV5" ca="1" si="351">IF(WEEKDAY(MV$6)=2,MV6,"")</f>
        <v>41834</v>
      </c>
      <c r="MW5" s="608" t="str">
        <f t="shared" ref="MW5" ca="1" si="352">IF(WEEKDAY(MW$6)=2,MW6,"")</f>
        <v/>
      </c>
      <c r="MX5" s="608" t="str">
        <f t="shared" ref="MX5" ca="1" si="353">IF(WEEKDAY(MX$6)=2,MX6,"")</f>
        <v/>
      </c>
      <c r="MY5" s="608" t="str">
        <f t="shared" ref="MY5" ca="1" si="354">IF(WEEKDAY(MY$6)=2,MY6,"")</f>
        <v/>
      </c>
      <c r="MZ5" s="608" t="str">
        <f t="shared" ref="MZ5" ca="1" si="355">IF(WEEKDAY(MZ$6)=2,MZ6,"")</f>
        <v/>
      </c>
      <c r="NA5" s="608" t="str">
        <f t="shared" ref="NA5" ca="1" si="356">IF(WEEKDAY(NA$6)=2,NA6,"")</f>
        <v/>
      </c>
      <c r="NB5" s="608" t="str">
        <f t="shared" ref="NB5" ca="1" si="357">IF(WEEKDAY(NB$6)=2,NB6,"")</f>
        <v/>
      </c>
      <c r="NC5" s="608">
        <f t="shared" ref="NC5" ca="1" si="358">IF(WEEKDAY(NC$6)=2,NC6,"")</f>
        <v>41841</v>
      </c>
      <c r="ND5" s="608" t="str">
        <f t="shared" ref="ND5" ca="1" si="359">IF(WEEKDAY(ND$6)=2,ND6,"")</f>
        <v/>
      </c>
      <c r="NE5" s="608" t="str">
        <f t="shared" ref="NE5" ca="1" si="360">IF(WEEKDAY(NE$6)=2,NE6,"")</f>
        <v/>
      </c>
      <c r="NF5" s="608" t="str">
        <f t="shared" ref="NF5" ca="1" si="361">IF(WEEKDAY(NF$6)=2,NF6,"")</f>
        <v/>
      </c>
      <c r="NG5" s="608" t="str">
        <f t="shared" ref="NG5" ca="1" si="362">IF(WEEKDAY(NG$6)=2,NG6,"")</f>
        <v/>
      </c>
      <c r="NH5" s="608" t="str">
        <f t="shared" ref="NH5" ca="1" si="363">IF(WEEKDAY(NH$6)=2,NH6,"")</f>
        <v/>
      </c>
      <c r="NI5" s="608" t="str">
        <f t="shared" ref="NI5" ca="1" si="364">IF(WEEKDAY(NI$6)=2,NI6,"")</f>
        <v/>
      </c>
      <c r="NJ5" s="608">
        <f t="shared" ref="NJ5" ca="1" si="365">IF(WEEKDAY(NJ$6)=2,NJ6,"")</f>
        <v>41848</v>
      </c>
      <c r="NK5" s="608" t="str">
        <f t="shared" ref="NK5" ca="1" si="366">IF(WEEKDAY(NK$6)=2,NK6,"")</f>
        <v/>
      </c>
      <c r="NL5" s="608" t="str">
        <f t="shared" ref="NL5" ca="1" si="367">IF(WEEKDAY(NL$6)=2,NL6,"")</f>
        <v/>
      </c>
      <c r="NM5" s="608" t="str">
        <f t="shared" ref="NM5" ca="1" si="368">IF(WEEKDAY(NM$6)=2,NM6,"")</f>
        <v/>
      </c>
      <c r="NN5" s="608" t="str">
        <f t="shared" ref="NN5" ca="1" si="369">IF(WEEKDAY(NN$6)=2,NN6,"")</f>
        <v/>
      </c>
      <c r="NO5" s="608" t="str">
        <f t="shared" ref="NO5" ca="1" si="370">IF(WEEKDAY(NO$6)=2,NO6,"")</f>
        <v/>
      </c>
      <c r="NP5" s="608" t="str">
        <f t="shared" ref="NP5" ca="1" si="371">IF(WEEKDAY(NP$6)=2,NP6,"")</f>
        <v/>
      </c>
      <c r="NQ5" s="608">
        <f t="shared" ref="NQ5" ca="1" si="372">IF(WEEKDAY(NQ$6)=2,NQ6,"")</f>
        <v>41855</v>
      </c>
      <c r="NR5" s="608" t="str">
        <f t="shared" ref="NR5" ca="1" si="373">IF(WEEKDAY(NR$6)=2,NR6,"")</f>
        <v/>
      </c>
      <c r="NS5" s="608" t="str">
        <f t="shared" ref="NS5" ca="1" si="374">IF(WEEKDAY(NS$6)=2,NS6,"")</f>
        <v/>
      </c>
      <c r="NT5" s="608" t="str">
        <f t="shared" ref="NT5" ca="1" si="375">IF(WEEKDAY(NT$6)=2,NT6,"")</f>
        <v/>
      </c>
      <c r="NU5" s="608" t="str">
        <f t="shared" ref="NU5" ca="1" si="376">IF(WEEKDAY(NU$6)=2,NU6,"")</f>
        <v/>
      </c>
      <c r="NV5" s="608" t="str">
        <f t="shared" ref="NV5" ca="1" si="377">IF(WEEKDAY(NV$6)=2,NV6,"")</f>
        <v/>
      </c>
      <c r="NW5" s="608" t="str">
        <f t="shared" ref="NW5" ca="1" si="378">IF(WEEKDAY(NW$6)=2,NW6,"")</f>
        <v/>
      </c>
      <c r="NX5" s="608">
        <f t="shared" ref="NX5" ca="1" si="379">IF(WEEKDAY(NX$6)=2,NX6,"")</f>
        <v>41862</v>
      </c>
      <c r="NY5" s="608" t="str">
        <f t="shared" ref="NY5" ca="1" si="380">IF(WEEKDAY(NY$6)=2,NY6,"")</f>
        <v/>
      </c>
      <c r="NZ5" s="608" t="str">
        <f t="shared" ref="NZ5" ca="1" si="381">IF(WEEKDAY(NZ$6)=2,NZ6,"")</f>
        <v/>
      </c>
      <c r="OA5" s="608" t="str">
        <f t="shared" ref="OA5" ca="1" si="382">IF(WEEKDAY(OA$6)=2,OA6,"")</f>
        <v/>
      </c>
      <c r="OB5" s="608" t="str">
        <f t="shared" ref="OB5" ca="1" si="383">IF(WEEKDAY(OB$6)=2,OB6,"")</f>
        <v/>
      </c>
      <c r="OC5" s="608" t="str">
        <f t="shared" ref="OC5" ca="1" si="384">IF(WEEKDAY(OC$6)=2,OC6,"")</f>
        <v/>
      </c>
      <c r="OD5" s="608" t="str">
        <f t="shared" ref="OD5" ca="1" si="385">IF(WEEKDAY(OD$6)=2,OD6,"")</f>
        <v/>
      </c>
      <c r="OE5" s="608">
        <f t="shared" ref="OE5" ca="1" si="386">IF(WEEKDAY(OE$6)=2,OE6,"")</f>
        <v>41869</v>
      </c>
      <c r="OF5" s="608" t="str">
        <f t="shared" ref="OF5" ca="1" si="387">IF(WEEKDAY(OF$6)=2,OF6,"")</f>
        <v/>
      </c>
      <c r="OG5" s="608" t="str">
        <f t="shared" ref="OG5" ca="1" si="388">IF(WEEKDAY(OG$6)=2,OG6,"")</f>
        <v/>
      </c>
      <c r="OH5" s="608" t="str">
        <f t="shared" ref="OH5" ca="1" si="389">IF(WEEKDAY(OH$6)=2,OH6,"")</f>
        <v/>
      </c>
      <c r="OI5" s="608" t="str">
        <f t="shared" ref="OI5" ca="1" si="390">IF(WEEKDAY(OI$6)=2,OI6,"")</f>
        <v/>
      </c>
      <c r="OJ5" s="608" t="str">
        <f t="shared" ref="OJ5" ca="1" si="391">IF(WEEKDAY(OJ$6)=2,OJ6,"")</f>
        <v/>
      </c>
      <c r="OK5" s="608" t="str">
        <f t="shared" ref="OK5" ca="1" si="392">IF(WEEKDAY(OK$6)=2,OK6,"")</f>
        <v/>
      </c>
      <c r="OL5" s="608">
        <f t="shared" ref="OL5" ca="1" si="393">IF(WEEKDAY(OL$6)=2,OL6,"")</f>
        <v>41876</v>
      </c>
      <c r="OM5" s="608" t="str">
        <f t="shared" ref="OM5" ca="1" si="394">IF(WEEKDAY(OM$6)=2,OM6,"")</f>
        <v/>
      </c>
      <c r="ON5" s="608" t="str">
        <f t="shared" ref="ON5" ca="1" si="395">IF(WEEKDAY(ON$6)=2,ON6,"")</f>
        <v/>
      </c>
      <c r="OO5" s="608" t="str">
        <f t="shared" ref="OO5" ca="1" si="396">IF(WEEKDAY(OO$6)=2,OO6,"")</f>
        <v/>
      </c>
      <c r="OP5" s="608" t="str">
        <f t="shared" ref="OP5" ca="1" si="397">IF(WEEKDAY(OP$6)=2,OP6,"")</f>
        <v/>
      </c>
      <c r="OQ5" s="608" t="str">
        <f t="shared" ref="OQ5" ca="1" si="398">IF(WEEKDAY(OQ$6)=2,OQ6,"")</f>
        <v/>
      </c>
      <c r="OR5" s="608" t="str">
        <f t="shared" ref="OR5" ca="1" si="399">IF(WEEKDAY(OR$6)=2,OR6,"")</f>
        <v/>
      </c>
      <c r="OS5" s="608">
        <f t="shared" ref="OS5" ca="1" si="400">IF(WEEKDAY(OS$6)=2,OS6,"")</f>
        <v>41883</v>
      </c>
      <c r="OT5" s="608" t="str">
        <f t="shared" ref="OT5" ca="1" si="401">IF(WEEKDAY(OT$6)=2,OT6,"")</f>
        <v/>
      </c>
      <c r="OU5" s="608" t="str">
        <f t="shared" ref="OU5" ca="1" si="402">IF(WEEKDAY(OU$6)=2,OU6,"")</f>
        <v/>
      </c>
      <c r="OV5" s="608" t="str">
        <f t="shared" ref="OV5" ca="1" si="403">IF(WEEKDAY(OV$6)=2,OV6,"")</f>
        <v/>
      </c>
      <c r="OW5" s="608" t="str">
        <f t="shared" ref="OW5" ca="1" si="404">IF(WEEKDAY(OW$6)=2,OW6,"")</f>
        <v/>
      </c>
      <c r="OX5" s="608" t="str">
        <f t="shared" ref="OX5" ca="1" si="405">IF(WEEKDAY(OX$6)=2,OX6,"")</f>
        <v/>
      </c>
      <c r="OY5" s="608" t="str">
        <f t="shared" ref="OY5" ca="1" si="406">IF(WEEKDAY(OY$6)=2,OY6,"")</f>
        <v/>
      </c>
      <c r="OZ5" s="608">
        <f t="shared" ref="OZ5" ca="1" si="407">IF(WEEKDAY(OZ$6)=2,OZ6,"")</f>
        <v>41890</v>
      </c>
      <c r="PA5" s="608" t="str">
        <f t="shared" ref="PA5" ca="1" si="408">IF(WEEKDAY(PA$6)=2,PA6,"")</f>
        <v/>
      </c>
      <c r="PB5" s="608" t="str">
        <f t="shared" ref="PB5" ca="1" si="409">IF(WEEKDAY(PB$6)=2,PB6,"")</f>
        <v/>
      </c>
      <c r="PC5" s="608" t="str">
        <f t="shared" ref="PC5" ca="1" si="410">IF(WEEKDAY(PC$6)=2,PC6,"")</f>
        <v/>
      </c>
      <c r="PD5" s="608" t="str">
        <f t="shared" ref="PD5" ca="1" si="411">IF(WEEKDAY(PD$6)=2,PD6,"")</f>
        <v/>
      </c>
      <c r="PE5" s="608" t="str">
        <f t="shared" ref="PE5" ca="1" si="412">IF(WEEKDAY(PE$6)=2,PE6,"")</f>
        <v/>
      </c>
      <c r="PF5" s="608" t="str">
        <f t="shared" ref="PF5" ca="1" si="413">IF(WEEKDAY(PF$6)=2,PF6,"")</f>
        <v/>
      </c>
      <c r="PG5" s="608">
        <f t="shared" ref="PG5" ca="1" si="414">IF(WEEKDAY(PG$6)=2,PG6,"")</f>
        <v>41897</v>
      </c>
      <c r="PH5" s="608" t="str">
        <f t="shared" ref="PH5" ca="1" si="415">IF(WEEKDAY(PH$6)=2,PH6,"")</f>
        <v/>
      </c>
      <c r="PI5" s="608" t="str">
        <f t="shared" ref="PI5" ca="1" si="416">IF(WEEKDAY(PI$6)=2,PI6,"")</f>
        <v/>
      </c>
      <c r="PJ5" s="608" t="str">
        <f t="shared" ref="PJ5" ca="1" si="417">IF(WEEKDAY(PJ$6)=2,PJ6,"")</f>
        <v/>
      </c>
      <c r="PK5" s="608" t="str">
        <f t="shared" ref="PK5" ca="1" si="418">IF(WEEKDAY(PK$6)=2,PK6,"")</f>
        <v/>
      </c>
      <c r="PL5" s="608" t="str">
        <f t="shared" ref="PL5" ca="1" si="419">IF(WEEKDAY(PL$6)=2,PL6,"")</f>
        <v/>
      </c>
      <c r="PM5" s="608" t="str">
        <f t="shared" ref="PM5" ca="1" si="420">IF(WEEKDAY(PM$6)=2,PM6,"")</f>
        <v/>
      </c>
      <c r="PN5" s="608">
        <f t="shared" ref="PN5" ca="1" si="421">IF(WEEKDAY(PN$6)=2,PN6,"")</f>
        <v>41904</v>
      </c>
      <c r="PO5" s="608" t="str">
        <f t="shared" ref="PO5" ca="1" si="422">IF(WEEKDAY(PO$6)=2,PO6,"")</f>
        <v/>
      </c>
      <c r="PP5" s="608" t="str">
        <f t="shared" ref="PP5" ca="1" si="423">IF(WEEKDAY(PP$6)=2,PP6,"")</f>
        <v/>
      </c>
      <c r="PQ5" s="608" t="str">
        <f t="shared" ref="PQ5" ca="1" si="424">IF(WEEKDAY(PQ$6)=2,PQ6,"")</f>
        <v/>
      </c>
      <c r="PR5" s="608" t="str">
        <f t="shared" ref="PR5" ca="1" si="425">IF(WEEKDAY(PR$6)=2,PR6,"")</f>
        <v/>
      </c>
      <c r="PS5" s="608" t="str">
        <f t="shared" ref="PS5" ca="1" si="426">IF(WEEKDAY(PS$6)=2,PS6,"")</f>
        <v/>
      </c>
      <c r="PT5" s="608" t="str">
        <f t="shared" ref="PT5" ca="1" si="427">IF(WEEKDAY(PT$6)=2,PT6,"")</f>
        <v/>
      </c>
      <c r="PU5" s="608">
        <f t="shared" ref="PU5" ca="1" si="428">IF(WEEKDAY(PU$6)=2,PU6,"")</f>
        <v>41911</v>
      </c>
      <c r="PV5" s="608" t="str">
        <f t="shared" ref="PV5" ca="1" si="429">IF(WEEKDAY(PV$6)=2,PV6,"")</f>
        <v/>
      </c>
      <c r="PW5" s="608" t="str">
        <f t="shared" ref="PW5" ca="1" si="430">IF(WEEKDAY(PW$6)=2,PW6,"")</f>
        <v/>
      </c>
      <c r="PX5" s="608" t="str">
        <f t="shared" ref="PX5" ca="1" si="431">IF(WEEKDAY(PX$6)=2,PX6,"")</f>
        <v/>
      </c>
      <c r="PY5" s="608" t="str">
        <f t="shared" ref="PY5" ca="1" si="432">IF(WEEKDAY(PY$6)=2,PY6,"")</f>
        <v/>
      </c>
      <c r="PZ5" s="608" t="str">
        <f t="shared" ref="PZ5" ca="1" si="433">IF(WEEKDAY(PZ$6)=2,PZ6,"")</f>
        <v/>
      </c>
      <c r="QA5" s="608" t="str">
        <f t="shared" ref="QA5" ca="1" si="434">IF(WEEKDAY(QA$6)=2,QA6,"")</f>
        <v/>
      </c>
      <c r="QB5" s="608">
        <f t="shared" ref="QB5" ca="1" si="435">IF(WEEKDAY(QB$6)=2,QB6,"")</f>
        <v>41918</v>
      </c>
      <c r="QC5" s="608" t="str">
        <f t="shared" ref="QC5" ca="1" si="436">IF(WEEKDAY(QC$6)=2,QC6,"")</f>
        <v/>
      </c>
      <c r="QD5" s="608" t="str">
        <f t="shared" ref="QD5" ca="1" si="437">IF(WEEKDAY(QD$6)=2,QD6,"")</f>
        <v/>
      </c>
      <c r="QE5" s="608" t="str">
        <f t="shared" ref="QE5" ca="1" si="438">IF(WEEKDAY(QE$6)=2,QE6,"")</f>
        <v/>
      </c>
      <c r="QF5" s="608" t="str">
        <f t="shared" ref="QF5" ca="1" si="439">IF(WEEKDAY(QF$6)=2,QF6,"")</f>
        <v/>
      </c>
      <c r="QG5" s="608" t="str">
        <f t="shared" ref="QG5" ca="1" si="440">IF(WEEKDAY(QG$6)=2,QG6,"")</f>
        <v/>
      </c>
      <c r="QH5" s="608" t="str">
        <f t="shared" ref="QH5" ca="1" si="441">IF(WEEKDAY(QH$6)=2,QH6,"")</f>
        <v/>
      </c>
      <c r="QI5" s="608">
        <f t="shared" ref="QI5" ca="1" si="442">IF(WEEKDAY(QI$6)=2,QI6,"")</f>
        <v>41925</v>
      </c>
      <c r="QJ5" s="608" t="str">
        <f t="shared" ref="QJ5" ca="1" si="443">IF(WEEKDAY(QJ$6)=2,QJ6,"")</f>
        <v/>
      </c>
      <c r="QK5" s="608" t="str">
        <f t="shared" ref="QK5" ca="1" si="444">IF(WEEKDAY(QK$6)=2,QK6,"")</f>
        <v/>
      </c>
      <c r="QL5" s="608" t="str">
        <f t="shared" ref="QL5" ca="1" si="445">IF(WEEKDAY(QL$6)=2,QL6,"")</f>
        <v/>
      </c>
      <c r="QM5" s="608" t="str">
        <f t="shared" ref="QM5" ca="1" si="446">IF(WEEKDAY(QM$6)=2,QM6,"")</f>
        <v/>
      </c>
      <c r="QN5" s="608" t="str">
        <f t="shared" ref="QN5" ca="1" si="447">IF(WEEKDAY(QN$6)=2,QN6,"")</f>
        <v/>
      </c>
      <c r="QO5" s="608" t="str">
        <f t="shared" ref="QO5" ca="1" si="448">IF(WEEKDAY(QO$6)=2,QO6,"")</f>
        <v/>
      </c>
      <c r="QP5" s="608">
        <f t="shared" ref="QP5" ca="1" si="449">IF(WEEKDAY(QP$6)=2,QP6,"")</f>
        <v>41932</v>
      </c>
      <c r="QQ5" s="608" t="str">
        <f t="shared" ref="QQ5" ca="1" si="450">IF(WEEKDAY(QQ$6)=2,QQ6,"")</f>
        <v/>
      </c>
      <c r="QR5" s="608" t="str">
        <f t="shared" ref="QR5" ca="1" si="451">IF(WEEKDAY(QR$6)=2,QR6,"")</f>
        <v/>
      </c>
      <c r="QS5" s="608" t="str">
        <f t="shared" ref="QS5" ca="1" si="452">IF(WEEKDAY(QS$6)=2,QS6,"")</f>
        <v/>
      </c>
      <c r="QT5" s="608" t="str">
        <f t="shared" ref="QT5" ca="1" si="453">IF(WEEKDAY(QT$6)=2,QT6,"")</f>
        <v/>
      </c>
      <c r="QU5" s="608" t="str">
        <f t="shared" ref="QU5" ca="1" si="454">IF(WEEKDAY(QU$6)=2,QU6,"")</f>
        <v/>
      </c>
      <c r="QV5" s="608" t="str">
        <f t="shared" ref="QV5" ca="1" si="455">IF(WEEKDAY(QV$6)=2,QV6,"")</f>
        <v/>
      </c>
      <c r="QW5" s="608">
        <f t="shared" ref="QW5" ca="1" si="456">IF(WEEKDAY(QW$6)=2,QW6,"")</f>
        <v>41939</v>
      </c>
      <c r="QX5" s="608" t="str">
        <f t="shared" ref="QX5" ca="1" si="457">IF(WEEKDAY(QX$6)=2,QX6,"")</f>
        <v/>
      </c>
      <c r="QY5" s="608" t="str">
        <f t="shared" ref="QY5" ca="1" si="458">IF(WEEKDAY(QY$6)=2,QY6,"")</f>
        <v/>
      </c>
      <c r="QZ5" s="608" t="str">
        <f t="shared" ref="QZ5" ca="1" si="459">IF(WEEKDAY(QZ$6)=2,QZ6,"")</f>
        <v/>
      </c>
      <c r="RA5" s="608" t="str">
        <f t="shared" ref="RA5" ca="1" si="460">IF(WEEKDAY(RA$6)=2,RA6,"")</f>
        <v/>
      </c>
      <c r="RB5" s="608" t="str">
        <f t="shared" ref="RB5" ca="1" si="461">IF(WEEKDAY(RB$6)=2,RB6,"")</f>
        <v/>
      </c>
      <c r="RC5" s="608" t="str">
        <f t="shared" ref="RC5" ca="1" si="462">IF(WEEKDAY(RC$6)=2,RC6,"")</f>
        <v/>
      </c>
      <c r="RD5" s="608">
        <f t="shared" ref="RD5" ca="1" si="463">IF(WEEKDAY(RD$6)=2,RD6,"")</f>
        <v>41946</v>
      </c>
      <c r="RE5" s="608" t="str">
        <f t="shared" ref="RE5" ca="1" si="464">IF(WEEKDAY(RE$6)=2,RE6,"")</f>
        <v/>
      </c>
      <c r="RF5" s="608" t="str">
        <f t="shared" ref="RF5" ca="1" si="465">IF(WEEKDAY(RF$6)=2,RF6,"")</f>
        <v/>
      </c>
      <c r="RG5" s="608" t="str">
        <f t="shared" ref="RG5" ca="1" si="466">IF(WEEKDAY(RG$6)=2,RG6,"")</f>
        <v/>
      </c>
      <c r="RH5" s="608" t="str">
        <f t="shared" ref="RH5" ca="1" si="467">IF(WEEKDAY(RH$6)=2,RH6,"")</f>
        <v/>
      </c>
      <c r="RI5" s="608" t="str">
        <f t="shared" ref="RI5" ca="1" si="468">IF(WEEKDAY(RI$6)=2,RI6,"")</f>
        <v/>
      </c>
      <c r="RJ5" s="608" t="str">
        <f t="shared" ref="RJ5" ca="1" si="469">IF(WEEKDAY(RJ$6)=2,RJ6,"")</f>
        <v/>
      </c>
      <c r="RK5" s="608">
        <f t="shared" ref="RK5" ca="1" si="470">IF(WEEKDAY(RK$6)=2,RK6,"")</f>
        <v>41953</v>
      </c>
      <c r="RL5" s="608" t="str">
        <f t="shared" ref="RL5" ca="1" si="471">IF(WEEKDAY(RL$6)=2,RL6,"")</f>
        <v/>
      </c>
      <c r="RM5" s="608" t="str">
        <f t="shared" ref="RM5" ca="1" si="472">IF(WEEKDAY(RM$6)=2,RM6,"")</f>
        <v/>
      </c>
      <c r="RN5" s="608" t="str">
        <f t="shared" ref="RN5" ca="1" si="473">IF(WEEKDAY(RN$6)=2,RN6,"")</f>
        <v/>
      </c>
      <c r="RO5" s="608" t="str">
        <f t="shared" ref="RO5" ca="1" si="474">IF(WEEKDAY(RO$6)=2,RO6,"")</f>
        <v/>
      </c>
      <c r="RP5" s="608" t="str">
        <f t="shared" ref="RP5" ca="1" si="475">IF(WEEKDAY(RP$6)=2,RP6,"")</f>
        <v/>
      </c>
      <c r="RQ5" s="608" t="str">
        <f t="shared" ref="RQ5" ca="1" si="476">IF(WEEKDAY(RQ$6)=2,RQ6,"")</f>
        <v/>
      </c>
      <c r="RR5" s="608">
        <f t="shared" ref="RR5" ca="1" si="477">IF(WEEKDAY(RR$6)=2,RR6,"")</f>
        <v>41960</v>
      </c>
      <c r="RS5" s="608" t="str">
        <f t="shared" ref="RS5" ca="1" si="478">IF(WEEKDAY(RS$6)=2,RS6,"")</f>
        <v/>
      </c>
      <c r="RT5" s="608" t="str">
        <f t="shared" ref="RT5" ca="1" si="479">IF(WEEKDAY(RT$6)=2,RT6,"")</f>
        <v/>
      </c>
      <c r="RU5" s="608" t="str">
        <f t="shared" ref="RU5" ca="1" si="480">IF(WEEKDAY(RU$6)=2,RU6,"")</f>
        <v/>
      </c>
      <c r="RV5" s="608" t="str">
        <f t="shared" ref="RV5" ca="1" si="481">IF(WEEKDAY(RV$6)=2,RV6,"")</f>
        <v/>
      </c>
      <c r="RW5" s="608" t="str">
        <f t="shared" ref="RW5" ca="1" si="482">IF(WEEKDAY(RW$6)=2,RW6,"")</f>
        <v/>
      </c>
      <c r="RX5" s="608" t="str">
        <f t="shared" ref="RX5" ca="1" si="483">IF(WEEKDAY(RX$6)=2,RX6,"")</f>
        <v/>
      </c>
      <c r="RY5" s="608">
        <f t="shared" ref="RY5" ca="1" si="484">IF(WEEKDAY(RY$6)=2,RY6,"")</f>
        <v>41967</v>
      </c>
      <c r="RZ5" s="608" t="str">
        <f t="shared" ref="RZ5" ca="1" si="485">IF(WEEKDAY(RZ$6)=2,RZ6,"")</f>
        <v/>
      </c>
      <c r="SA5" s="608" t="str">
        <f t="shared" ref="SA5" ca="1" si="486">IF(WEEKDAY(SA$6)=2,SA6,"")</f>
        <v/>
      </c>
      <c r="SB5" s="608" t="str">
        <f t="shared" ref="SB5" ca="1" si="487">IF(WEEKDAY(SB$6)=2,SB6,"")</f>
        <v/>
      </c>
      <c r="SC5" s="608" t="str">
        <f t="shared" ref="SC5" ca="1" si="488">IF(WEEKDAY(SC$6)=2,SC6,"")</f>
        <v/>
      </c>
      <c r="SD5" s="608" t="str">
        <f t="shared" ref="SD5" ca="1" si="489">IF(WEEKDAY(SD$6)=2,SD6,"")</f>
        <v/>
      </c>
      <c r="SE5" s="608" t="str">
        <f t="shared" ref="SE5" ca="1" si="490">IF(WEEKDAY(SE$6)=2,SE6,"")</f>
        <v/>
      </c>
      <c r="SF5" s="608">
        <f t="shared" ref="SF5" ca="1" si="491">IF(WEEKDAY(SF$6)=2,SF6,"")</f>
        <v>41974</v>
      </c>
      <c r="SG5" s="608" t="str">
        <f t="shared" ref="SG5" ca="1" si="492">IF(WEEKDAY(SG$6)=2,SG6,"")</f>
        <v/>
      </c>
      <c r="SH5" s="608" t="str">
        <f t="shared" ref="SH5" ca="1" si="493">IF(WEEKDAY(SH$6)=2,SH6,"")</f>
        <v/>
      </c>
      <c r="SI5" s="608" t="str">
        <f t="shared" ref="SI5" ca="1" si="494">IF(WEEKDAY(SI$6)=2,SI6,"")</f>
        <v/>
      </c>
      <c r="SJ5" s="608" t="str">
        <f t="shared" ref="SJ5" ca="1" si="495">IF(WEEKDAY(SJ$6)=2,SJ6,"")</f>
        <v/>
      </c>
      <c r="SK5" s="608" t="str">
        <f t="shared" ref="SK5" ca="1" si="496">IF(WEEKDAY(SK$6)=2,SK6,"")</f>
        <v/>
      </c>
      <c r="SL5" s="608" t="str">
        <f t="shared" ref="SL5" ca="1" si="497">IF(WEEKDAY(SL$6)=2,SL6,"")</f>
        <v/>
      </c>
      <c r="SM5" s="608">
        <f t="shared" ref="SM5" ca="1" si="498">IF(WEEKDAY(SM$6)=2,SM6,"")</f>
        <v>41981</v>
      </c>
      <c r="SN5" s="608" t="str">
        <f t="shared" ref="SN5" ca="1" si="499">IF(WEEKDAY(SN$6)=2,SN6,"")</f>
        <v/>
      </c>
      <c r="SO5" s="608" t="str">
        <f t="shared" ref="SO5" ca="1" si="500">IF(WEEKDAY(SO$6)=2,SO6,"")</f>
        <v/>
      </c>
      <c r="SP5" s="608" t="str">
        <f t="shared" ref="SP5" ca="1" si="501">IF(WEEKDAY(SP$6)=2,SP6,"")</f>
        <v/>
      </c>
      <c r="SQ5" s="608" t="str">
        <f t="shared" ref="SQ5" ca="1" si="502">IF(WEEKDAY(SQ$6)=2,SQ6,"")</f>
        <v/>
      </c>
      <c r="SR5" s="608" t="str">
        <f t="shared" ref="SR5" ca="1" si="503">IF(WEEKDAY(SR$6)=2,SR6,"")</f>
        <v/>
      </c>
      <c r="SS5" s="608" t="str">
        <f t="shared" ref="SS5" ca="1" si="504">IF(WEEKDAY(SS$6)=2,SS6,"")</f>
        <v/>
      </c>
      <c r="ST5" s="608">
        <f t="shared" ref="ST5" ca="1" si="505">IF(WEEKDAY(ST$6)=2,ST6,"")</f>
        <v>41988</v>
      </c>
      <c r="SU5" s="608" t="str">
        <f t="shared" ref="SU5" ca="1" si="506">IF(WEEKDAY(SU$6)=2,SU6,"")</f>
        <v/>
      </c>
      <c r="SV5" s="608" t="str">
        <f t="shared" ref="SV5" ca="1" si="507">IF(WEEKDAY(SV$6)=2,SV6,"")</f>
        <v/>
      </c>
      <c r="SW5" s="608" t="str">
        <f t="shared" ref="SW5" ca="1" si="508">IF(WEEKDAY(SW$6)=2,SW6,"")</f>
        <v/>
      </c>
      <c r="SX5" s="608" t="str">
        <f t="shared" ref="SX5" ca="1" si="509">IF(WEEKDAY(SX$6)=2,SX6,"")</f>
        <v/>
      </c>
      <c r="SY5" s="608" t="str">
        <f t="shared" ref="SY5" ca="1" si="510">IF(WEEKDAY(SY$6)=2,SY6,"")</f>
        <v/>
      </c>
      <c r="SZ5" s="608" t="str">
        <f t="shared" ref="SZ5" ca="1" si="511">IF(WEEKDAY(SZ$6)=2,SZ6,"")</f>
        <v/>
      </c>
      <c r="TA5" s="608">
        <f t="shared" ref="TA5" ca="1" si="512">IF(WEEKDAY(TA$6)=2,TA6,"")</f>
        <v>41995</v>
      </c>
      <c r="TB5" s="608" t="str">
        <f t="shared" ref="TB5" ca="1" si="513">IF(WEEKDAY(TB$6)=2,TB6,"")</f>
        <v/>
      </c>
      <c r="TC5" s="608" t="str">
        <f t="shared" ref="TC5" ca="1" si="514">IF(WEEKDAY(TC$6)=2,TC6,"")</f>
        <v/>
      </c>
      <c r="TD5" s="608" t="str">
        <f t="shared" ref="TD5" ca="1" si="515">IF(WEEKDAY(TD$6)=2,TD6,"")</f>
        <v/>
      </c>
      <c r="TE5" s="608" t="str">
        <f t="shared" ref="TE5" ca="1" si="516">IF(WEEKDAY(TE$6)=2,TE6,"")</f>
        <v/>
      </c>
      <c r="TF5" s="608" t="str">
        <f t="shared" ref="TF5" ca="1" si="517">IF(WEEKDAY(TF$6)=2,TF6,"")</f>
        <v/>
      </c>
      <c r="TG5" s="608" t="str">
        <f t="shared" ref="TG5" ca="1" si="518">IF(WEEKDAY(TG$6)=2,TG6,"")</f>
        <v/>
      </c>
      <c r="TH5" s="608">
        <f t="shared" ref="TH5" ca="1" si="519">IF(WEEKDAY(TH$6)=2,TH6,"")</f>
        <v>42002</v>
      </c>
      <c r="TI5" s="608" t="str">
        <f t="shared" ref="TI5" ca="1" si="520">IF(WEEKDAY(TI$6)=2,TI6,"")</f>
        <v/>
      </c>
      <c r="TJ5" s="608" t="str">
        <f t="shared" ref="TJ5" ca="1" si="521">IF(WEEKDAY(TJ$6)=2,TJ6,"")</f>
        <v/>
      </c>
      <c r="TK5" s="608" t="str">
        <f t="shared" ref="TK5" ca="1" si="522">IF(WEEKDAY(TK$6)=2,TK6,"")</f>
        <v/>
      </c>
      <c r="TL5" s="608" t="str">
        <f t="shared" ref="TL5" ca="1" si="523">IF(WEEKDAY(TL$6)=2,TL6,"")</f>
        <v/>
      </c>
      <c r="TM5" s="608" t="str">
        <f t="shared" ref="TM5" ca="1" si="524">IF(WEEKDAY(TM$6)=2,TM6,"")</f>
        <v/>
      </c>
      <c r="TN5" s="608" t="str">
        <f t="shared" ref="TN5" ca="1" si="525">IF(WEEKDAY(TN$6)=2,TN6,"")</f>
        <v/>
      </c>
      <c r="TO5" s="608">
        <f t="shared" ref="TO5" ca="1" si="526">IF(WEEKDAY(TO$6)=2,TO6,"")</f>
        <v>42009</v>
      </c>
      <c r="TP5" s="608" t="str">
        <f t="shared" ref="TP5" ca="1" si="527">IF(WEEKDAY(TP$6)=2,TP6,"")</f>
        <v/>
      </c>
      <c r="TQ5" s="608" t="str">
        <f t="shared" ref="TQ5" ca="1" si="528">IF(WEEKDAY(TQ$6)=2,TQ6,"")</f>
        <v/>
      </c>
      <c r="TR5" s="608" t="str">
        <f t="shared" ref="TR5" ca="1" si="529">IF(WEEKDAY(TR$6)=2,TR6,"")</f>
        <v/>
      </c>
      <c r="TS5" s="608" t="str">
        <f t="shared" ref="TS5" ca="1" si="530">IF(WEEKDAY(TS$6)=2,TS6,"")</f>
        <v/>
      </c>
      <c r="TT5" s="608" t="str">
        <f t="shared" ref="TT5" ca="1" si="531">IF(WEEKDAY(TT$6)=2,TT6,"")</f>
        <v/>
      </c>
      <c r="TU5" s="608" t="str">
        <f t="shared" ref="TU5" ca="1" si="532">IF(WEEKDAY(TU$6)=2,TU6,"")</f>
        <v/>
      </c>
      <c r="TV5" s="608">
        <f t="shared" ref="TV5" ca="1" si="533">IF(WEEKDAY(TV$6)=2,TV6,"")</f>
        <v>42016</v>
      </c>
      <c r="TW5" s="608" t="str">
        <f t="shared" ref="TW5" ca="1" si="534">IF(WEEKDAY(TW$6)=2,TW6,"")</f>
        <v/>
      </c>
      <c r="TX5" s="608" t="str">
        <f t="shared" ref="TX5" ca="1" si="535">IF(WEEKDAY(TX$6)=2,TX6,"")</f>
        <v/>
      </c>
      <c r="TY5" s="608" t="str">
        <f t="shared" ref="TY5" ca="1" si="536">IF(WEEKDAY(TY$6)=2,TY6,"")</f>
        <v/>
      </c>
      <c r="TZ5" s="608" t="str">
        <f t="shared" ref="TZ5" ca="1" si="537">IF(WEEKDAY(TZ$6)=2,TZ6,"")</f>
        <v/>
      </c>
      <c r="UA5" s="608" t="str">
        <f t="shared" ref="UA5" ca="1" si="538">IF(WEEKDAY(UA$6)=2,UA6,"")</f>
        <v/>
      </c>
      <c r="UB5" s="608" t="str">
        <f t="shared" ref="UB5" ca="1" si="539">IF(WEEKDAY(UB$6)=2,UB6,"")</f>
        <v/>
      </c>
      <c r="UC5" s="608">
        <f t="shared" ref="UC5" ca="1" si="540">IF(WEEKDAY(UC$6)=2,UC6,"")</f>
        <v>42023</v>
      </c>
      <c r="UD5" s="608" t="str">
        <f t="shared" ref="UD5" ca="1" si="541">IF(WEEKDAY(UD$6)=2,UD6,"")</f>
        <v/>
      </c>
      <c r="UE5" s="608" t="str">
        <f t="shared" ref="UE5" ca="1" si="542">IF(WEEKDAY(UE$6)=2,UE6,"")</f>
        <v/>
      </c>
      <c r="UF5" s="608" t="str">
        <f t="shared" ref="UF5" ca="1" si="543">IF(WEEKDAY(UF$6)=2,UF6,"")</f>
        <v/>
      </c>
      <c r="UG5" s="608" t="str">
        <f t="shared" ref="UG5" ca="1" si="544">IF(WEEKDAY(UG$6)=2,UG6,"")</f>
        <v/>
      </c>
      <c r="UH5" s="608" t="str">
        <f t="shared" ref="UH5" ca="1" si="545">IF(WEEKDAY(UH$6)=2,UH6,"")</f>
        <v/>
      </c>
      <c r="UI5" s="608" t="str">
        <f t="shared" ref="UI5" ca="1" si="546">IF(WEEKDAY(UI$6)=2,UI6,"")</f>
        <v/>
      </c>
      <c r="UJ5" s="608">
        <f t="shared" ref="UJ5" ca="1" si="547">IF(WEEKDAY(UJ$6)=2,UJ6,"")</f>
        <v>42030</v>
      </c>
      <c r="UK5" s="608" t="str">
        <f t="shared" ref="UK5" ca="1" si="548">IF(WEEKDAY(UK$6)=2,UK6,"")</f>
        <v/>
      </c>
      <c r="UL5" s="608" t="str">
        <f t="shared" ref="UL5" ca="1" si="549">IF(WEEKDAY(UL$6)=2,UL6,"")</f>
        <v/>
      </c>
      <c r="UM5" s="608" t="str">
        <f t="shared" ref="UM5" ca="1" si="550">IF(WEEKDAY(UM$6)=2,UM6,"")</f>
        <v/>
      </c>
      <c r="UN5" s="608" t="str">
        <f t="shared" ref="UN5" ca="1" si="551">IF(WEEKDAY(UN$6)=2,UN6,"")</f>
        <v/>
      </c>
      <c r="UO5" s="608" t="str">
        <f t="shared" ref="UO5" ca="1" si="552">IF(WEEKDAY(UO$6)=2,UO6,"")</f>
        <v/>
      </c>
      <c r="UP5" s="608" t="str">
        <f t="shared" ref="UP5" ca="1" si="553">IF(WEEKDAY(UP$6)=2,UP6,"")</f>
        <v/>
      </c>
      <c r="UQ5" s="608">
        <f t="shared" ref="UQ5" ca="1" si="554">IF(WEEKDAY(UQ$6)=2,UQ6,"")</f>
        <v>42037</v>
      </c>
      <c r="UR5" s="608" t="str">
        <f t="shared" ref="UR5" ca="1" si="555">IF(WEEKDAY(UR$6)=2,UR6,"")</f>
        <v/>
      </c>
      <c r="US5" s="608" t="str">
        <f t="shared" ref="US5" ca="1" si="556">IF(WEEKDAY(US$6)=2,US6,"")</f>
        <v/>
      </c>
      <c r="UT5" s="608" t="str">
        <f t="shared" ref="UT5" ca="1" si="557">IF(WEEKDAY(UT$6)=2,UT6,"")</f>
        <v/>
      </c>
      <c r="UU5" s="608" t="str">
        <f t="shared" ref="UU5" ca="1" si="558">IF(WEEKDAY(UU$6)=2,UU6,"")</f>
        <v/>
      </c>
      <c r="UV5" s="608" t="str">
        <f t="shared" ref="UV5" ca="1" si="559">IF(WEEKDAY(UV$6)=2,UV6,"")</f>
        <v/>
      </c>
      <c r="UW5" s="608" t="str">
        <f t="shared" ref="UW5" ca="1" si="560">IF(WEEKDAY(UW$6)=2,UW6,"")</f>
        <v/>
      </c>
      <c r="UX5" s="608">
        <f t="shared" ref="UX5" ca="1" si="561">IF(WEEKDAY(UX$6)=2,UX6,"")</f>
        <v>42044</v>
      </c>
      <c r="UY5" s="608" t="str">
        <f t="shared" ref="UY5" ca="1" si="562">IF(WEEKDAY(UY$6)=2,UY6,"")</f>
        <v/>
      </c>
      <c r="UZ5" s="608" t="str">
        <f t="shared" ref="UZ5" ca="1" si="563">IF(WEEKDAY(UZ$6)=2,UZ6,"")</f>
        <v/>
      </c>
      <c r="VA5" s="608" t="str">
        <f t="shared" ref="VA5" ca="1" si="564">IF(WEEKDAY(VA$6)=2,VA6,"")</f>
        <v/>
      </c>
      <c r="VB5" s="608" t="str">
        <f t="shared" ref="VB5" ca="1" si="565">IF(WEEKDAY(VB$6)=2,VB6,"")</f>
        <v/>
      </c>
      <c r="VC5" s="608" t="str">
        <f t="shared" ref="VC5" ca="1" si="566">IF(WEEKDAY(VC$6)=2,VC6,"")</f>
        <v/>
      </c>
      <c r="VD5" s="608" t="str">
        <f t="shared" ref="VD5" ca="1" si="567">IF(WEEKDAY(VD$6)=2,VD6,"")</f>
        <v/>
      </c>
      <c r="VE5" s="608">
        <f t="shared" ref="VE5" ca="1" si="568">IF(WEEKDAY(VE$6)=2,VE6,"")</f>
        <v>42051</v>
      </c>
      <c r="VF5" s="608" t="str">
        <f t="shared" ref="VF5" ca="1" si="569">IF(WEEKDAY(VF$6)=2,VF6,"")</f>
        <v/>
      </c>
      <c r="VG5" s="608" t="str">
        <f t="shared" ref="VG5" ca="1" si="570">IF(WEEKDAY(VG$6)=2,VG6,"")</f>
        <v/>
      </c>
      <c r="VH5" s="608" t="str">
        <f t="shared" ref="VH5" ca="1" si="571">IF(WEEKDAY(VH$6)=2,VH6,"")</f>
        <v/>
      </c>
      <c r="VI5" s="608" t="str">
        <f t="shared" ref="VI5" ca="1" si="572">IF(WEEKDAY(VI$6)=2,VI6,"")</f>
        <v/>
      </c>
      <c r="VJ5" s="608" t="str">
        <f t="shared" ref="VJ5" ca="1" si="573">IF(WEEKDAY(VJ$6)=2,VJ6,"")</f>
        <v/>
      </c>
      <c r="VK5" s="608" t="str">
        <f t="shared" ref="VK5" ca="1" si="574">IF(WEEKDAY(VK$6)=2,VK6,"")</f>
        <v/>
      </c>
      <c r="VL5" s="608">
        <f t="shared" ref="VL5" ca="1" si="575">IF(WEEKDAY(VL$6)=2,VL6,"")</f>
        <v>42058</v>
      </c>
      <c r="VM5" s="608" t="str">
        <f t="shared" ref="VM5" ca="1" si="576">IF(WEEKDAY(VM$6)=2,VM6,"")</f>
        <v/>
      </c>
      <c r="VN5" s="608" t="str">
        <f t="shared" ref="VN5" ca="1" si="577">IF(WEEKDAY(VN$6)=2,VN6,"")</f>
        <v/>
      </c>
      <c r="VO5" s="608" t="str">
        <f t="shared" ref="VO5" ca="1" si="578">IF(WEEKDAY(VO$6)=2,VO6,"")</f>
        <v/>
      </c>
      <c r="VP5" s="608" t="str">
        <f t="shared" ref="VP5" ca="1" si="579">IF(WEEKDAY(VP$6)=2,VP6,"")</f>
        <v/>
      </c>
      <c r="VQ5" s="608" t="str">
        <f t="shared" ref="VQ5" ca="1" si="580">IF(WEEKDAY(VQ$6)=2,VQ6,"")</f>
        <v/>
      </c>
      <c r="VR5" s="608" t="str">
        <f t="shared" ref="VR5" ca="1" si="581">IF(WEEKDAY(VR$6)=2,VR6,"")</f>
        <v/>
      </c>
      <c r="VS5" s="608">
        <f t="shared" ref="VS5" ca="1" si="582">IF(WEEKDAY(VS$6)=2,VS6,"")</f>
        <v>42065</v>
      </c>
      <c r="VT5" s="608" t="str">
        <f t="shared" ref="VT5" ca="1" si="583">IF(WEEKDAY(VT$6)=2,VT6,"")</f>
        <v/>
      </c>
      <c r="VU5" s="608" t="str">
        <f t="shared" ref="VU5" ca="1" si="584">IF(WEEKDAY(VU$6)=2,VU6,"")</f>
        <v/>
      </c>
      <c r="VV5" s="608" t="str">
        <f t="shared" ref="VV5" ca="1" si="585">IF(WEEKDAY(VV$6)=2,VV6,"")</f>
        <v/>
      </c>
      <c r="VW5" s="608" t="str">
        <f t="shared" ref="VW5" ca="1" si="586">IF(WEEKDAY(VW$6)=2,VW6,"")</f>
        <v/>
      </c>
      <c r="VX5" s="608" t="str">
        <f t="shared" ref="VX5" ca="1" si="587">IF(WEEKDAY(VX$6)=2,VX6,"")</f>
        <v/>
      </c>
      <c r="VY5" s="608" t="str">
        <f t="shared" ref="VY5" ca="1" si="588">IF(WEEKDAY(VY$6)=2,VY6,"")</f>
        <v/>
      </c>
      <c r="VZ5" s="608">
        <f t="shared" ref="VZ5" ca="1" si="589">IF(WEEKDAY(VZ$6)=2,VZ6,"")</f>
        <v>42072</v>
      </c>
      <c r="WA5" s="608" t="str">
        <f t="shared" ref="WA5" ca="1" si="590">IF(WEEKDAY(WA$6)=2,WA6,"")</f>
        <v/>
      </c>
      <c r="WB5" s="608" t="str">
        <f t="shared" ref="WB5" ca="1" si="591">IF(WEEKDAY(WB$6)=2,WB6,"")</f>
        <v/>
      </c>
      <c r="WC5" s="608" t="str">
        <f t="shared" ref="WC5" ca="1" si="592">IF(WEEKDAY(WC$6)=2,WC6,"")</f>
        <v/>
      </c>
      <c r="WD5" s="608" t="str">
        <f t="shared" ref="WD5" ca="1" si="593">IF(WEEKDAY(WD$6)=2,WD6,"")</f>
        <v/>
      </c>
      <c r="WE5" s="608" t="str">
        <f t="shared" ref="WE5" ca="1" si="594">IF(WEEKDAY(WE$6)=2,WE6,"")</f>
        <v/>
      </c>
      <c r="WF5" s="608" t="str">
        <f t="shared" ref="WF5" ca="1" si="595">IF(WEEKDAY(WF$6)=2,WF6,"")</f>
        <v/>
      </c>
      <c r="WG5" s="608">
        <f t="shared" ref="WG5" ca="1" si="596">IF(WEEKDAY(WG$6)=2,WG6,"")</f>
        <v>42079</v>
      </c>
      <c r="WH5" s="608" t="str">
        <f t="shared" ref="WH5" ca="1" si="597">IF(WEEKDAY(WH$6)=2,WH6,"")</f>
        <v/>
      </c>
      <c r="WI5" s="608" t="str">
        <f t="shared" ref="WI5" ca="1" si="598">IF(WEEKDAY(WI$6)=2,WI6,"")</f>
        <v/>
      </c>
      <c r="WJ5" s="608" t="str">
        <f t="shared" ref="WJ5" ca="1" si="599">IF(WEEKDAY(WJ$6)=2,WJ6,"")</f>
        <v/>
      </c>
      <c r="WK5" s="608" t="str">
        <f t="shared" ref="WK5" ca="1" si="600">IF(WEEKDAY(WK$6)=2,WK6,"")</f>
        <v/>
      </c>
      <c r="WL5" s="608" t="str">
        <f t="shared" ref="WL5" ca="1" si="601">IF(WEEKDAY(WL$6)=2,WL6,"")</f>
        <v/>
      </c>
      <c r="WM5" s="608" t="str">
        <f t="shared" ref="WM5" ca="1" si="602">IF(WEEKDAY(WM$6)=2,WM6,"")</f>
        <v/>
      </c>
      <c r="WN5" s="608">
        <f t="shared" ref="WN5" ca="1" si="603">IF(WEEKDAY(WN$6)=2,WN6,"")</f>
        <v>42086</v>
      </c>
      <c r="WO5" s="608" t="str">
        <f t="shared" ref="WO5" ca="1" si="604">IF(WEEKDAY(WO$6)=2,WO6,"")</f>
        <v/>
      </c>
      <c r="WP5" s="608" t="str">
        <f t="shared" ref="WP5" ca="1" si="605">IF(WEEKDAY(WP$6)=2,WP6,"")</f>
        <v/>
      </c>
      <c r="WQ5" s="608" t="str">
        <f t="shared" ref="WQ5" ca="1" si="606">IF(WEEKDAY(WQ$6)=2,WQ6,"")</f>
        <v/>
      </c>
      <c r="WR5" s="608" t="str">
        <f t="shared" ref="WR5" ca="1" si="607">IF(WEEKDAY(WR$6)=2,WR6,"")</f>
        <v/>
      </c>
      <c r="WS5" s="608" t="str">
        <f t="shared" ref="WS5" ca="1" si="608">IF(WEEKDAY(WS$6)=2,WS6,"")</f>
        <v/>
      </c>
      <c r="WT5" s="608" t="str">
        <f t="shared" ref="WT5" ca="1" si="609">IF(WEEKDAY(WT$6)=2,WT6,"")</f>
        <v/>
      </c>
      <c r="WU5" s="608">
        <f t="shared" ref="WU5" ca="1" si="610">IF(WEEKDAY(WU$6)=2,WU6,"")</f>
        <v>42093</v>
      </c>
      <c r="WV5" s="608" t="str">
        <f t="shared" ref="WV5" ca="1" si="611">IF(WEEKDAY(WV$6)=2,WV6,"")</f>
        <v/>
      </c>
      <c r="WW5" s="608" t="str">
        <f t="shared" ref="WW5" ca="1" si="612">IF(WEEKDAY(WW$6)=2,WW6,"")</f>
        <v/>
      </c>
      <c r="WX5" s="608" t="str">
        <f t="shared" ref="WX5" ca="1" si="613">IF(WEEKDAY(WX$6)=2,WX6,"")</f>
        <v/>
      </c>
      <c r="WY5" s="608" t="str">
        <f t="shared" ref="WY5" ca="1" si="614">IF(WEEKDAY(WY$6)=2,WY6,"")</f>
        <v/>
      </c>
      <c r="WZ5" s="608" t="str">
        <f t="shared" ref="WZ5" ca="1" si="615">IF(WEEKDAY(WZ$6)=2,WZ6,"")</f>
        <v/>
      </c>
      <c r="XA5" s="608" t="str">
        <f t="shared" ref="XA5" ca="1" si="616">IF(WEEKDAY(XA$6)=2,XA6,"")</f>
        <v/>
      </c>
      <c r="XB5" s="608">
        <f t="shared" ref="XB5" ca="1" si="617">IF(WEEKDAY(XB$6)=2,XB6,"")</f>
        <v>42100</v>
      </c>
      <c r="XC5" s="608" t="str">
        <f t="shared" ref="XC5" ca="1" si="618">IF(WEEKDAY(XC$6)=2,XC6,"")</f>
        <v/>
      </c>
      <c r="XD5" s="608" t="str">
        <f t="shared" ref="XD5" ca="1" si="619">IF(WEEKDAY(XD$6)=2,XD6,"")</f>
        <v/>
      </c>
      <c r="XE5" s="608" t="str">
        <f t="shared" ref="XE5" ca="1" si="620">IF(WEEKDAY(XE$6)=2,XE6,"")</f>
        <v/>
      </c>
      <c r="XF5" s="608" t="str">
        <f t="shared" ref="XF5" ca="1" si="621">IF(WEEKDAY(XF$6)=2,XF6,"")</f>
        <v/>
      </c>
      <c r="XG5" s="608" t="str">
        <f t="shared" ref="XG5" ca="1" si="622">IF(WEEKDAY(XG$6)=2,XG6,"")</f>
        <v/>
      </c>
      <c r="XH5" s="608" t="str">
        <f t="shared" ref="XH5" ca="1" si="623">IF(WEEKDAY(XH$6)=2,XH6,"")</f>
        <v/>
      </c>
      <c r="XI5" s="608">
        <f t="shared" ref="XI5" ca="1" si="624">IF(WEEKDAY(XI$6)=2,XI6,"")</f>
        <v>42107</v>
      </c>
      <c r="XJ5" s="608" t="str">
        <f t="shared" ref="XJ5" ca="1" si="625">IF(WEEKDAY(XJ$6)=2,XJ6,"")</f>
        <v/>
      </c>
      <c r="XK5" s="608" t="str">
        <f t="shared" ref="XK5" ca="1" si="626">IF(WEEKDAY(XK$6)=2,XK6,"")</f>
        <v/>
      </c>
      <c r="XL5" s="608" t="str">
        <f t="shared" ref="XL5" ca="1" si="627">IF(WEEKDAY(XL$6)=2,XL6,"")</f>
        <v/>
      </c>
      <c r="XM5" s="608" t="str">
        <f t="shared" ref="XM5" ca="1" si="628">IF(WEEKDAY(XM$6)=2,XM6,"")</f>
        <v/>
      </c>
      <c r="XN5" s="608" t="str">
        <f t="shared" ref="XN5" ca="1" si="629">IF(WEEKDAY(XN$6)=2,XN6,"")</f>
        <v/>
      </c>
      <c r="XO5" s="608" t="str">
        <f t="shared" ref="XO5" ca="1" si="630">IF(WEEKDAY(XO$6)=2,XO6,"")</f>
        <v/>
      </c>
      <c r="XP5" s="608">
        <f t="shared" ref="XP5" ca="1" si="631">IF(WEEKDAY(XP$6)=2,XP6,"")</f>
        <v>42114</v>
      </c>
      <c r="XQ5" s="608" t="str">
        <f t="shared" ref="XQ5" ca="1" si="632">IF(WEEKDAY(XQ$6)=2,XQ6,"")</f>
        <v/>
      </c>
      <c r="XR5" s="608" t="str">
        <f t="shared" ref="XR5" ca="1" si="633">IF(WEEKDAY(XR$6)=2,XR6,"")</f>
        <v/>
      </c>
      <c r="XS5" s="608" t="str">
        <f t="shared" ref="XS5" ca="1" si="634">IF(WEEKDAY(XS$6)=2,XS6,"")</f>
        <v/>
      </c>
      <c r="XT5" s="608" t="str">
        <f t="shared" ref="XT5" ca="1" si="635">IF(WEEKDAY(XT$6)=2,XT6,"")</f>
        <v/>
      </c>
      <c r="XU5" s="608" t="str">
        <f t="shared" ref="XU5" ca="1" si="636">IF(WEEKDAY(XU$6)=2,XU6,"")</f>
        <v/>
      </c>
      <c r="XV5" s="608" t="str">
        <f t="shared" ref="XV5" ca="1" si="637">IF(WEEKDAY(XV$6)=2,XV6,"")</f>
        <v/>
      </c>
      <c r="XW5" s="608">
        <f t="shared" ref="XW5" ca="1" si="638">IF(WEEKDAY(XW$6)=2,XW6,"")</f>
        <v>42121</v>
      </c>
      <c r="XX5" s="608" t="str">
        <f t="shared" ref="XX5" ca="1" si="639">IF(WEEKDAY(XX$6)=2,XX6,"")</f>
        <v/>
      </c>
      <c r="XY5" s="608" t="str">
        <f t="shared" ref="XY5" ca="1" si="640">IF(WEEKDAY(XY$6)=2,XY6,"")</f>
        <v/>
      </c>
      <c r="XZ5" s="608" t="str">
        <f t="shared" ref="XZ5" ca="1" si="641">IF(WEEKDAY(XZ$6)=2,XZ6,"")</f>
        <v/>
      </c>
      <c r="YA5" s="608" t="str">
        <f t="shared" ref="YA5" ca="1" si="642">IF(WEEKDAY(YA$6)=2,YA6,"")</f>
        <v/>
      </c>
      <c r="YB5" s="608" t="str">
        <f t="shared" ref="YB5" ca="1" si="643">IF(WEEKDAY(YB$6)=2,YB6,"")</f>
        <v/>
      </c>
      <c r="YC5" s="608" t="str">
        <f t="shared" ref="YC5" ca="1" si="644">IF(WEEKDAY(YC$6)=2,YC6,"")</f>
        <v/>
      </c>
      <c r="YD5" s="608">
        <f t="shared" ref="YD5" ca="1" si="645">IF(WEEKDAY(YD$6)=2,YD6,"")</f>
        <v>42128</v>
      </c>
      <c r="YE5" s="608" t="str">
        <f t="shared" ref="YE5" ca="1" si="646">IF(WEEKDAY(YE$6)=2,YE6,"")</f>
        <v/>
      </c>
      <c r="YF5" s="608" t="str">
        <f t="shared" ref="YF5" ca="1" si="647">IF(WEEKDAY(YF$6)=2,YF6,"")</f>
        <v/>
      </c>
      <c r="YG5" s="608" t="str">
        <f t="shared" ref="YG5" ca="1" si="648">IF(WEEKDAY(YG$6)=2,YG6,"")</f>
        <v/>
      </c>
      <c r="YH5" s="608" t="str">
        <f t="shared" ref="YH5" ca="1" si="649">IF(WEEKDAY(YH$6)=2,YH6,"")</f>
        <v/>
      </c>
      <c r="YI5" s="608" t="str">
        <f t="shared" ref="YI5" ca="1" si="650">IF(WEEKDAY(YI$6)=2,YI6,"")</f>
        <v/>
      </c>
      <c r="YJ5" s="608" t="str">
        <f t="shared" ref="YJ5" ca="1" si="651">IF(WEEKDAY(YJ$6)=2,YJ6,"")</f>
        <v/>
      </c>
      <c r="YK5" s="608">
        <f t="shared" ref="YK5" ca="1" si="652">IF(WEEKDAY(YK$6)=2,YK6,"")</f>
        <v>42135</v>
      </c>
      <c r="YL5" s="608" t="str">
        <f t="shared" ref="YL5" ca="1" si="653">IF(WEEKDAY(YL$6)=2,YL6,"")</f>
        <v/>
      </c>
      <c r="YM5" s="608" t="str">
        <f t="shared" ref="YM5" ca="1" si="654">IF(WEEKDAY(YM$6)=2,YM6,"")</f>
        <v/>
      </c>
      <c r="YN5" s="608" t="str">
        <f t="shared" ref="YN5" ca="1" si="655">IF(WEEKDAY(YN$6)=2,YN6,"")</f>
        <v/>
      </c>
      <c r="YO5" s="608" t="str">
        <f t="shared" ref="YO5" ca="1" si="656">IF(WEEKDAY(YO$6)=2,YO6,"")</f>
        <v/>
      </c>
      <c r="YP5" s="608" t="str">
        <f t="shared" ref="YP5" ca="1" si="657">IF(WEEKDAY(YP$6)=2,YP6,"")</f>
        <v/>
      </c>
      <c r="YQ5" s="608" t="str">
        <f t="shared" ref="YQ5" ca="1" si="658">IF(WEEKDAY(YQ$6)=2,YQ6,"")</f>
        <v/>
      </c>
      <c r="YR5" s="608">
        <f t="shared" ref="YR5" ca="1" si="659">IF(WEEKDAY(YR$6)=2,YR6,"")</f>
        <v>42142</v>
      </c>
      <c r="YS5" s="608" t="str">
        <f t="shared" ref="YS5" ca="1" si="660">IF(WEEKDAY(YS$6)=2,YS6,"")</f>
        <v/>
      </c>
      <c r="YT5" s="608" t="str">
        <f t="shared" ref="YT5" ca="1" si="661">IF(WEEKDAY(YT$6)=2,YT6,"")</f>
        <v/>
      </c>
      <c r="YU5" s="608" t="str">
        <f t="shared" ref="YU5" ca="1" si="662">IF(WEEKDAY(YU$6)=2,YU6,"")</f>
        <v/>
      </c>
      <c r="YV5" s="608" t="str">
        <f t="shared" ref="YV5" ca="1" si="663">IF(WEEKDAY(YV$6)=2,YV6,"")</f>
        <v/>
      </c>
      <c r="YW5" s="608" t="str">
        <f t="shared" ref="YW5" ca="1" si="664">IF(WEEKDAY(YW$6)=2,YW6,"")</f>
        <v/>
      </c>
      <c r="YX5" s="608" t="str">
        <f t="shared" ref="YX5" ca="1" si="665">IF(WEEKDAY(YX$6)=2,YX6,"")</f>
        <v/>
      </c>
      <c r="YY5" s="608">
        <f t="shared" ref="YY5" ca="1" si="666">IF(WEEKDAY(YY$6)=2,YY6,"")</f>
        <v>42149</v>
      </c>
      <c r="YZ5" s="608" t="str">
        <f t="shared" ref="YZ5" ca="1" si="667">IF(WEEKDAY(YZ$6)=2,YZ6,"")</f>
        <v/>
      </c>
      <c r="ZA5" s="608" t="str">
        <f t="shared" ref="ZA5" ca="1" si="668">IF(WEEKDAY(ZA$6)=2,ZA6,"")</f>
        <v/>
      </c>
      <c r="ZB5" s="608" t="str">
        <f t="shared" ref="ZB5" ca="1" si="669">IF(WEEKDAY(ZB$6)=2,ZB6,"")</f>
        <v/>
      </c>
      <c r="ZC5" s="608" t="str">
        <f t="shared" ref="ZC5" ca="1" si="670">IF(WEEKDAY(ZC$6)=2,ZC6,"")</f>
        <v/>
      </c>
      <c r="ZD5" s="608" t="str">
        <f t="shared" ref="ZD5" ca="1" si="671">IF(WEEKDAY(ZD$6)=2,ZD6,"")</f>
        <v/>
      </c>
      <c r="ZE5" s="608" t="str">
        <f t="shared" ref="ZE5" ca="1" si="672">IF(WEEKDAY(ZE$6)=2,ZE6,"")</f>
        <v/>
      </c>
      <c r="ZF5" s="608">
        <f t="shared" ref="ZF5" ca="1" si="673">IF(WEEKDAY(ZF$6)=2,ZF6,"")</f>
        <v>42156</v>
      </c>
      <c r="ZG5" s="608" t="str">
        <f t="shared" ref="ZG5" ca="1" si="674">IF(WEEKDAY(ZG$6)=2,ZG6,"")</f>
        <v/>
      </c>
      <c r="ZH5" s="608" t="str">
        <f t="shared" ref="ZH5" ca="1" si="675">IF(WEEKDAY(ZH$6)=2,ZH6,"")</f>
        <v/>
      </c>
      <c r="ZI5" s="608" t="str">
        <f t="shared" ref="ZI5" ca="1" si="676">IF(WEEKDAY(ZI$6)=2,ZI6,"")</f>
        <v/>
      </c>
      <c r="ZJ5" s="608" t="str">
        <f t="shared" ref="ZJ5" ca="1" si="677">IF(WEEKDAY(ZJ$6)=2,ZJ6,"")</f>
        <v/>
      </c>
      <c r="ZK5" s="608" t="str">
        <f t="shared" ref="ZK5" ca="1" si="678">IF(WEEKDAY(ZK$6)=2,ZK6,"")</f>
        <v/>
      </c>
      <c r="ZL5" s="608" t="str">
        <f t="shared" ref="ZL5" ca="1" si="679">IF(WEEKDAY(ZL$6)=2,ZL6,"")</f>
        <v/>
      </c>
      <c r="ZM5" s="608">
        <f t="shared" ref="ZM5" ca="1" si="680">IF(WEEKDAY(ZM$6)=2,ZM6,"")</f>
        <v>42163</v>
      </c>
      <c r="ZN5" s="608" t="str">
        <f t="shared" ref="ZN5" ca="1" si="681">IF(WEEKDAY(ZN$6)=2,ZN6,"")</f>
        <v/>
      </c>
      <c r="ZO5" s="608" t="str">
        <f t="shared" ref="ZO5" ca="1" si="682">IF(WEEKDAY(ZO$6)=2,ZO6,"")</f>
        <v/>
      </c>
      <c r="ZP5" s="608" t="str">
        <f t="shared" ref="ZP5" ca="1" si="683">IF(WEEKDAY(ZP$6)=2,ZP6,"")</f>
        <v/>
      </c>
      <c r="ZQ5" s="608" t="str">
        <f t="shared" ref="ZQ5" ca="1" si="684">IF(WEEKDAY(ZQ$6)=2,ZQ6,"")</f>
        <v/>
      </c>
      <c r="ZR5" s="608" t="str">
        <f t="shared" ref="ZR5" ca="1" si="685">IF(WEEKDAY(ZR$6)=2,ZR6,"")</f>
        <v/>
      </c>
      <c r="ZS5" s="608" t="str">
        <f t="shared" ref="ZS5" ca="1" si="686">IF(WEEKDAY(ZS$6)=2,ZS6,"")</f>
        <v/>
      </c>
      <c r="ZT5" s="608">
        <f t="shared" ref="ZT5" ca="1" si="687">IF(WEEKDAY(ZT$6)=2,ZT6,"")</f>
        <v>42170</v>
      </c>
      <c r="ZU5" s="608" t="str">
        <f t="shared" ref="ZU5" ca="1" si="688">IF(WEEKDAY(ZU$6)=2,ZU6,"")</f>
        <v/>
      </c>
      <c r="ZV5" s="608" t="str">
        <f t="shared" ref="ZV5" ca="1" si="689">IF(WEEKDAY(ZV$6)=2,ZV6,"")</f>
        <v/>
      </c>
      <c r="ZW5" s="608" t="str">
        <f t="shared" ref="ZW5" ca="1" si="690">IF(WEEKDAY(ZW$6)=2,ZW6,"")</f>
        <v/>
      </c>
      <c r="ZX5" s="608" t="str">
        <f t="shared" ref="ZX5" ca="1" si="691">IF(WEEKDAY(ZX$6)=2,ZX6,"")</f>
        <v/>
      </c>
      <c r="ZY5" s="608" t="str">
        <f t="shared" ref="ZY5" ca="1" si="692">IF(WEEKDAY(ZY$6)=2,ZY6,"")</f>
        <v/>
      </c>
      <c r="ZZ5" s="608" t="str">
        <f t="shared" ref="ZZ5" ca="1" si="693">IF(WEEKDAY(ZZ$6)=2,ZZ6,"")</f>
        <v/>
      </c>
      <c r="AAA5" s="587"/>
      <c r="AAB5"/>
      <c r="AAC5"/>
      <c r="AAD5" s="112"/>
      <c r="AAE5" s="550" t="s">
        <v>27</v>
      </c>
      <c r="AAF5" s="582" t="s">
        <v>172</v>
      </c>
      <c r="AAG5" s="112"/>
      <c r="AAH5" s="112"/>
      <c r="AAI5" s="77"/>
      <c r="AAJ5" s="507"/>
      <c r="AAK5" s="507"/>
      <c r="AAL5" s="64" t="str">
        <f ca="1">"Next EQC Meeting  "&amp;TEXT(S.EQCMeetingNEXT,"mm/dd/yy")</f>
        <v>Next EQC Meeting  03/03/00</v>
      </c>
      <c r="AAM5" s="112"/>
      <c r="AAN5" s="325"/>
      <c r="AAU5" s="44"/>
      <c r="ABB5" s="23">
        <f>S.BANNER.OverviewStart+76</f>
        <v>41511</v>
      </c>
    </row>
    <row r="6" spans="1:745" s="23" customFormat="1" ht="20.25" customHeight="1">
      <c r="A6" s="557"/>
      <c r="B6" s="540"/>
      <c r="C6" s="541"/>
      <c r="D6" s="765" t="s">
        <v>0</v>
      </c>
      <c r="E6" s="765"/>
      <c r="F6" s="318">
        <f ca="1">NETWORKDAYS(TODAY(),H6)</f>
        <v>141</v>
      </c>
      <c r="G6" s="523">
        <v>41435</v>
      </c>
      <c r="H6" s="523">
        <f>AAH6</f>
        <v>41680</v>
      </c>
      <c r="I6" s="597"/>
      <c r="J6" s="609">
        <f ca="1">TODAY()+J3</f>
        <v>41484</v>
      </c>
      <c r="K6" s="609">
        <f ca="1">J$6+1</f>
        <v>41485</v>
      </c>
      <c r="L6" s="609">
        <f t="shared" ref="L6:BW6" ca="1" si="694">K$6+1</f>
        <v>41486</v>
      </c>
      <c r="M6" s="609">
        <f t="shared" ca="1" si="694"/>
        <v>41487</v>
      </c>
      <c r="N6" s="609">
        <f t="shared" ca="1" si="694"/>
        <v>41488</v>
      </c>
      <c r="O6" s="609">
        <f t="shared" ca="1" si="694"/>
        <v>41489</v>
      </c>
      <c r="P6" s="609">
        <f t="shared" ca="1" si="694"/>
        <v>41490</v>
      </c>
      <c r="Q6" s="609">
        <f t="shared" ca="1" si="694"/>
        <v>41491</v>
      </c>
      <c r="R6" s="609">
        <f t="shared" ca="1" si="694"/>
        <v>41492</v>
      </c>
      <c r="S6" s="609">
        <f t="shared" ca="1" si="694"/>
        <v>41493</v>
      </c>
      <c r="T6" s="609">
        <f t="shared" ca="1" si="694"/>
        <v>41494</v>
      </c>
      <c r="U6" s="609">
        <f t="shared" ca="1" si="694"/>
        <v>41495</v>
      </c>
      <c r="V6" s="609">
        <f t="shared" ca="1" si="694"/>
        <v>41496</v>
      </c>
      <c r="W6" s="609">
        <f t="shared" ca="1" si="694"/>
        <v>41497</v>
      </c>
      <c r="X6" s="609">
        <f t="shared" ca="1" si="694"/>
        <v>41498</v>
      </c>
      <c r="Y6" s="609">
        <f t="shared" ca="1" si="694"/>
        <v>41499</v>
      </c>
      <c r="Z6" s="609">
        <f t="shared" ca="1" si="694"/>
        <v>41500</v>
      </c>
      <c r="AA6" s="609">
        <f t="shared" ca="1" si="694"/>
        <v>41501</v>
      </c>
      <c r="AB6" s="609">
        <f t="shared" ca="1" si="694"/>
        <v>41502</v>
      </c>
      <c r="AC6" s="609">
        <f t="shared" ca="1" si="694"/>
        <v>41503</v>
      </c>
      <c r="AD6" s="609">
        <f t="shared" ca="1" si="694"/>
        <v>41504</v>
      </c>
      <c r="AE6" s="609">
        <f t="shared" ca="1" si="694"/>
        <v>41505</v>
      </c>
      <c r="AF6" s="609">
        <f t="shared" ca="1" si="694"/>
        <v>41506</v>
      </c>
      <c r="AG6" s="609">
        <f t="shared" ca="1" si="694"/>
        <v>41507</v>
      </c>
      <c r="AH6" s="609">
        <f t="shared" ca="1" si="694"/>
        <v>41508</v>
      </c>
      <c r="AI6" s="609">
        <f t="shared" ca="1" si="694"/>
        <v>41509</v>
      </c>
      <c r="AJ6" s="609">
        <f t="shared" ca="1" si="694"/>
        <v>41510</v>
      </c>
      <c r="AK6" s="609">
        <f t="shared" ca="1" si="694"/>
        <v>41511</v>
      </c>
      <c r="AL6" s="609">
        <f t="shared" ca="1" si="694"/>
        <v>41512</v>
      </c>
      <c r="AM6" s="609">
        <f t="shared" ca="1" si="694"/>
        <v>41513</v>
      </c>
      <c r="AN6" s="609">
        <f t="shared" ca="1" si="694"/>
        <v>41514</v>
      </c>
      <c r="AO6" s="609">
        <f t="shared" ca="1" si="694"/>
        <v>41515</v>
      </c>
      <c r="AP6" s="609">
        <f t="shared" ca="1" si="694"/>
        <v>41516</v>
      </c>
      <c r="AQ6" s="609">
        <f t="shared" ca="1" si="694"/>
        <v>41517</v>
      </c>
      <c r="AR6" s="609">
        <f t="shared" ca="1" si="694"/>
        <v>41518</v>
      </c>
      <c r="AS6" s="609">
        <f t="shared" ca="1" si="694"/>
        <v>41519</v>
      </c>
      <c r="AT6" s="609">
        <f t="shared" ca="1" si="694"/>
        <v>41520</v>
      </c>
      <c r="AU6" s="609">
        <f t="shared" ca="1" si="694"/>
        <v>41521</v>
      </c>
      <c r="AV6" s="609">
        <f t="shared" ca="1" si="694"/>
        <v>41522</v>
      </c>
      <c r="AW6" s="609">
        <f t="shared" ca="1" si="694"/>
        <v>41523</v>
      </c>
      <c r="AX6" s="609">
        <f t="shared" ca="1" si="694"/>
        <v>41524</v>
      </c>
      <c r="AY6" s="609">
        <f t="shared" ca="1" si="694"/>
        <v>41525</v>
      </c>
      <c r="AZ6" s="609">
        <f t="shared" ca="1" si="694"/>
        <v>41526</v>
      </c>
      <c r="BA6" s="609">
        <f t="shared" ca="1" si="694"/>
        <v>41527</v>
      </c>
      <c r="BB6" s="609">
        <f t="shared" ca="1" si="694"/>
        <v>41528</v>
      </c>
      <c r="BC6" s="609">
        <f t="shared" ca="1" si="694"/>
        <v>41529</v>
      </c>
      <c r="BD6" s="609">
        <f t="shared" ca="1" si="694"/>
        <v>41530</v>
      </c>
      <c r="BE6" s="609">
        <f t="shared" ca="1" si="694"/>
        <v>41531</v>
      </c>
      <c r="BF6" s="609">
        <f t="shared" ca="1" si="694"/>
        <v>41532</v>
      </c>
      <c r="BG6" s="609">
        <f t="shared" ca="1" si="694"/>
        <v>41533</v>
      </c>
      <c r="BH6" s="609">
        <f t="shared" ca="1" si="694"/>
        <v>41534</v>
      </c>
      <c r="BI6" s="609">
        <f t="shared" ca="1" si="694"/>
        <v>41535</v>
      </c>
      <c r="BJ6" s="609">
        <f t="shared" ca="1" si="694"/>
        <v>41536</v>
      </c>
      <c r="BK6" s="609">
        <f t="shared" ca="1" si="694"/>
        <v>41537</v>
      </c>
      <c r="BL6" s="609">
        <f t="shared" ca="1" si="694"/>
        <v>41538</v>
      </c>
      <c r="BM6" s="609">
        <f t="shared" ca="1" si="694"/>
        <v>41539</v>
      </c>
      <c r="BN6" s="609">
        <f t="shared" ca="1" si="694"/>
        <v>41540</v>
      </c>
      <c r="BO6" s="609">
        <f t="shared" ca="1" si="694"/>
        <v>41541</v>
      </c>
      <c r="BP6" s="609">
        <f t="shared" ca="1" si="694"/>
        <v>41542</v>
      </c>
      <c r="BQ6" s="609">
        <f t="shared" ca="1" si="694"/>
        <v>41543</v>
      </c>
      <c r="BR6" s="609">
        <f t="shared" ca="1" si="694"/>
        <v>41544</v>
      </c>
      <c r="BS6" s="609">
        <f t="shared" ca="1" si="694"/>
        <v>41545</v>
      </c>
      <c r="BT6" s="609">
        <f t="shared" ca="1" si="694"/>
        <v>41546</v>
      </c>
      <c r="BU6" s="609">
        <f t="shared" ca="1" si="694"/>
        <v>41547</v>
      </c>
      <c r="BV6" s="609">
        <f t="shared" ca="1" si="694"/>
        <v>41548</v>
      </c>
      <c r="BW6" s="609">
        <f t="shared" ca="1" si="694"/>
        <v>41549</v>
      </c>
      <c r="BX6" s="609">
        <f t="shared" ref="BX6:EI6" ca="1" si="695">BW$6+1</f>
        <v>41550</v>
      </c>
      <c r="BY6" s="609">
        <f t="shared" ca="1" si="695"/>
        <v>41551</v>
      </c>
      <c r="BZ6" s="609">
        <f t="shared" ca="1" si="695"/>
        <v>41552</v>
      </c>
      <c r="CA6" s="609">
        <f t="shared" ca="1" si="695"/>
        <v>41553</v>
      </c>
      <c r="CB6" s="609">
        <f t="shared" ca="1" si="695"/>
        <v>41554</v>
      </c>
      <c r="CC6" s="609">
        <f t="shared" ca="1" si="695"/>
        <v>41555</v>
      </c>
      <c r="CD6" s="609">
        <f t="shared" ca="1" si="695"/>
        <v>41556</v>
      </c>
      <c r="CE6" s="609">
        <f t="shared" ca="1" si="695"/>
        <v>41557</v>
      </c>
      <c r="CF6" s="609">
        <f t="shared" ca="1" si="695"/>
        <v>41558</v>
      </c>
      <c r="CG6" s="609">
        <f t="shared" ca="1" si="695"/>
        <v>41559</v>
      </c>
      <c r="CH6" s="609">
        <f t="shared" ca="1" si="695"/>
        <v>41560</v>
      </c>
      <c r="CI6" s="609">
        <f t="shared" ca="1" si="695"/>
        <v>41561</v>
      </c>
      <c r="CJ6" s="609">
        <f t="shared" ca="1" si="695"/>
        <v>41562</v>
      </c>
      <c r="CK6" s="609">
        <f t="shared" ca="1" si="695"/>
        <v>41563</v>
      </c>
      <c r="CL6" s="609">
        <f t="shared" ca="1" si="695"/>
        <v>41564</v>
      </c>
      <c r="CM6" s="609">
        <f t="shared" ca="1" si="695"/>
        <v>41565</v>
      </c>
      <c r="CN6" s="609">
        <f t="shared" ca="1" si="695"/>
        <v>41566</v>
      </c>
      <c r="CO6" s="609">
        <f t="shared" ca="1" si="695"/>
        <v>41567</v>
      </c>
      <c r="CP6" s="609">
        <f t="shared" ca="1" si="695"/>
        <v>41568</v>
      </c>
      <c r="CQ6" s="609">
        <f t="shared" ca="1" si="695"/>
        <v>41569</v>
      </c>
      <c r="CR6" s="609">
        <f t="shared" ca="1" si="695"/>
        <v>41570</v>
      </c>
      <c r="CS6" s="609">
        <f t="shared" ca="1" si="695"/>
        <v>41571</v>
      </c>
      <c r="CT6" s="609">
        <f t="shared" ca="1" si="695"/>
        <v>41572</v>
      </c>
      <c r="CU6" s="609">
        <f t="shared" ca="1" si="695"/>
        <v>41573</v>
      </c>
      <c r="CV6" s="609">
        <f t="shared" ca="1" si="695"/>
        <v>41574</v>
      </c>
      <c r="CW6" s="609">
        <f t="shared" ca="1" si="695"/>
        <v>41575</v>
      </c>
      <c r="CX6" s="609">
        <f t="shared" ca="1" si="695"/>
        <v>41576</v>
      </c>
      <c r="CY6" s="609">
        <f t="shared" ca="1" si="695"/>
        <v>41577</v>
      </c>
      <c r="CZ6" s="609">
        <f t="shared" ca="1" si="695"/>
        <v>41578</v>
      </c>
      <c r="DA6" s="609">
        <f t="shared" ca="1" si="695"/>
        <v>41579</v>
      </c>
      <c r="DB6" s="609">
        <f t="shared" ca="1" si="695"/>
        <v>41580</v>
      </c>
      <c r="DC6" s="609">
        <f t="shared" ca="1" si="695"/>
        <v>41581</v>
      </c>
      <c r="DD6" s="609">
        <f t="shared" ca="1" si="695"/>
        <v>41582</v>
      </c>
      <c r="DE6" s="609">
        <f t="shared" ca="1" si="695"/>
        <v>41583</v>
      </c>
      <c r="DF6" s="609">
        <f t="shared" ca="1" si="695"/>
        <v>41584</v>
      </c>
      <c r="DG6" s="609">
        <f t="shared" ca="1" si="695"/>
        <v>41585</v>
      </c>
      <c r="DH6" s="609">
        <f t="shared" ca="1" si="695"/>
        <v>41586</v>
      </c>
      <c r="DI6" s="609">
        <f t="shared" ca="1" si="695"/>
        <v>41587</v>
      </c>
      <c r="DJ6" s="609">
        <f t="shared" ca="1" si="695"/>
        <v>41588</v>
      </c>
      <c r="DK6" s="609">
        <f t="shared" ca="1" si="695"/>
        <v>41589</v>
      </c>
      <c r="DL6" s="609">
        <f t="shared" ca="1" si="695"/>
        <v>41590</v>
      </c>
      <c r="DM6" s="609">
        <f t="shared" ca="1" si="695"/>
        <v>41591</v>
      </c>
      <c r="DN6" s="609">
        <f t="shared" ca="1" si="695"/>
        <v>41592</v>
      </c>
      <c r="DO6" s="609">
        <f t="shared" ca="1" si="695"/>
        <v>41593</v>
      </c>
      <c r="DP6" s="609">
        <f t="shared" ca="1" si="695"/>
        <v>41594</v>
      </c>
      <c r="DQ6" s="609">
        <f t="shared" ca="1" si="695"/>
        <v>41595</v>
      </c>
      <c r="DR6" s="609">
        <f t="shared" ca="1" si="695"/>
        <v>41596</v>
      </c>
      <c r="DS6" s="609">
        <f t="shared" ca="1" si="695"/>
        <v>41597</v>
      </c>
      <c r="DT6" s="609">
        <f t="shared" ca="1" si="695"/>
        <v>41598</v>
      </c>
      <c r="DU6" s="609">
        <f t="shared" ca="1" si="695"/>
        <v>41599</v>
      </c>
      <c r="DV6" s="609">
        <f t="shared" ca="1" si="695"/>
        <v>41600</v>
      </c>
      <c r="DW6" s="609">
        <f t="shared" ca="1" si="695"/>
        <v>41601</v>
      </c>
      <c r="DX6" s="609">
        <f t="shared" ca="1" si="695"/>
        <v>41602</v>
      </c>
      <c r="DY6" s="609">
        <f t="shared" ca="1" si="695"/>
        <v>41603</v>
      </c>
      <c r="DZ6" s="609">
        <f t="shared" ca="1" si="695"/>
        <v>41604</v>
      </c>
      <c r="EA6" s="609">
        <f t="shared" ca="1" si="695"/>
        <v>41605</v>
      </c>
      <c r="EB6" s="609">
        <f t="shared" ca="1" si="695"/>
        <v>41606</v>
      </c>
      <c r="EC6" s="609">
        <f t="shared" ca="1" si="695"/>
        <v>41607</v>
      </c>
      <c r="ED6" s="609">
        <f t="shared" ca="1" si="695"/>
        <v>41608</v>
      </c>
      <c r="EE6" s="609">
        <f t="shared" ca="1" si="695"/>
        <v>41609</v>
      </c>
      <c r="EF6" s="609">
        <f t="shared" ca="1" si="695"/>
        <v>41610</v>
      </c>
      <c r="EG6" s="609">
        <f t="shared" ca="1" si="695"/>
        <v>41611</v>
      </c>
      <c r="EH6" s="609">
        <f t="shared" ca="1" si="695"/>
        <v>41612</v>
      </c>
      <c r="EI6" s="609">
        <f t="shared" ca="1" si="695"/>
        <v>41613</v>
      </c>
      <c r="EJ6" s="609">
        <f t="shared" ref="EJ6:GU6" ca="1" si="696">EI$6+1</f>
        <v>41614</v>
      </c>
      <c r="EK6" s="609">
        <f t="shared" ca="1" si="696"/>
        <v>41615</v>
      </c>
      <c r="EL6" s="609">
        <f t="shared" ca="1" si="696"/>
        <v>41616</v>
      </c>
      <c r="EM6" s="609">
        <f t="shared" ca="1" si="696"/>
        <v>41617</v>
      </c>
      <c r="EN6" s="609">
        <f t="shared" ca="1" si="696"/>
        <v>41618</v>
      </c>
      <c r="EO6" s="609">
        <f t="shared" ca="1" si="696"/>
        <v>41619</v>
      </c>
      <c r="EP6" s="609">
        <f t="shared" ca="1" si="696"/>
        <v>41620</v>
      </c>
      <c r="EQ6" s="609">
        <f t="shared" ca="1" si="696"/>
        <v>41621</v>
      </c>
      <c r="ER6" s="609">
        <f t="shared" ca="1" si="696"/>
        <v>41622</v>
      </c>
      <c r="ES6" s="609">
        <f t="shared" ca="1" si="696"/>
        <v>41623</v>
      </c>
      <c r="ET6" s="609">
        <f t="shared" ca="1" si="696"/>
        <v>41624</v>
      </c>
      <c r="EU6" s="609">
        <f t="shared" ca="1" si="696"/>
        <v>41625</v>
      </c>
      <c r="EV6" s="609">
        <f t="shared" ca="1" si="696"/>
        <v>41626</v>
      </c>
      <c r="EW6" s="609">
        <f t="shared" ca="1" si="696"/>
        <v>41627</v>
      </c>
      <c r="EX6" s="609">
        <f t="shared" ca="1" si="696"/>
        <v>41628</v>
      </c>
      <c r="EY6" s="609">
        <f t="shared" ca="1" si="696"/>
        <v>41629</v>
      </c>
      <c r="EZ6" s="609">
        <f t="shared" ca="1" si="696"/>
        <v>41630</v>
      </c>
      <c r="FA6" s="609">
        <f t="shared" ca="1" si="696"/>
        <v>41631</v>
      </c>
      <c r="FB6" s="609">
        <f t="shared" ca="1" si="696"/>
        <v>41632</v>
      </c>
      <c r="FC6" s="609">
        <f t="shared" ca="1" si="696"/>
        <v>41633</v>
      </c>
      <c r="FD6" s="609">
        <f t="shared" ca="1" si="696"/>
        <v>41634</v>
      </c>
      <c r="FE6" s="609">
        <f t="shared" ca="1" si="696"/>
        <v>41635</v>
      </c>
      <c r="FF6" s="609">
        <f t="shared" ca="1" si="696"/>
        <v>41636</v>
      </c>
      <c r="FG6" s="609">
        <f t="shared" ca="1" si="696"/>
        <v>41637</v>
      </c>
      <c r="FH6" s="609">
        <f t="shared" ca="1" si="696"/>
        <v>41638</v>
      </c>
      <c r="FI6" s="609">
        <f t="shared" ca="1" si="696"/>
        <v>41639</v>
      </c>
      <c r="FJ6" s="609">
        <f t="shared" ca="1" si="696"/>
        <v>41640</v>
      </c>
      <c r="FK6" s="609">
        <f t="shared" ca="1" si="696"/>
        <v>41641</v>
      </c>
      <c r="FL6" s="609">
        <f t="shared" ca="1" si="696"/>
        <v>41642</v>
      </c>
      <c r="FM6" s="609">
        <f t="shared" ca="1" si="696"/>
        <v>41643</v>
      </c>
      <c r="FN6" s="609">
        <f t="shared" ca="1" si="696"/>
        <v>41644</v>
      </c>
      <c r="FO6" s="609">
        <f t="shared" ca="1" si="696"/>
        <v>41645</v>
      </c>
      <c r="FP6" s="609">
        <f t="shared" ca="1" si="696"/>
        <v>41646</v>
      </c>
      <c r="FQ6" s="609">
        <f t="shared" ca="1" si="696"/>
        <v>41647</v>
      </c>
      <c r="FR6" s="609">
        <f t="shared" ca="1" si="696"/>
        <v>41648</v>
      </c>
      <c r="FS6" s="609">
        <f t="shared" ca="1" si="696"/>
        <v>41649</v>
      </c>
      <c r="FT6" s="609">
        <f t="shared" ca="1" si="696"/>
        <v>41650</v>
      </c>
      <c r="FU6" s="609">
        <f t="shared" ca="1" si="696"/>
        <v>41651</v>
      </c>
      <c r="FV6" s="609">
        <f t="shared" ca="1" si="696"/>
        <v>41652</v>
      </c>
      <c r="FW6" s="609">
        <f t="shared" ca="1" si="696"/>
        <v>41653</v>
      </c>
      <c r="FX6" s="609">
        <f t="shared" ca="1" si="696"/>
        <v>41654</v>
      </c>
      <c r="FY6" s="609">
        <f t="shared" ca="1" si="696"/>
        <v>41655</v>
      </c>
      <c r="FZ6" s="609">
        <f t="shared" ca="1" si="696"/>
        <v>41656</v>
      </c>
      <c r="GA6" s="609">
        <f t="shared" ca="1" si="696"/>
        <v>41657</v>
      </c>
      <c r="GB6" s="609">
        <f t="shared" ca="1" si="696"/>
        <v>41658</v>
      </c>
      <c r="GC6" s="609">
        <f t="shared" ca="1" si="696"/>
        <v>41659</v>
      </c>
      <c r="GD6" s="609">
        <f t="shared" ca="1" si="696"/>
        <v>41660</v>
      </c>
      <c r="GE6" s="609">
        <f t="shared" ca="1" si="696"/>
        <v>41661</v>
      </c>
      <c r="GF6" s="609">
        <f t="shared" ca="1" si="696"/>
        <v>41662</v>
      </c>
      <c r="GG6" s="609">
        <f t="shared" ca="1" si="696"/>
        <v>41663</v>
      </c>
      <c r="GH6" s="609">
        <f t="shared" ca="1" si="696"/>
        <v>41664</v>
      </c>
      <c r="GI6" s="609">
        <f t="shared" ca="1" si="696"/>
        <v>41665</v>
      </c>
      <c r="GJ6" s="609">
        <f t="shared" ca="1" si="696"/>
        <v>41666</v>
      </c>
      <c r="GK6" s="609">
        <f t="shared" ca="1" si="696"/>
        <v>41667</v>
      </c>
      <c r="GL6" s="609">
        <f t="shared" ca="1" si="696"/>
        <v>41668</v>
      </c>
      <c r="GM6" s="609">
        <f t="shared" ca="1" si="696"/>
        <v>41669</v>
      </c>
      <c r="GN6" s="609">
        <f t="shared" ca="1" si="696"/>
        <v>41670</v>
      </c>
      <c r="GO6" s="609">
        <f t="shared" ca="1" si="696"/>
        <v>41671</v>
      </c>
      <c r="GP6" s="609">
        <f t="shared" ca="1" si="696"/>
        <v>41672</v>
      </c>
      <c r="GQ6" s="609">
        <f t="shared" ca="1" si="696"/>
        <v>41673</v>
      </c>
      <c r="GR6" s="609">
        <f t="shared" ca="1" si="696"/>
        <v>41674</v>
      </c>
      <c r="GS6" s="609">
        <f t="shared" ca="1" si="696"/>
        <v>41675</v>
      </c>
      <c r="GT6" s="609">
        <f t="shared" ca="1" si="696"/>
        <v>41676</v>
      </c>
      <c r="GU6" s="609">
        <f t="shared" ca="1" si="696"/>
        <v>41677</v>
      </c>
      <c r="GV6" s="609">
        <f t="shared" ref="GV6:JG6" ca="1" si="697">GU$6+1</f>
        <v>41678</v>
      </c>
      <c r="GW6" s="609">
        <f t="shared" ca="1" si="697"/>
        <v>41679</v>
      </c>
      <c r="GX6" s="609">
        <f t="shared" ca="1" si="697"/>
        <v>41680</v>
      </c>
      <c r="GY6" s="609">
        <f t="shared" ca="1" si="697"/>
        <v>41681</v>
      </c>
      <c r="GZ6" s="609">
        <f t="shared" ca="1" si="697"/>
        <v>41682</v>
      </c>
      <c r="HA6" s="609">
        <f t="shared" ca="1" si="697"/>
        <v>41683</v>
      </c>
      <c r="HB6" s="609">
        <f t="shared" ca="1" si="697"/>
        <v>41684</v>
      </c>
      <c r="HC6" s="609">
        <f t="shared" ca="1" si="697"/>
        <v>41685</v>
      </c>
      <c r="HD6" s="609">
        <f t="shared" ca="1" si="697"/>
        <v>41686</v>
      </c>
      <c r="HE6" s="609">
        <f t="shared" ca="1" si="697"/>
        <v>41687</v>
      </c>
      <c r="HF6" s="609">
        <f t="shared" ca="1" si="697"/>
        <v>41688</v>
      </c>
      <c r="HG6" s="609">
        <f t="shared" ca="1" si="697"/>
        <v>41689</v>
      </c>
      <c r="HH6" s="609">
        <f t="shared" ca="1" si="697"/>
        <v>41690</v>
      </c>
      <c r="HI6" s="609">
        <f t="shared" ca="1" si="697"/>
        <v>41691</v>
      </c>
      <c r="HJ6" s="609">
        <f t="shared" ca="1" si="697"/>
        <v>41692</v>
      </c>
      <c r="HK6" s="609">
        <f t="shared" ca="1" si="697"/>
        <v>41693</v>
      </c>
      <c r="HL6" s="609">
        <f t="shared" ca="1" si="697"/>
        <v>41694</v>
      </c>
      <c r="HM6" s="609">
        <f t="shared" ca="1" si="697"/>
        <v>41695</v>
      </c>
      <c r="HN6" s="609">
        <f t="shared" ca="1" si="697"/>
        <v>41696</v>
      </c>
      <c r="HO6" s="609">
        <f t="shared" ca="1" si="697"/>
        <v>41697</v>
      </c>
      <c r="HP6" s="609">
        <f t="shared" ca="1" si="697"/>
        <v>41698</v>
      </c>
      <c r="HQ6" s="609">
        <f t="shared" ca="1" si="697"/>
        <v>41699</v>
      </c>
      <c r="HR6" s="609">
        <f t="shared" ca="1" si="697"/>
        <v>41700</v>
      </c>
      <c r="HS6" s="609">
        <f t="shared" ca="1" si="697"/>
        <v>41701</v>
      </c>
      <c r="HT6" s="609">
        <f t="shared" ca="1" si="697"/>
        <v>41702</v>
      </c>
      <c r="HU6" s="609">
        <f t="shared" ca="1" si="697"/>
        <v>41703</v>
      </c>
      <c r="HV6" s="609">
        <f t="shared" ca="1" si="697"/>
        <v>41704</v>
      </c>
      <c r="HW6" s="609">
        <f t="shared" ca="1" si="697"/>
        <v>41705</v>
      </c>
      <c r="HX6" s="609">
        <f t="shared" ca="1" si="697"/>
        <v>41706</v>
      </c>
      <c r="HY6" s="609">
        <f t="shared" ca="1" si="697"/>
        <v>41707</v>
      </c>
      <c r="HZ6" s="609">
        <f t="shared" ca="1" si="697"/>
        <v>41708</v>
      </c>
      <c r="IA6" s="609">
        <f t="shared" ca="1" si="697"/>
        <v>41709</v>
      </c>
      <c r="IB6" s="609">
        <f t="shared" ca="1" si="697"/>
        <v>41710</v>
      </c>
      <c r="IC6" s="609">
        <f t="shared" ca="1" si="697"/>
        <v>41711</v>
      </c>
      <c r="ID6" s="609">
        <f t="shared" ca="1" si="697"/>
        <v>41712</v>
      </c>
      <c r="IE6" s="609">
        <f t="shared" ca="1" si="697"/>
        <v>41713</v>
      </c>
      <c r="IF6" s="609">
        <f t="shared" ca="1" si="697"/>
        <v>41714</v>
      </c>
      <c r="IG6" s="609">
        <f t="shared" ca="1" si="697"/>
        <v>41715</v>
      </c>
      <c r="IH6" s="609">
        <f t="shared" ca="1" si="697"/>
        <v>41716</v>
      </c>
      <c r="II6" s="609">
        <f t="shared" ca="1" si="697"/>
        <v>41717</v>
      </c>
      <c r="IJ6" s="609">
        <f t="shared" ca="1" si="697"/>
        <v>41718</v>
      </c>
      <c r="IK6" s="609">
        <f t="shared" ca="1" si="697"/>
        <v>41719</v>
      </c>
      <c r="IL6" s="609">
        <f t="shared" ca="1" si="697"/>
        <v>41720</v>
      </c>
      <c r="IM6" s="609">
        <f t="shared" ca="1" si="697"/>
        <v>41721</v>
      </c>
      <c r="IN6" s="609">
        <f t="shared" ca="1" si="697"/>
        <v>41722</v>
      </c>
      <c r="IO6" s="609">
        <f t="shared" ca="1" si="697"/>
        <v>41723</v>
      </c>
      <c r="IP6" s="609">
        <f t="shared" ca="1" si="697"/>
        <v>41724</v>
      </c>
      <c r="IQ6" s="609">
        <f t="shared" ca="1" si="697"/>
        <v>41725</v>
      </c>
      <c r="IR6" s="609">
        <f t="shared" ca="1" si="697"/>
        <v>41726</v>
      </c>
      <c r="IS6" s="609">
        <f t="shared" ca="1" si="697"/>
        <v>41727</v>
      </c>
      <c r="IT6" s="609">
        <f t="shared" ca="1" si="697"/>
        <v>41728</v>
      </c>
      <c r="IU6" s="609">
        <f t="shared" ca="1" si="697"/>
        <v>41729</v>
      </c>
      <c r="IV6" s="609">
        <f t="shared" ca="1" si="697"/>
        <v>41730</v>
      </c>
      <c r="IW6" s="609">
        <f t="shared" ca="1" si="697"/>
        <v>41731</v>
      </c>
      <c r="IX6" s="609">
        <f t="shared" ca="1" si="697"/>
        <v>41732</v>
      </c>
      <c r="IY6" s="609">
        <f t="shared" ca="1" si="697"/>
        <v>41733</v>
      </c>
      <c r="IZ6" s="609">
        <f t="shared" ca="1" si="697"/>
        <v>41734</v>
      </c>
      <c r="JA6" s="609">
        <f t="shared" ca="1" si="697"/>
        <v>41735</v>
      </c>
      <c r="JB6" s="609">
        <f t="shared" ca="1" si="697"/>
        <v>41736</v>
      </c>
      <c r="JC6" s="609">
        <f t="shared" ca="1" si="697"/>
        <v>41737</v>
      </c>
      <c r="JD6" s="609">
        <f t="shared" ca="1" si="697"/>
        <v>41738</v>
      </c>
      <c r="JE6" s="609">
        <f t="shared" ca="1" si="697"/>
        <v>41739</v>
      </c>
      <c r="JF6" s="609">
        <f t="shared" ca="1" si="697"/>
        <v>41740</v>
      </c>
      <c r="JG6" s="609">
        <f t="shared" ca="1" si="697"/>
        <v>41741</v>
      </c>
      <c r="JH6" s="609">
        <f t="shared" ref="JH6:LS6" ca="1" si="698">JG$6+1</f>
        <v>41742</v>
      </c>
      <c r="JI6" s="609">
        <f t="shared" ca="1" si="698"/>
        <v>41743</v>
      </c>
      <c r="JJ6" s="609">
        <f t="shared" ca="1" si="698"/>
        <v>41744</v>
      </c>
      <c r="JK6" s="609">
        <f t="shared" ca="1" si="698"/>
        <v>41745</v>
      </c>
      <c r="JL6" s="609">
        <f t="shared" ca="1" si="698"/>
        <v>41746</v>
      </c>
      <c r="JM6" s="609">
        <f t="shared" ca="1" si="698"/>
        <v>41747</v>
      </c>
      <c r="JN6" s="609">
        <f t="shared" ca="1" si="698"/>
        <v>41748</v>
      </c>
      <c r="JO6" s="609">
        <f t="shared" ca="1" si="698"/>
        <v>41749</v>
      </c>
      <c r="JP6" s="609">
        <f t="shared" ca="1" si="698"/>
        <v>41750</v>
      </c>
      <c r="JQ6" s="609">
        <f t="shared" ca="1" si="698"/>
        <v>41751</v>
      </c>
      <c r="JR6" s="609">
        <f t="shared" ca="1" si="698"/>
        <v>41752</v>
      </c>
      <c r="JS6" s="609">
        <f t="shared" ca="1" si="698"/>
        <v>41753</v>
      </c>
      <c r="JT6" s="609">
        <f t="shared" ca="1" si="698"/>
        <v>41754</v>
      </c>
      <c r="JU6" s="609">
        <f t="shared" ca="1" si="698"/>
        <v>41755</v>
      </c>
      <c r="JV6" s="609">
        <f t="shared" ca="1" si="698"/>
        <v>41756</v>
      </c>
      <c r="JW6" s="609">
        <f t="shared" ca="1" si="698"/>
        <v>41757</v>
      </c>
      <c r="JX6" s="609">
        <f t="shared" ca="1" si="698"/>
        <v>41758</v>
      </c>
      <c r="JY6" s="609">
        <f t="shared" ca="1" si="698"/>
        <v>41759</v>
      </c>
      <c r="JZ6" s="609">
        <f t="shared" ca="1" si="698"/>
        <v>41760</v>
      </c>
      <c r="KA6" s="609">
        <f t="shared" ca="1" si="698"/>
        <v>41761</v>
      </c>
      <c r="KB6" s="609">
        <f t="shared" ca="1" si="698"/>
        <v>41762</v>
      </c>
      <c r="KC6" s="609">
        <f t="shared" ca="1" si="698"/>
        <v>41763</v>
      </c>
      <c r="KD6" s="609">
        <f t="shared" ca="1" si="698"/>
        <v>41764</v>
      </c>
      <c r="KE6" s="609">
        <f t="shared" ca="1" si="698"/>
        <v>41765</v>
      </c>
      <c r="KF6" s="609">
        <f t="shared" ca="1" si="698"/>
        <v>41766</v>
      </c>
      <c r="KG6" s="609">
        <f t="shared" ca="1" si="698"/>
        <v>41767</v>
      </c>
      <c r="KH6" s="609">
        <f t="shared" ca="1" si="698"/>
        <v>41768</v>
      </c>
      <c r="KI6" s="609">
        <f t="shared" ca="1" si="698"/>
        <v>41769</v>
      </c>
      <c r="KJ6" s="609">
        <f t="shared" ca="1" si="698"/>
        <v>41770</v>
      </c>
      <c r="KK6" s="609">
        <f t="shared" ca="1" si="698"/>
        <v>41771</v>
      </c>
      <c r="KL6" s="609">
        <f t="shared" ca="1" si="698"/>
        <v>41772</v>
      </c>
      <c r="KM6" s="609">
        <f t="shared" ca="1" si="698"/>
        <v>41773</v>
      </c>
      <c r="KN6" s="609">
        <f t="shared" ca="1" si="698"/>
        <v>41774</v>
      </c>
      <c r="KO6" s="609">
        <f t="shared" ca="1" si="698"/>
        <v>41775</v>
      </c>
      <c r="KP6" s="609">
        <f t="shared" ca="1" si="698"/>
        <v>41776</v>
      </c>
      <c r="KQ6" s="609">
        <f t="shared" ca="1" si="698"/>
        <v>41777</v>
      </c>
      <c r="KR6" s="609">
        <f t="shared" ca="1" si="698"/>
        <v>41778</v>
      </c>
      <c r="KS6" s="609">
        <f t="shared" ca="1" si="698"/>
        <v>41779</v>
      </c>
      <c r="KT6" s="609">
        <f t="shared" ca="1" si="698"/>
        <v>41780</v>
      </c>
      <c r="KU6" s="609">
        <f t="shared" ca="1" si="698"/>
        <v>41781</v>
      </c>
      <c r="KV6" s="609">
        <f t="shared" ca="1" si="698"/>
        <v>41782</v>
      </c>
      <c r="KW6" s="609">
        <f t="shared" ca="1" si="698"/>
        <v>41783</v>
      </c>
      <c r="KX6" s="609">
        <f t="shared" ca="1" si="698"/>
        <v>41784</v>
      </c>
      <c r="KY6" s="609">
        <f t="shared" ca="1" si="698"/>
        <v>41785</v>
      </c>
      <c r="KZ6" s="609">
        <f t="shared" ca="1" si="698"/>
        <v>41786</v>
      </c>
      <c r="LA6" s="609">
        <f t="shared" ca="1" si="698"/>
        <v>41787</v>
      </c>
      <c r="LB6" s="609">
        <f t="shared" ca="1" si="698"/>
        <v>41788</v>
      </c>
      <c r="LC6" s="609">
        <f t="shared" ca="1" si="698"/>
        <v>41789</v>
      </c>
      <c r="LD6" s="609">
        <f t="shared" ca="1" si="698"/>
        <v>41790</v>
      </c>
      <c r="LE6" s="609">
        <f t="shared" ca="1" si="698"/>
        <v>41791</v>
      </c>
      <c r="LF6" s="609">
        <f t="shared" ca="1" si="698"/>
        <v>41792</v>
      </c>
      <c r="LG6" s="609">
        <f t="shared" ca="1" si="698"/>
        <v>41793</v>
      </c>
      <c r="LH6" s="609">
        <f t="shared" ca="1" si="698"/>
        <v>41794</v>
      </c>
      <c r="LI6" s="609">
        <f t="shared" ca="1" si="698"/>
        <v>41795</v>
      </c>
      <c r="LJ6" s="609">
        <f t="shared" ca="1" si="698"/>
        <v>41796</v>
      </c>
      <c r="LK6" s="609">
        <f t="shared" ca="1" si="698"/>
        <v>41797</v>
      </c>
      <c r="LL6" s="609">
        <f t="shared" ca="1" si="698"/>
        <v>41798</v>
      </c>
      <c r="LM6" s="609">
        <f t="shared" ca="1" si="698"/>
        <v>41799</v>
      </c>
      <c r="LN6" s="609">
        <f t="shared" ca="1" si="698"/>
        <v>41800</v>
      </c>
      <c r="LO6" s="609">
        <f t="shared" ca="1" si="698"/>
        <v>41801</v>
      </c>
      <c r="LP6" s="609">
        <f t="shared" ca="1" si="698"/>
        <v>41802</v>
      </c>
      <c r="LQ6" s="609">
        <f t="shared" ca="1" si="698"/>
        <v>41803</v>
      </c>
      <c r="LR6" s="609">
        <f t="shared" ca="1" si="698"/>
        <v>41804</v>
      </c>
      <c r="LS6" s="609">
        <f t="shared" ca="1" si="698"/>
        <v>41805</v>
      </c>
      <c r="LT6" s="609">
        <f t="shared" ref="LT6:OE6" ca="1" si="699">LS$6+1</f>
        <v>41806</v>
      </c>
      <c r="LU6" s="609">
        <f t="shared" ca="1" si="699"/>
        <v>41807</v>
      </c>
      <c r="LV6" s="609">
        <f t="shared" ca="1" si="699"/>
        <v>41808</v>
      </c>
      <c r="LW6" s="609">
        <f t="shared" ca="1" si="699"/>
        <v>41809</v>
      </c>
      <c r="LX6" s="609">
        <f t="shared" ca="1" si="699"/>
        <v>41810</v>
      </c>
      <c r="LY6" s="609">
        <f t="shared" ca="1" si="699"/>
        <v>41811</v>
      </c>
      <c r="LZ6" s="609">
        <f t="shared" ca="1" si="699"/>
        <v>41812</v>
      </c>
      <c r="MA6" s="609">
        <f t="shared" ca="1" si="699"/>
        <v>41813</v>
      </c>
      <c r="MB6" s="609">
        <f t="shared" ca="1" si="699"/>
        <v>41814</v>
      </c>
      <c r="MC6" s="609">
        <f t="shared" ca="1" si="699"/>
        <v>41815</v>
      </c>
      <c r="MD6" s="609">
        <f t="shared" ca="1" si="699"/>
        <v>41816</v>
      </c>
      <c r="ME6" s="609">
        <f t="shared" ca="1" si="699"/>
        <v>41817</v>
      </c>
      <c r="MF6" s="609">
        <f t="shared" ca="1" si="699"/>
        <v>41818</v>
      </c>
      <c r="MG6" s="609">
        <f t="shared" ca="1" si="699"/>
        <v>41819</v>
      </c>
      <c r="MH6" s="609">
        <f t="shared" ca="1" si="699"/>
        <v>41820</v>
      </c>
      <c r="MI6" s="609">
        <f t="shared" ca="1" si="699"/>
        <v>41821</v>
      </c>
      <c r="MJ6" s="609">
        <f t="shared" ca="1" si="699"/>
        <v>41822</v>
      </c>
      <c r="MK6" s="609">
        <f t="shared" ca="1" si="699"/>
        <v>41823</v>
      </c>
      <c r="ML6" s="609">
        <f t="shared" ca="1" si="699"/>
        <v>41824</v>
      </c>
      <c r="MM6" s="609">
        <f t="shared" ca="1" si="699"/>
        <v>41825</v>
      </c>
      <c r="MN6" s="609">
        <f t="shared" ca="1" si="699"/>
        <v>41826</v>
      </c>
      <c r="MO6" s="609">
        <f t="shared" ca="1" si="699"/>
        <v>41827</v>
      </c>
      <c r="MP6" s="609">
        <f t="shared" ca="1" si="699"/>
        <v>41828</v>
      </c>
      <c r="MQ6" s="609">
        <f t="shared" ca="1" si="699"/>
        <v>41829</v>
      </c>
      <c r="MR6" s="609">
        <f t="shared" ca="1" si="699"/>
        <v>41830</v>
      </c>
      <c r="MS6" s="609">
        <f t="shared" ca="1" si="699"/>
        <v>41831</v>
      </c>
      <c r="MT6" s="609">
        <f t="shared" ca="1" si="699"/>
        <v>41832</v>
      </c>
      <c r="MU6" s="609">
        <f t="shared" ca="1" si="699"/>
        <v>41833</v>
      </c>
      <c r="MV6" s="609">
        <f t="shared" ca="1" si="699"/>
        <v>41834</v>
      </c>
      <c r="MW6" s="609">
        <f t="shared" ca="1" si="699"/>
        <v>41835</v>
      </c>
      <c r="MX6" s="609">
        <f t="shared" ca="1" si="699"/>
        <v>41836</v>
      </c>
      <c r="MY6" s="609">
        <f t="shared" ca="1" si="699"/>
        <v>41837</v>
      </c>
      <c r="MZ6" s="609">
        <f t="shared" ca="1" si="699"/>
        <v>41838</v>
      </c>
      <c r="NA6" s="609">
        <f t="shared" ca="1" si="699"/>
        <v>41839</v>
      </c>
      <c r="NB6" s="609">
        <f t="shared" ca="1" si="699"/>
        <v>41840</v>
      </c>
      <c r="NC6" s="609">
        <f t="shared" ca="1" si="699"/>
        <v>41841</v>
      </c>
      <c r="ND6" s="609">
        <f t="shared" ca="1" si="699"/>
        <v>41842</v>
      </c>
      <c r="NE6" s="609">
        <f t="shared" ca="1" si="699"/>
        <v>41843</v>
      </c>
      <c r="NF6" s="609">
        <f t="shared" ca="1" si="699"/>
        <v>41844</v>
      </c>
      <c r="NG6" s="609">
        <f t="shared" ca="1" si="699"/>
        <v>41845</v>
      </c>
      <c r="NH6" s="609">
        <f t="shared" ca="1" si="699"/>
        <v>41846</v>
      </c>
      <c r="NI6" s="609">
        <f t="shared" ca="1" si="699"/>
        <v>41847</v>
      </c>
      <c r="NJ6" s="609">
        <f t="shared" ca="1" si="699"/>
        <v>41848</v>
      </c>
      <c r="NK6" s="609">
        <f t="shared" ca="1" si="699"/>
        <v>41849</v>
      </c>
      <c r="NL6" s="609">
        <f t="shared" ca="1" si="699"/>
        <v>41850</v>
      </c>
      <c r="NM6" s="609">
        <f t="shared" ca="1" si="699"/>
        <v>41851</v>
      </c>
      <c r="NN6" s="609">
        <f t="shared" ca="1" si="699"/>
        <v>41852</v>
      </c>
      <c r="NO6" s="609">
        <f t="shared" ca="1" si="699"/>
        <v>41853</v>
      </c>
      <c r="NP6" s="609">
        <f t="shared" ca="1" si="699"/>
        <v>41854</v>
      </c>
      <c r="NQ6" s="609">
        <f t="shared" ca="1" si="699"/>
        <v>41855</v>
      </c>
      <c r="NR6" s="609">
        <f t="shared" ca="1" si="699"/>
        <v>41856</v>
      </c>
      <c r="NS6" s="609">
        <f t="shared" ca="1" si="699"/>
        <v>41857</v>
      </c>
      <c r="NT6" s="609">
        <f t="shared" ca="1" si="699"/>
        <v>41858</v>
      </c>
      <c r="NU6" s="609">
        <f t="shared" ca="1" si="699"/>
        <v>41859</v>
      </c>
      <c r="NV6" s="609">
        <f t="shared" ca="1" si="699"/>
        <v>41860</v>
      </c>
      <c r="NW6" s="609">
        <f t="shared" ca="1" si="699"/>
        <v>41861</v>
      </c>
      <c r="NX6" s="609">
        <f t="shared" ca="1" si="699"/>
        <v>41862</v>
      </c>
      <c r="NY6" s="609">
        <f t="shared" ca="1" si="699"/>
        <v>41863</v>
      </c>
      <c r="NZ6" s="609">
        <f t="shared" ca="1" si="699"/>
        <v>41864</v>
      </c>
      <c r="OA6" s="609">
        <f t="shared" ca="1" si="699"/>
        <v>41865</v>
      </c>
      <c r="OB6" s="609">
        <f t="shared" ca="1" si="699"/>
        <v>41866</v>
      </c>
      <c r="OC6" s="609">
        <f t="shared" ca="1" si="699"/>
        <v>41867</v>
      </c>
      <c r="OD6" s="609">
        <f t="shared" ca="1" si="699"/>
        <v>41868</v>
      </c>
      <c r="OE6" s="609">
        <f t="shared" ca="1" si="699"/>
        <v>41869</v>
      </c>
      <c r="OF6" s="609">
        <f t="shared" ref="OF6:QQ6" ca="1" si="700">OE$6+1</f>
        <v>41870</v>
      </c>
      <c r="OG6" s="609">
        <f t="shared" ca="1" si="700"/>
        <v>41871</v>
      </c>
      <c r="OH6" s="609">
        <f t="shared" ca="1" si="700"/>
        <v>41872</v>
      </c>
      <c r="OI6" s="609">
        <f t="shared" ca="1" si="700"/>
        <v>41873</v>
      </c>
      <c r="OJ6" s="609">
        <f t="shared" ca="1" si="700"/>
        <v>41874</v>
      </c>
      <c r="OK6" s="609">
        <f t="shared" ca="1" si="700"/>
        <v>41875</v>
      </c>
      <c r="OL6" s="609">
        <f t="shared" ca="1" si="700"/>
        <v>41876</v>
      </c>
      <c r="OM6" s="609">
        <f t="shared" ca="1" si="700"/>
        <v>41877</v>
      </c>
      <c r="ON6" s="609">
        <f t="shared" ca="1" si="700"/>
        <v>41878</v>
      </c>
      <c r="OO6" s="609">
        <f t="shared" ca="1" si="700"/>
        <v>41879</v>
      </c>
      <c r="OP6" s="609">
        <f t="shared" ca="1" si="700"/>
        <v>41880</v>
      </c>
      <c r="OQ6" s="609">
        <f t="shared" ca="1" si="700"/>
        <v>41881</v>
      </c>
      <c r="OR6" s="609">
        <f t="shared" ca="1" si="700"/>
        <v>41882</v>
      </c>
      <c r="OS6" s="609">
        <f t="shared" ca="1" si="700"/>
        <v>41883</v>
      </c>
      <c r="OT6" s="609">
        <f t="shared" ca="1" si="700"/>
        <v>41884</v>
      </c>
      <c r="OU6" s="609">
        <f t="shared" ca="1" si="700"/>
        <v>41885</v>
      </c>
      <c r="OV6" s="609">
        <f t="shared" ca="1" si="700"/>
        <v>41886</v>
      </c>
      <c r="OW6" s="609">
        <f t="shared" ca="1" si="700"/>
        <v>41887</v>
      </c>
      <c r="OX6" s="609">
        <f t="shared" ca="1" si="700"/>
        <v>41888</v>
      </c>
      <c r="OY6" s="609">
        <f t="shared" ca="1" si="700"/>
        <v>41889</v>
      </c>
      <c r="OZ6" s="609">
        <f t="shared" ca="1" si="700"/>
        <v>41890</v>
      </c>
      <c r="PA6" s="609">
        <f t="shared" ca="1" si="700"/>
        <v>41891</v>
      </c>
      <c r="PB6" s="609">
        <f t="shared" ca="1" si="700"/>
        <v>41892</v>
      </c>
      <c r="PC6" s="609">
        <f t="shared" ca="1" si="700"/>
        <v>41893</v>
      </c>
      <c r="PD6" s="609">
        <f t="shared" ca="1" si="700"/>
        <v>41894</v>
      </c>
      <c r="PE6" s="609">
        <f t="shared" ca="1" si="700"/>
        <v>41895</v>
      </c>
      <c r="PF6" s="609">
        <f t="shared" ca="1" si="700"/>
        <v>41896</v>
      </c>
      <c r="PG6" s="609">
        <f t="shared" ca="1" si="700"/>
        <v>41897</v>
      </c>
      <c r="PH6" s="609">
        <f t="shared" ca="1" si="700"/>
        <v>41898</v>
      </c>
      <c r="PI6" s="609">
        <f t="shared" ca="1" si="700"/>
        <v>41899</v>
      </c>
      <c r="PJ6" s="609">
        <f t="shared" ca="1" si="700"/>
        <v>41900</v>
      </c>
      <c r="PK6" s="609">
        <f t="shared" ca="1" si="700"/>
        <v>41901</v>
      </c>
      <c r="PL6" s="609">
        <f t="shared" ca="1" si="700"/>
        <v>41902</v>
      </c>
      <c r="PM6" s="609">
        <f t="shared" ca="1" si="700"/>
        <v>41903</v>
      </c>
      <c r="PN6" s="609">
        <f t="shared" ca="1" si="700"/>
        <v>41904</v>
      </c>
      <c r="PO6" s="609">
        <f t="shared" ca="1" si="700"/>
        <v>41905</v>
      </c>
      <c r="PP6" s="609">
        <f t="shared" ca="1" si="700"/>
        <v>41906</v>
      </c>
      <c r="PQ6" s="609">
        <f t="shared" ca="1" si="700"/>
        <v>41907</v>
      </c>
      <c r="PR6" s="609">
        <f t="shared" ca="1" si="700"/>
        <v>41908</v>
      </c>
      <c r="PS6" s="609">
        <f t="shared" ca="1" si="700"/>
        <v>41909</v>
      </c>
      <c r="PT6" s="609">
        <f t="shared" ca="1" si="700"/>
        <v>41910</v>
      </c>
      <c r="PU6" s="609">
        <f t="shared" ca="1" si="700"/>
        <v>41911</v>
      </c>
      <c r="PV6" s="609">
        <f t="shared" ca="1" si="700"/>
        <v>41912</v>
      </c>
      <c r="PW6" s="609">
        <f t="shared" ca="1" si="700"/>
        <v>41913</v>
      </c>
      <c r="PX6" s="609">
        <f t="shared" ca="1" si="700"/>
        <v>41914</v>
      </c>
      <c r="PY6" s="609">
        <f t="shared" ca="1" si="700"/>
        <v>41915</v>
      </c>
      <c r="PZ6" s="609">
        <f t="shared" ca="1" si="700"/>
        <v>41916</v>
      </c>
      <c r="QA6" s="609">
        <f t="shared" ca="1" si="700"/>
        <v>41917</v>
      </c>
      <c r="QB6" s="609">
        <f t="shared" ca="1" si="700"/>
        <v>41918</v>
      </c>
      <c r="QC6" s="609">
        <f t="shared" ca="1" si="700"/>
        <v>41919</v>
      </c>
      <c r="QD6" s="609">
        <f t="shared" ca="1" si="700"/>
        <v>41920</v>
      </c>
      <c r="QE6" s="609">
        <f t="shared" ca="1" si="700"/>
        <v>41921</v>
      </c>
      <c r="QF6" s="609">
        <f t="shared" ca="1" si="700"/>
        <v>41922</v>
      </c>
      <c r="QG6" s="609">
        <f t="shared" ca="1" si="700"/>
        <v>41923</v>
      </c>
      <c r="QH6" s="609">
        <f t="shared" ca="1" si="700"/>
        <v>41924</v>
      </c>
      <c r="QI6" s="609">
        <f t="shared" ca="1" si="700"/>
        <v>41925</v>
      </c>
      <c r="QJ6" s="609">
        <f t="shared" ca="1" si="700"/>
        <v>41926</v>
      </c>
      <c r="QK6" s="609">
        <f t="shared" ca="1" si="700"/>
        <v>41927</v>
      </c>
      <c r="QL6" s="609">
        <f t="shared" ca="1" si="700"/>
        <v>41928</v>
      </c>
      <c r="QM6" s="609">
        <f t="shared" ca="1" si="700"/>
        <v>41929</v>
      </c>
      <c r="QN6" s="609">
        <f t="shared" ca="1" si="700"/>
        <v>41930</v>
      </c>
      <c r="QO6" s="609">
        <f t="shared" ca="1" si="700"/>
        <v>41931</v>
      </c>
      <c r="QP6" s="609">
        <f t="shared" ca="1" si="700"/>
        <v>41932</v>
      </c>
      <c r="QQ6" s="609">
        <f t="shared" ca="1" si="700"/>
        <v>41933</v>
      </c>
      <c r="QR6" s="609">
        <f t="shared" ref="QR6:TC6" ca="1" si="701">QQ$6+1</f>
        <v>41934</v>
      </c>
      <c r="QS6" s="609">
        <f t="shared" ca="1" si="701"/>
        <v>41935</v>
      </c>
      <c r="QT6" s="609">
        <f t="shared" ca="1" si="701"/>
        <v>41936</v>
      </c>
      <c r="QU6" s="609">
        <f t="shared" ca="1" si="701"/>
        <v>41937</v>
      </c>
      <c r="QV6" s="609">
        <f t="shared" ca="1" si="701"/>
        <v>41938</v>
      </c>
      <c r="QW6" s="609">
        <f t="shared" ca="1" si="701"/>
        <v>41939</v>
      </c>
      <c r="QX6" s="609">
        <f t="shared" ca="1" si="701"/>
        <v>41940</v>
      </c>
      <c r="QY6" s="609">
        <f t="shared" ca="1" si="701"/>
        <v>41941</v>
      </c>
      <c r="QZ6" s="609">
        <f t="shared" ca="1" si="701"/>
        <v>41942</v>
      </c>
      <c r="RA6" s="609">
        <f t="shared" ca="1" si="701"/>
        <v>41943</v>
      </c>
      <c r="RB6" s="609">
        <f t="shared" ca="1" si="701"/>
        <v>41944</v>
      </c>
      <c r="RC6" s="609">
        <f t="shared" ca="1" si="701"/>
        <v>41945</v>
      </c>
      <c r="RD6" s="609">
        <f t="shared" ca="1" si="701"/>
        <v>41946</v>
      </c>
      <c r="RE6" s="609">
        <f t="shared" ca="1" si="701"/>
        <v>41947</v>
      </c>
      <c r="RF6" s="609">
        <f t="shared" ca="1" si="701"/>
        <v>41948</v>
      </c>
      <c r="RG6" s="609">
        <f t="shared" ca="1" si="701"/>
        <v>41949</v>
      </c>
      <c r="RH6" s="609">
        <f t="shared" ca="1" si="701"/>
        <v>41950</v>
      </c>
      <c r="RI6" s="609">
        <f t="shared" ca="1" si="701"/>
        <v>41951</v>
      </c>
      <c r="RJ6" s="609">
        <f t="shared" ca="1" si="701"/>
        <v>41952</v>
      </c>
      <c r="RK6" s="609">
        <f t="shared" ca="1" si="701"/>
        <v>41953</v>
      </c>
      <c r="RL6" s="609">
        <f t="shared" ca="1" si="701"/>
        <v>41954</v>
      </c>
      <c r="RM6" s="609">
        <f t="shared" ca="1" si="701"/>
        <v>41955</v>
      </c>
      <c r="RN6" s="609">
        <f t="shared" ca="1" si="701"/>
        <v>41956</v>
      </c>
      <c r="RO6" s="609">
        <f t="shared" ca="1" si="701"/>
        <v>41957</v>
      </c>
      <c r="RP6" s="609">
        <f t="shared" ca="1" si="701"/>
        <v>41958</v>
      </c>
      <c r="RQ6" s="609">
        <f t="shared" ca="1" si="701"/>
        <v>41959</v>
      </c>
      <c r="RR6" s="609">
        <f t="shared" ca="1" si="701"/>
        <v>41960</v>
      </c>
      <c r="RS6" s="609">
        <f t="shared" ca="1" si="701"/>
        <v>41961</v>
      </c>
      <c r="RT6" s="609">
        <f t="shared" ca="1" si="701"/>
        <v>41962</v>
      </c>
      <c r="RU6" s="609">
        <f t="shared" ca="1" si="701"/>
        <v>41963</v>
      </c>
      <c r="RV6" s="609">
        <f t="shared" ca="1" si="701"/>
        <v>41964</v>
      </c>
      <c r="RW6" s="609">
        <f t="shared" ca="1" si="701"/>
        <v>41965</v>
      </c>
      <c r="RX6" s="609">
        <f t="shared" ca="1" si="701"/>
        <v>41966</v>
      </c>
      <c r="RY6" s="609">
        <f t="shared" ca="1" si="701"/>
        <v>41967</v>
      </c>
      <c r="RZ6" s="609">
        <f t="shared" ca="1" si="701"/>
        <v>41968</v>
      </c>
      <c r="SA6" s="609">
        <f t="shared" ca="1" si="701"/>
        <v>41969</v>
      </c>
      <c r="SB6" s="609">
        <f t="shared" ca="1" si="701"/>
        <v>41970</v>
      </c>
      <c r="SC6" s="609">
        <f t="shared" ca="1" si="701"/>
        <v>41971</v>
      </c>
      <c r="SD6" s="609">
        <f t="shared" ca="1" si="701"/>
        <v>41972</v>
      </c>
      <c r="SE6" s="609">
        <f t="shared" ca="1" si="701"/>
        <v>41973</v>
      </c>
      <c r="SF6" s="609">
        <f t="shared" ca="1" si="701"/>
        <v>41974</v>
      </c>
      <c r="SG6" s="609">
        <f t="shared" ca="1" si="701"/>
        <v>41975</v>
      </c>
      <c r="SH6" s="609">
        <f t="shared" ca="1" si="701"/>
        <v>41976</v>
      </c>
      <c r="SI6" s="609">
        <f t="shared" ca="1" si="701"/>
        <v>41977</v>
      </c>
      <c r="SJ6" s="609">
        <f t="shared" ca="1" si="701"/>
        <v>41978</v>
      </c>
      <c r="SK6" s="609">
        <f t="shared" ca="1" si="701"/>
        <v>41979</v>
      </c>
      <c r="SL6" s="609">
        <f t="shared" ca="1" si="701"/>
        <v>41980</v>
      </c>
      <c r="SM6" s="609">
        <f t="shared" ca="1" si="701"/>
        <v>41981</v>
      </c>
      <c r="SN6" s="609">
        <f t="shared" ca="1" si="701"/>
        <v>41982</v>
      </c>
      <c r="SO6" s="609">
        <f t="shared" ca="1" si="701"/>
        <v>41983</v>
      </c>
      <c r="SP6" s="609">
        <f t="shared" ca="1" si="701"/>
        <v>41984</v>
      </c>
      <c r="SQ6" s="609">
        <f t="shared" ca="1" si="701"/>
        <v>41985</v>
      </c>
      <c r="SR6" s="609">
        <f t="shared" ca="1" si="701"/>
        <v>41986</v>
      </c>
      <c r="SS6" s="609">
        <f t="shared" ca="1" si="701"/>
        <v>41987</v>
      </c>
      <c r="ST6" s="609">
        <f t="shared" ca="1" si="701"/>
        <v>41988</v>
      </c>
      <c r="SU6" s="609">
        <f t="shared" ca="1" si="701"/>
        <v>41989</v>
      </c>
      <c r="SV6" s="609">
        <f t="shared" ca="1" si="701"/>
        <v>41990</v>
      </c>
      <c r="SW6" s="609">
        <f t="shared" ca="1" si="701"/>
        <v>41991</v>
      </c>
      <c r="SX6" s="609">
        <f t="shared" ca="1" si="701"/>
        <v>41992</v>
      </c>
      <c r="SY6" s="609">
        <f t="shared" ca="1" si="701"/>
        <v>41993</v>
      </c>
      <c r="SZ6" s="609">
        <f t="shared" ca="1" si="701"/>
        <v>41994</v>
      </c>
      <c r="TA6" s="609">
        <f t="shared" ca="1" si="701"/>
        <v>41995</v>
      </c>
      <c r="TB6" s="609">
        <f t="shared" ca="1" si="701"/>
        <v>41996</v>
      </c>
      <c r="TC6" s="609">
        <f t="shared" ca="1" si="701"/>
        <v>41997</v>
      </c>
      <c r="TD6" s="609">
        <f t="shared" ref="TD6:VO6" ca="1" si="702">TC$6+1</f>
        <v>41998</v>
      </c>
      <c r="TE6" s="609">
        <f t="shared" ca="1" si="702"/>
        <v>41999</v>
      </c>
      <c r="TF6" s="609">
        <f t="shared" ca="1" si="702"/>
        <v>42000</v>
      </c>
      <c r="TG6" s="609">
        <f t="shared" ca="1" si="702"/>
        <v>42001</v>
      </c>
      <c r="TH6" s="609">
        <f t="shared" ca="1" si="702"/>
        <v>42002</v>
      </c>
      <c r="TI6" s="609">
        <f t="shared" ca="1" si="702"/>
        <v>42003</v>
      </c>
      <c r="TJ6" s="609">
        <f t="shared" ca="1" si="702"/>
        <v>42004</v>
      </c>
      <c r="TK6" s="609">
        <f t="shared" ca="1" si="702"/>
        <v>42005</v>
      </c>
      <c r="TL6" s="609">
        <f t="shared" ca="1" si="702"/>
        <v>42006</v>
      </c>
      <c r="TM6" s="609">
        <f t="shared" ca="1" si="702"/>
        <v>42007</v>
      </c>
      <c r="TN6" s="609">
        <f t="shared" ca="1" si="702"/>
        <v>42008</v>
      </c>
      <c r="TO6" s="609">
        <f t="shared" ca="1" si="702"/>
        <v>42009</v>
      </c>
      <c r="TP6" s="609">
        <f t="shared" ca="1" si="702"/>
        <v>42010</v>
      </c>
      <c r="TQ6" s="609">
        <f t="shared" ca="1" si="702"/>
        <v>42011</v>
      </c>
      <c r="TR6" s="609">
        <f t="shared" ca="1" si="702"/>
        <v>42012</v>
      </c>
      <c r="TS6" s="609">
        <f t="shared" ca="1" si="702"/>
        <v>42013</v>
      </c>
      <c r="TT6" s="609">
        <f t="shared" ca="1" si="702"/>
        <v>42014</v>
      </c>
      <c r="TU6" s="609">
        <f t="shared" ca="1" si="702"/>
        <v>42015</v>
      </c>
      <c r="TV6" s="609">
        <f t="shared" ca="1" si="702"/>
        <v>42016</v>
      </c>
      <c r="TW6" s="609">
        <f t="shared" ca="1" si="702"/>
        <v>42017</v>
      </c>
      <c r="TX6" s="609">
        <f t="shared" ca="1" si="702"/>
        <v>42018</v>
      </c>
      <c r="TY6" s="609">
        <f t="shared" ca="1" si="702"/>
        <v>42019</v>
      </c>
      <c r="TZ6" s="609">
        <f t="shared" ca="1" si="702"/>
        <v>42020</v>
      </c>
      <c r="UA6" s="609">
        <f t="shared" ca="1" si="702"/>
        <v>42021</v>
      </c>
      <c r="UB6" s="609">
        <f t="shared" ca="1" si="702"/>
        <v>42022</v>
      </c>
      <c r="UC6" s="609">
        <f t="shared" ca="1" si="702"/>
        <v>42023</v>
      </c>
      <c r="UD6" s="609">
        <f t="shared" ca="1" si="702"/>
        <v>42024</v>
      </c>
      <c r="UE6" s="609">
        <f t="shared" ca="1" si="702"/>
        <v>42025</v>
      </c>
      <c r="UF6" s="609">
        <f t="shared" ca="1" si="702"/>
        <v>42026</v>
      </c>
      <c r="UG6" s="609">
        <f t="shared" ca="1" si="702"/>
        <v>42027</v>
      </c>
      <c r="UH6" s="609">
        <f t="shared" ca="1" si="702"/>
        <v>42028</v>
      </c>
      <c r="UI6" s="609">
        <f t="shared" ca="1" si="702"/>
        <v>42029</v>
      </c>
      <c r="UJ6" s="609">
        <f t="shared" ca="1" si="702"/>
        <v>42030</v>
      </c>
      <c r="UK6" s="609">
        <f t="shared" ca="1" si="702"/>
        <v>42031</v>
      </c>
      <c r="UL6" s="609">
        <f t="shared" ca="1" si="702"/>
        <v>42032</v>
      </c>
      <c r="UM6" s="609">
        <f t="shared" ca="1" si="702"/>
        <v>42033</v>
      </c>
      <c r="UN6" s="609">
        <f t="shared" ca="1" si="702"/>
        <v>42034</v>
      </c>
      <c r="UO6" s="609">
        <f t="shared" ca="1" si="702"/>
        <v>42035</v>
      </c>
      <c r="UP6" s="609">
        <f t="shared" ca="1" si="702"/>
        <v>42036</v>
      </c>
      <c r="UQ6" s="609">
        <f t="shared" ca="1" si="702"/>
        <v>42037</v>
      </c>
      <c r="UR6" s="609">
        <f t="shared" ca="1" si="702"/>
        <v>42038</v>
      </c>
      <c r="US6" s="609">
        <f t="shared" ca="1" si="702"/>
        <v>42039</v>
      </c>
      <c r="UT6" s="609">
        <f t="shared" ca="1" si="702"/>
        <v>42040</v>
      </c>
      <c r="UU6" s="609">
        <f t="shared" ca="1" si="702"/>
        <v>42041</v>
      </c>
      <c r="UV6" s="609">
        <f t="shared" ca="1" si="702"/>
        <v>42042</v>
      </c>
      <c r="UW6" s="609">
        <f t="shared" ca="1" si="702"/>
        <v>42043</v>
      </c>
      <c r="UX6" s="609">
        <f t="shared" ca="1" si="702"/>
        <v>42044</v>
      </c>
      <c r="UY6" s="609">
        <f t="shared" ca="1" si="702"/>
        <v>42045</v>
      </c>
      <c r="UZ6" s="609">
        <f t="shared" ca="1" si="702"/>
        <v>42046</v>
      </c>
      <c r="VA6" s="609">
        <f t="shared" ca="1" si="702"/>
        <v>42047</v>
      </c>
      <c r="VB6" s="609">
        <f t="shared" ca="1" si="702"/>
        <v>42048</v>
      </c>
      <c r="VC6" s="609">
        <f t="shared" ca="1" si="702"/>
        <v>42049</v>
      </c>
      <c r="VD6" s="609">
        <f t="shared" ca="1" si="702"/>
        <v>42050</v>
      </c>
      <c r="VE6" s="609">
        <f t="shared" ca="1" si="702"/>
        <v>42051</v>
      </c>
      <c r="VF6" s="609">
        <f t="shared" ca="1" si="702"/>
        <v>42052</v>
      </c>
      <c r="VG6" s="609">
        <f t="shared" ca="1" si="702"/>
        <v>42053</v>
      </c>
      <c r="VH6" s="609">
        <f t="shared" ca="1" si="702"/>
        <v>42054</v>
      </c>
      <c r="VI6" s="609">
        <f t="shared" ca="1" si="702"/>
        <v>42055</v>
      </c>
      <c r="VJ6" s="609">
        <f t="shared" ca="1" si="702"/>
        <v>42056</v>
      </c>
      <c r="VK6" s="609">
        <f t="shared" ca="1" si="702"/>
        <v>42057</v>
      </c>
      <c r="VL6" s="609">
        <f t="shared" ca="1" si="702"/>
        <v>42058</v>
      </c>
      <c r="VM6" s="609">
        <f t="shared" ca="1" si="702"/>
        <v>42059</v>
      </c>
      <c r="VN6" s="609">
        <f t="shared" ca="1" si="702"/>
        <v>42060</v>
      </c>
      <c r="VO6" s="609">
        <f t="shared" ca="1" si="702"/>
        <v>42061</v>
      </c>
      <c r="VP6" s="609">
        <f t="shared" ref="VP6:YA6" ca="1" si="703">VO$6+1</f>
        <v>42062</v>
      </c>
      <c r="VQ6" s="609">
        <f t="shared" ca="1" si="703"/>
        <v>42063</v>
      </c>
      <c r="VR6" s="609">
        <f t="shared" ca="1" si="703"/>
        <v>42064</v>
      </c>
      <c r="VS6" s="609">
        <f t="shared" ca="1" si="703"/>
        <v>42065</v>
      </c>
      <c r="VT6" s="609">
        <f t="shared" ca="1" si="703"/>
        <v>42066</v>
      </c>
      <c r="VU6" s="609">
        <f t="shared" ca="1" si="703"/>
        <v>42067</v>
      </c>
      <c r="VV6" s="609">
        <f t="shared" ca="1" si="703"/>
        <v>42068</v>
      </c>
      <c r="VW6" s="609">
        <f t="shared" ca="1" si="703"/>
        <v>42069</v>
      </c>
      <c r="VX6" s="609">
        <f t="shared" ca="1" si="703"/>
        <v>42070</v>
      </c>
      <c r="VY6" s="609">
        <f t="shared" ca="1" si="703"/>
        <v>42071</v>
      </c>
      <c r="VZ6" s="609">
        <f t="shared" ca="1" si="703"/>
        <v>42072</v>
      </c>
      <c r="WA6" s="609">
        <f t="shared" ca="1" si="703"/>
        <v>42073</v>
      </c>
      <c r="WB6" s="609">
        <f t="shared" ca="1" si="703"/>
        <v>42074</v>
      </c>
      <c r="WC6" s="609">
        <f t="shared" ca="1" si="703"/>
        <v>42075</v>
      </c>
      <c r="WD6" s="609">
        <f t="shared" ca="1" si="703"/>
        <v>42076</v>
      </c>
      <c r="WE6" s="609">
        <f t="shared" ca="1" si="703"/>
        <v>42077</v>
      </c>
      <c r="WF6" s="609">
        <f t="shared" ca="1" si="703"/>
        <v>42078</v>
      </c>
      <c r="WG6" s="609">
        <f t="shared" ca="1" si="703"/>
        <v>42079</v>
      </c>
      <c r="WH6" s="609">
        <f t="shared" ca="1" si="703"/>
        <v>42080</v>
      </c>
      <c r="WI6" s="609">
        <f t="shared" ca="1" si="703"/>
        <v>42081</v>
      </c>
      <c r="WJ6" s="609">
        <f t="shared" ca="1" si="703"/>
        <v>42082</v>
      </c>
      <c r="WK6" s="609">
        <f t="shared" ca="1" si="703"/>
        <v>42083</v>
      </c>
      <c r="WL6" s="609">
        <f t="shared" ca="1" si="703"/>
        <v>42084</v>
      </c>
      <c r="WM6" s="609">
        <f t="shared" ca="1" si="703"/>
        <v>42085</v>
      </c>
      <c r="WN6" s="609">
        <f t="shared" ca="1" si="703"/>
        <v>42086</v>
      </c>
      <c r="WO6" s="609">
        <f t="shared" ca="1" si="703"/>
        <v>42087</v>
      </c>
      <c r="WP6" s="609">
        <f t="shared" ca="1" si="703"/>
        <v>42088</v>
      </c>
      <c r="WQ6" s="609">
        <f t="shared" ca="1" si="703"/>
        <v>42089</v>
      </c>
      <c r="WR6" s="609">
        <f t="shared" ca="1" si="703"/>
        <v>42090</v>
      </c>
      <c r="WS6" s="609">
        <f t="shared" ca="1" si="703"/>
        <v>42091</v>
      </c>
      <c r="WT6" s="609">
        <f t="shared" ca="1" si="703"/>
        <v>42092</v>
      </c>
      <c r="WU6" s="609">
        <f t="shared" ca="1" si="703"/>
        <v>42093</v>
      </c>
      <c r="WV6" s="609">
        <f t="shared" ca="1" si="703"/>
        <v>42094</v>
      </c>
      <c r="WW6" s="609">
        <f t="shared" ca="1" si="703"/>
        <v>42095</v>
      </c>
      <c r="WX6" s="609">
        <f t="shared" ca="1" si="703"/>
        <v>42096</v>
      </c>
      <c r="WY6" s="609">
        <f t="shared" ca="1" si="703"/>
        <v>42097</v>
      </c>
      <c r="WZ6" s="609">
        <f t="shared" ca="1" si="703"/>
        <v>42098</v>
      </c>
      <c r="XA6" s="609">
        <f t="shared" ca="1" si="703"/>
        <v>42099</v>
      </c>
      <c r="XB6" s="609">
        <f t="shared" ca="1" si="703"/>
        <v>42100</v>
      </c>
      <c r="XC6" s="609">
        <f t="shared" ca="1" si="703"/>
        <v>42101</v>
      </c>
      <c r="XD6" s="609">
        <f t="shared" ca="1" si="703"/>
        <v>42102</v>
      </c>
      <c r="XE6" s="609">
        <f t="shared" ca="1" si="703"/>
        <v>42103</v>
      </c>
      <c r="XF6" s="609">
        <f t="shared" ca="1" si="703"/>
        <v>42104</v>
      </c>
      <c r="XG6" s="609">
        <f t="shared" ca="1" si="703"/>
        <v>42105</v>
      </c>
      <c r="XH6" s="609">
        <f t="shared" ca="1" si="703"/>
        <v>42106</v>
      </c>
      <c r="XI6" s="609">
        <f t="shared" ca="1" si="703"/>
        <v>42107</v>
      </c>
      <c r="XJ6" s="609">
        <f t="shared" ca="1" si="703"/>
        <v>42108</v>
      </c>
      <c r="XK6" s="609">
        <f t="shared" ca="1" si="703"/>
        <v>42109</v>
      </c>
      <c r="XL6" s="609">
        <f t="shared" ca="1" si="703"/>
        <v>42110</v>
      </c>
      <c r="XM6" s="609">
        <f t="shared" ca="1" si="703"/>
        <v>42111</v>
      </c>
      <c r="XN6" s="609">
        <f t="shared" ca="1" si="703"/>
        <v>42112</v>
      </c>
      <c r="XO6" s="609">
        <f t="shared" ca="1" si="703"/>
        <v>42113</v>
      </c>
      <c r="XP6" s="609">
        <f t="shared" ca="1" si="703"/>
        <v>42114</v>
      </c>
      <c r="XQ6" s="609">
        <f t="shared" ca="1" si="703"/>
        <v>42115</v>
      </c>
      <c r="XR6" s="609">
        <f t="shared" ca="1" si="703"/>
        <v>42116</v>
      </c>
      <c r="XS6" s="609">
        <f t="shared" ca="1" si="703"/>
        <v>42117</v>
      </c>
      <c r="XT6" s="609">
        <f t="shared" ca="1" si="703"/>
        <v>42118</v>
      </c>
      <c r="XU6" s="609">
        <f t="shared" ca="1" si="703"/>
        <v>42119</v>
      </c>
      <c r="XV6" s="609">
        <f t="shared" ca="1" si="703"/>
        <v>42120</v>
      </c>
      <c r="XW6" s="609">
        <f t="shared" ca="1" si="703"/>
        <v>42121</v>
      </c>
      <c r="XX6" s="609">
        <f t="shared" ca="1" si="703"/>
        <v>42122</v>
      </c>
      <c r="XY6" s="609">
        <f t="shared" ca="1" si="703"/>
        <v>42123</v>
      </c>
      <c r="XZ6" s="609">
        <f t="shared" ca="1" si="703"/>
        <v>42124</v>
      </c>
      <c r="YA6" s="609">
        <f t="shared" ca="1" si="703"/>
        <v>42125</v>
      </c>
      <c r="YB6" s="609">
        <f t="shared" ref="YB6:ZZ6" ca="1" si="704">YA$6+1</f>
        <v>42126</v>
      </c>
      <c r="YC6" s="609">
        <f t="shared" ca="1" si="704"/>
        <v>42127</v>
      </c>
      <c r="YD6" s="609">
        <f t="shared" ca="1" si="704"/>
        <v>42128</v>
      </c>
      <c r="YE6" s="609">
        <f t="shared" ca="1" si="704"/>
        <v>42129</v>
      </c>
      <c r="YF6" s="609">
        <f t="shared" ca="1" si="704"/>
        <v>42130</v>
      </c>
      <c r="YG6" s="609">
        <f t="shared" ca="1" si="704"/>
        <v>42131</v>
      </c>
      <c r="YH6" s="609">
        <f t="shared" ca="1" si="704"/>
        <v>42132</v>
      </c>
      <c r="YI6" s="609">
        <f t="shared" ca="1" si="704"/>
        <v>42133</v>
      </c>
      <c r="YJ6" s="609">
        <f t="shared" ca="1" si="704"/>
        <v>42134</v>
      </c>
      <c r="YK6" s="609">
        <f t="shared" ca="1" si="704"/>
        <v>42135</v>
      </c>
      <c r="YL6" s="609">
        <f t="shared" ca="1" si="704"/>
        <v>42136</v>
      </c>
      <c r="YM6" s="609">
        <f t="shared" ca="1" si="704"/>
        <v>42137</v>
      </c>
      <c r="YN6" s="609">
        <f t="shared" ca="1" si="704"/>
        <v>42138</v>
      </c>
      <c r="YO6" s="609">
        <f t="shared" ca="1" si="704"/>
        <v>42139</v>
      </c>
      <c r="YP6" s="609">
        <f t="shared" ca="1" si="704"/>
        <v>42140</v>
      </c>
      <c r="YQ6" s="609">
        <f t="shared" ca="1" si="704"/>
        <v>42141</v>
      </c>
      <c r="YR6" s="609">
        <f t="shared" ca="1" si="704"/>
        <v>42142</v>
      </c>
      <c r="YS6" s="609">
        <f t="shared" ca="1" si="704"/>
        <v>42143</v>
      </c>
      <c r="YT6" s="609">
        <f t="shared" ca="1" si="704"/>
        <v>42144</v>
      </c>
      <c r="YU6" s="609">
        <f t="shared" ca="1" si="704"/>
        <v>42145</v>
      </c>
      <c r="YV6" s="609">
        <f t="shared" ca="1" si="704"/>
        <v>42146</v>
      </c>
      <c r="YW6" s="609">
        <f t="shared" ca="1" si="704"/>
        <v>42147</v>
      </c>
      <c r="YX6" s="609">
        <f t="shared" ca="1" si="704"/>
        <v>42148</v>
      </c>
      <c r="YY6" s="609">
        <f t="shared" ca="1" si="704"/>
        <v>42149</v>
      </c>
      <c r="YZ6" s="609">
        <f t="shared" ca="1" si="704"/>
        <v>42150</v>
      </c>
      <c r="ZA6" s="609">
        <f t="shared" ca="1" si="704"/>
        <v>42151</v>
      </c>
      <c r="ZB6" s="609">
        <f t="shared" ca="1" si="704"/>
        <v>42152</v>
      </c>
      <c r="ZC6" s="609">
        <f t="shared" ca="1" si="704"/>
        <v>42153</v>
      </c>
      <c r="ZD6" s="609">
        <f t="shared" ca="1" si="704"/>
        <v>42154</v>
      </c>
      <c r="ZE6" s="609">
        <f t="shared" ca="1" si="704"/>
        <v>42155</v>
      </c>
      <c r="ZF6" s="609">
        <f t="shared" ca="1" si="704"/>
        <v>42156</v>
      </c>
      <c r="ZG6" s="609">
        <f t="shared" ca="1" si="704"/>
        <v>42157</v>
      </c>
      <c r="ZH6" s="609">
        <f t="shared" ca="1" si="704"/>
        <v>42158</v>
      </c>
      <c r="ZI6" s="609">
        <f t="shared" ca="1" si="704"/>
        <v>42159</v>
      </c>
      <c r="ZJ6" s="609">
        <f t="shared" ca="1" si="704"/>
        <v>42160</v>
      </c>
      <c r="ZK6" s="609">
        <f t="shared" ca="1" si="704"/>
        <v>42161</v>
      </c>
      <c r="ZL6" s="609">
        <f t="shared" ca="1" si="704"/>
        <v>42162</v>
      </c>
      <c r="ZM6" s="609">
        <f t="shared" ca="1" si="704"/>
        <v>42163</v>
      </c>
      <c r="ZN6" s="609">
        <f t="shared" ca="1" si="704"/>
        <v>42164</v>
      </c>
      <c r="ZO6" s="609">
        <f t="shared" ca="1" si="704"/>
        <v>42165</v>
      </c>
      <c r="ZP6" s="609">
        <f t="shared" ca="1" si="704"/>
        <v>42166</v>
      </c>
      <c r="ZQ6" s="609">
        <f t="shared" ca="1" si="704"/>
        <v>42167</v>
      </c>
      <c r="ZR6" s="609">
        <f t="shared" ca="1" si="704"/>
        <v>42168</v>
      </c>
      <c r="ZS6" s="609">
        <f t="shared" ca="1" si="704"/>
        <v>42169</v>
      </c>
      <c r="ZT6" s="609">
        <f t="shared" ca="1" si="704"/>
        <v>42170</v>
      </c>
      <c r="ZU6" s="609">
        <f t="shared" ca="1" si="704"/>
        <v>42171</v>
      </c>
      <c r="ZV6" s="609">
        <f t="shared" ca="1" si="704"/>
        <v>42172</v>
      </c>
      <c r="ZW6" s="609">
        <f t="shared" ca="1" si="704"/>
        <v>42173</v>
      </c>
      <c r="ZX6" s="609">
        <f t="shared" ca="1" si="704"/>
        <v>42174</v>
      </c>
      <c r="ZY6" s="609">
        <f t="shared" ca="1" si="704"/>
        <v>42175</v>
      </c>
      <c r="ZZ6" s="609">
        <f t="shared" ca="1" si="704"/>
        <v>42176</v>
      </c>
      <c r="AAA6" s="587"/>
      <c r="AAB6"/>
      <c r="AAC6"/>
      <c r="AAD6" s="112"/>
      <c r="AAE6" s="550" t="s">
        <v>243</v>
      </c>
      <c r="AAF6" s="582" t="s">
        <v>172</v>
      </c>
      <c r="AAG6" s="78">
        <f ca="1">WORKDAY(TODAY()-1,1,S.DDL_DEQClosed)</f>
        <v>41484</v>
      </c>
      <c r="AAH6" s="78">
        <f>S.BANNER.PostEQCEnd</f>
        <v>41680</v>
      </c>
      <c r="AAI6" s="77"/>
      <c r="AAJ6" s="98">
        <v>1</v>
      </c>
      <c r="AAK6" s="578">
        <f>IF(S.RuleType=2,14,28)</f>
        <v>28</v>
      </c>
      <c r="AAL6" s="76"/>
      <c r="AAM6" s="112"/>
      <c r="AAU6" s="44"/>
      <c r="ABK6" s="771"/>
      <c r="ABL6" s="771"/>
      <c r="ABM6" s="771"/>
      <c r="ABN6" s="771"/>
      <c r="ABO6" s="771"/>
      <c r="ABP6" s="771"/>
      <c r="ABQ6" s="771"/>
    </row>
    <row r="7" spans="1:745" ht="6" customHeight="1">
      <c r="A7" s="598"/>
      <c r="B7" s="206"/>
      <c r="C7" s="688"/>
      <c r="D7" s="180"/>
      <c r="E7" s="181"/>
      <c r="F7" s="181"/>
      <c r="G7" s="180"/>
      <c r="H7" s="180"/>
      <c r="I7" s="587"/>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7"/>
      <c r="AAD7" s="112"/>
      <c r="AAE7" s="550" t="s">
        <v>20</v>
      </c>
      <c r="AAF7" s="582" t="s">
        <v>172</v>
      </c>
      <c r="AAG7" s="76"/>
      <c r="AAH7" s="76"/>
      <c r="AAI7" s="76"/>
      <c r="AAJ7" s="507"/>
      <c r="AAK7" s="574"/>
      <c r="AAL7" s="40"/>
      <c r="AAM7" s="112"/>
      <c r="AAN7"/>
      <c r="AAT7" s="23"/>
      <c r="AAU7" s="44"/>
    </row>
    <row r="8" spans="1:745" s="23" customFormat="1" ht="6" customHeight="1">
      <c r="A8" s="598"/>
      <c r="B8" s="144"/>
      <c r="C8" s="689"/>
      <c r="D8" s="145"/>
      <c r="E8" s="146"/>
      <c r="F8" s="146"/>
      <c r="G8" s="145"/>
      <c r="H8" s="145"/>
      <c r="I8" s="58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7"/>
      <c r="AAB8"/>
      <c r="AAC8"/>
      <c r="AAD8" s="112"/>
      <c r="AAE8" s="550">
        <v>0</v>
      </c>
      <c r="AAF8" s="582" t="s">
        <v>172</v>
      </c>
      <c r="AAG8" s="76"/>
      <c r="AAH8" s="76"/>
      <c r="AAI8" s="76"/>
      <c r="AAJ8" s="507"/>
      <c r="AAK8" s="574"/>
      <c r="AAL8" s="40" t="s">
        <v>242</v>
      </c>
      <c r="AAM8" s="112"/>
      <c r="AAU8" s="44"/>
    </row>
    <row r="9" spans="1:745" ht="21" customHeight="1">
      <c r="A9" s="557"/>
      <c r="B9" s="120" t="s">
        <v>247</v>
      </c>
      <c r="C9" s="121"/>
      <c r="D9" s="121"/>
      <c r="E9" s="121"/>
      <c r="F9"/>
      <c r="G9"/>
      <c r="H9" s="534" t="s">
        <v>0</v>
      </c>
      <c r="I9" s="587"/>
      <c r="J9" s="636"/>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6"/>
      <c r="ZZ9" s="621"/>
      <c r="AAA9" s="587"/>
      <c r="AAD9" s="112"/>
      <c r="AAE9" s="550">
        <v>1</v>
      </c>
      <c r="AAF9" s="582" t="s">
        <v>172</v>
      </c>
      <c r="AAG9" s="78">
        <f ca="1">IF(TODAY()&lt;DDLs!A4,DDLs!A4,VLOOKUP(TODAY(),VL_EQCActivities,4,TRUE))</f>
        <v>63</v>
      </c>
      <c r="AAH9" s="77"/>
      <c r="AAI9" s="77"/>
      <c r="AAJ9" s="65"/>
      <c r="AAK9" s="575"/>
      <c r="AAL9" s="118"/>
      <c r="AAM9" s="112"/>
      <c r="AAN9"/>
      <c r="AAO9" s="106">
        <f>S.BANNER.OverviewStart</f>
        <v>41435</v>
      </c>
    </row>
    <row r="10" spans="1:745" s="23" customFormat="1" ht="26.25" customHeight="1">
      <c r="A10" s="598"/>
      <c r="B10" s="120"/>
      <c r="C10" s="683"/>
      <c r="D10" s="121"/>
      <c r="E10" s="121"/>
      <c r="F10"/>
      <c r="G10"/>
      <c r="H10"/>
      <c r="I10" s="587"/>
      <c r="J10" s="590"/>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6"/>
      <c r="ZZ10" s="621"/>
      <c r="AAA10" s="587"/>
      <c r="AAB10"/>
      <c r="AAC10"/>
      <c r="AAD10" s="112"/>
      <c r="AAE10" s="550">
        <v>0</v>
      </c>
      <c r="AAF10" s="582" t="s">
        <v>172</v>
      </c>
      <c r="AAG10" s="112"/>
      <c r="AAH10" s="77"/>
      <c r="AAI10" s="77"/>
      <c r="AAJ10" s="113"/>
      <c r="AAK10" s="575"/>
      <c r="AAL10" s="39"/>
      <c r="AAM10" s="112"/>
      <c r="AAT10" s="335" t="s">
        <v>0</v>
      </c>
    </row>
    <row r="11" spans="1:745" s="23" customFormat="1" ht="16.5" customHeight="1">
      <c r="A11" s="598"/>
      <c r="B11" s="537" t="s">
        <v>281</v>
      </c>
      <c r="C11" s="690"/>
      <c r="D11" s="537"/>
      <c r="E11" s="538"/>
      <c r="F11" s="321">
        <f ca="1">NETWORKDAYS(TODAY(),H11,S.DDL_DEQClosed)</f>
        <v>95</v>
      </c>
      <c r="G11" s="589">
        <f>S.EQCMeeting</f>
        <v>41619</v>
      </c>
      <c r="H11" s="584">
        <v>41619</v>
      </c>
      <c r="I11" s="626"/>
      <c r="J11" s="590"/>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7"/>
      <c r="AAB11"/>
      <c r="AAC11"/>
      <c r="AAD11" s="112"/>
      <c r="AAE11" s="550">
        <v>1</v>
      </c>
      <c r="AAF11" s="112"/>
      <c r="AAG11" s="65"/>
      <c r="AAH11" s="78">
        <f>VLOOKUP(WORKDAY(S.BANNER.OverviewStart,AAK36,S.DDL_DEQClosed),VL_EQCActivities,5,TRUE)</f>
        <v>41619</v>
      </c>
      <c r="AAI11" s="65"/>
      <c r="AAJ11" s="77"/>
      <c r="AAK11" s="65"/>
      <c r="AAL11" s="77"/>
      <c r="AAM11" s="112"/>
      <c r="AAO11" s="108" t="s">
        <v>220</v>
      </c>
      <c r="AAP11" s="336">
        <f t="shared" ref="AAP11:AAS11" si="705">AAP20/30</f>
        <v>6.3</v>
      </c>
      <c r="AAQ11" s="336">
        <f t="shared" si="705"/>
        <v>5.5666666666666664</v>
      </c>
      <c r="AAR11" s="336">
        <f t="shared" si="705"/>
        <v>4.833333333333333</v>
      </c>
      <c r="AAS11" s="336">
        <f t="shared" si="705"/>
        <v>4.0999999999999996</v>
      </c>
      <c r="AAX11" s="23" t="s">
        <v>236</v>
      </c>
      <c r="AAY11" s="23" t="s">
        <v>236</v>
      </c>
      <c r="AAZ11" s="23" t="s">
        <v>236</v>
      </c>
      <c r="ABA11" s="23" t="s">
        <v>236</v>
      </c>
      <c r="ABB11" s="23" t="s">
        <v>0</v>
      </c>
    </row>
    <row r="12" spans="1:745" s="23" customFormat="1" ht="16.5" customHeight="1">
      <c r="A12" s="598"/>
      <c r="B12" s="751" t="str">
        <f>AAL12</f>
        <v>INVOLVED before Rulemaking Action Item</v>
      </c>
      <c r="C12" s="751"/>
      <c r="D12" s="751"/>
      <c r="E12" s="125"/>
      <c r="F12" s="212"/>
      <c r="G12" s="534" t="s">
        <v>276</v>
      </c>
      <c r="H12" s="534" t="s">
        <v>275</v>
      </c>
      <c r="I12" s="626"/>
      <c r="J12" s="591"/>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7"/>
      <c r="ZZ12" s="36"/>
      <c r="AAA12" s="587"/>
      <c r="AAB12"/>
      <c r="AAC12"/>
      <c r="AAD12" s="112"/>
      <c r="AAE12" s="551">
        <f>IF(AAJ12=TRUE,1,0)</f>
        <v>1</v>
      </c>
      <c r="AAF12" s="582" t="s">
        <v>172</v>
      </c>
      <c r="AAG12" s="65"/>
      <c r="AAH12" s="65"/>
      <c r="AAI12" s="65"/>
      <c r="AAJ12" s="81" t="b">
        <f>IF(OR(S.InvolveEQCDirDialog=TRUE,S.InvolveEQCInfoItem=TRUE,S.InvolveEQCFacHearing=TRUE),TRUE,FALSE)</f>
        <v>1</v>
      </c>
      <c r="AAK12" s="522"/>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8"/>
      <c r="B13" s="126" t="s">
        <v>219</v>
      </c>
      <c r="C13" s="691"/>
      <c r="D13" s="781" t="str">
        <f>AAI13</f>
        <v/>
      </c>
      <c r="E13" s="781"/>
      <c r="F13" s="321">
        <f t="shared" ref="F13:F15" ca="1" si="706">NETWORKDAYS(TODAY(),H13,S.DDL_DEQClosed)</f>
        <v>18</v>
      </c>
      <c r="G13" s="585">
        <v>41507</v>
      </c>
      <c r="H13" s="585">
        <v>41507</v>
      </c>
      <c r="I13" s="626"/>
      <c r="J13" s="591"/>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7"/>
      <c r="AAB13"/>
      <c r="AAC13"/>
      <c r="AAD13" s="112"/>
      <c r="AAE13" s="551">
        <f>IF(AAJ13=TRUE,1,0)</f>
        <v>1</v>
      </c>
      <c r="AAF13" s="583" t="s">
        <v>0</v>
      </c>
      <c r="AAG13" s="78">
        <f>VLOOKUP(S.EQCMeeting,VL_EQCActivities,6,FALSE)</f>
        <v>41563</v>
      </c>
      <c r="AAH13" s="78">
        <f>G13</f>
        <v>41507</v>
      </c>
      <c r="AAI13" s="570" t="str">
        <f>IF(OR(G13&gt;=S.EQCMeeting,H13&gt;=S.EQCMeeting),"Must be less than H13","")</f>
        <v/>
      </c>
      <c r="AAJ13" s="81" t="b">
        <v>1</v>
      </c>
      <c r="AAK13" s="522"/>
      <c r="AAL13" s="65"/>
      <c r="AAM13" s="112"/>
      <c r="AAO13" s="109" t="s">
        <v>231</v>
      </c>
      <c r="AAP13" s="107">
        <f>IF(S.RuleType=1,28,21)</f>
        <v>28</v>
      </c>
      <c r="AAQ13" s="107">
        <f>IF(S.RuleType=1,21,14)</f>
        <v>21</v>
      </c>
      <c r="AAR13" s="107">
        <f>IF(S.RuleType=1,14,7)</f>
        <v>14</v>
      </c>
      <c r="AAS13" s="107">
        <f>IF(S.RuleType=1,7,0)</f>
        <v>7</v>
      </c>
      <c r="AAU13" s="509" t="s">
        <v>22</v>
      </c>
      <c r="AAV13" s="511" t="s">
        <v>235</v>
      </c>
      <c r="AAW13" s="509"/>
      <c r="AAX13" s="509" t="s">
        <v>1</v>
      </c>
      <c r="AAY13" s="510" t="s">
        <v>233</v>
      </c>
      <c r="AAZ13" s="511" t="s">
        <v>232</v>
      </c>
      <c r="ABA13" s="513" t="s">
        <v>225</v>
      </c>
      <c r="ABB13" s="509" t="s">
        <v>137</v>
      </c>
      <c r="ABC13" s="505" t="s">
        <v>237</v>
      </c>
      <c r="ABD13" s="505" t="s">
        <v>258</v>
      </c>
    </row>
    <row r="14" spans="1:745" s="23" customFormat="1" ht="16.7" customHeight="1">
      <c r="A14" s="598"/>
      <c r="B14" s="126" t="s">
        <v>216</v>
      </c>
      <c r="C14" s="691"/>
      <c r="D14" s="781" t="str">
        <f t="shared" ref="D14:D15" si="707">AAI14</f>
        <v/>
      </c>
      <c r="E14" s="781"/>
      <c r="F14" s="321">
        <f t="shared" ca="1" si="706"/>
        <v>57</v>
      </c>
      <c r="G14" s="585">
        <f t="shared" ref="G14:G15" si="708">AAG14</f>
        <v>41563</v>
      </c>
      <c r="H14" s="585">
        <f t="shared" ref="H14:H15" si="709">AAH14</f>
        <v>41563</v>
      </c>
      <c r="I14" s="626"/>
      <c r="J14" s="591"/>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7"/>
      <c r="AAB14"/>
      <c r="AAC14"/>
      <c r="AAD14" s="112"/>
      <c r="AAE14" s="551">
        <f>IF(AAJ14=TRUE,1,0)</f>
        <v>0</v>
      </c>
      <c r="AAF14" s="583" t="s">
        <v>0</v>
      </c>
      <c r="AAG14" s="78">
        <f>VLOOKUP(S.EQCMeeting,VL_EQCActivities,6,FALSE)</f>
        <v>41563</v>
      </c>
      <c r="AAH14" s="78">
        <f t="shared" ref="AAH14:AAH15" si="710">G14</f>
        <v>41563</v>
      </c>
      <c r="AAI14" s="570" t="str">
        <f>IF(OR(G14&gt;=S.EQCMeeting,H14&gt;=S.EQCMeeting),"Must be less than H13","")</f>
        <v/>
      </c>
      <c r="AAJ14" s="81" t="b">
        <v>0</v>
      </c>
      <c r="AAK14" s="522"/>
      <c r="AAL14" s="76"/>
      <c r="AAM14" s="112"/>
      <c r="AAO14" s="109" t="s">
        <v>221</v>
      </c>
      <c r="AAP14" s="107">
        <f>IF(S.InvolveSIP=TRUE,25,0)</f>
        <v>25</v>
      </c>
      <c r="AAQ14" s="107">
        <f>IF(S.InvolveSIP=TRUE,20,0)</f>
        <v>20</v>
      </c>
      <c r="AAR14" s="107">
        <f>IF(S.InvolveSIP=TRUE,15,0)</f>
        <v>15</v>
      </c>
      <c r="AAS14" s="107">
        <f>IF(S.InvolveSIP=TRUE,10,0)</f>
        <v>10</v>
      </c>
      <c r="AAT14" s="23" t="s">
        <v>0</v>
      </c>
      <c r="AAU14" s="509"/>
      <c r="AAV14" s="511"/>
      <c r="AAW14" s="509" t="s">
        <v>222</v>
      </c>
      <c r="AAX14" s="509"/>
      <c r="AAY14" s="506"/>
      <c r="AAZ14" s="512"/>
      <c r="ABA14" s="513"/>
      <c r="ABB14" s="509"/>
      <c r="ABC14" s="506"/>
      <c r="ABD14" s="506"/>
    </row>
    <row r="15" spans="1:745" s="23" customFormat="1" ht="15.75" customHeight="1">
      <c r="A15" s="598"/>
      <c r="B15" s="128" t="str">
        <f>AAL15</f>
        <v>Facilitated Hearing</v>
      </c>
      <c r="C15" s="691"/>
      <c r="D15" s="781" t="str">
        <f t="shared" si="707"/>
        <v/>
      </c>
      <c r="E15" s="781"/>
      <c r="F15" s="321">
        <f t="shared" ca="1" si="706"/>
        <v>57</v>
      </c>
      <c r="G15" s="585">
        <f t="shared" si="708"/>
        <v>41563</v>
      </c>
      <c r="H15" s="585">
        <f t="shared" si="709"/>
        <v>41563</v>
      </c>
      <c r="I15" s="626"/>
      <c r="J15" s="591"/>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7"/>
      <c r="AAB15"/>
      <c r="AAC15"/>
      <c r="AAD15" s="112"/>
      <c r="AAE15" s="551">
        <f>IF(AAJ15=TRUE,1,0)</f>
        <v>0</v>
      </c>
      <c r="AAF15" s="583" t="s">
        <v>0</v>
      </c>
      <c r="AAG15" s="78">
        <f>VLOOKUP(S.EQCMeeting,VL_EQCActivities,6,FALSE)</f>
        <v>41563</v>
      </c>
      <c r="AAH15" s="78">
        <f t="shared" si="710"/>
        <v>41563</v>
      </c>
      <c r="AAI15" s="570" t="str">
        <f>IF(OR(G15&gt;=S.EQCMeeting,H15&gt;=S.EQCMeeting),"Must be less than H13","")</f>
        <v/>
      </c>
      <c r="AAJ15" s="81" t="b">
        <v>0</v>
      </c>
      <c r="AAK15" s="522"/>
      <c r="AAL15" s="569" t="str">
        <f>IF(AND(S.InvolveEQCFacHearing=TRUE,S.InvolveHearing=FALSE),"ERROR:No hearings selected below","Facilitated Hearing")</f>
        <v>Facilitated Hearing</v>
      </c>
      <c r="AAM15" s="112"/>
      <c r="AAO15" s="109" t="s">
        <v>222</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230</v>
      </c>
      <c r="AAV15" s="100">
        <f>IF(S.InvolveSIP=FALSE,S.BANNER.OverviewStart,IF(WORKDAY(ABA15-46,1,S.DDL_DEQClosed)&lt;S.BANNER.OverviewStart,S.BANNER.OverviewStart,WORKDAY(ABA15-46,1,S.DDL_DEQClosed)))</f>
        <v>41701</v>
      </c>
      <c r="AAW15" s="100">
        <f>IF(S.InvolveCommittee=FALSE,S.BANNER.OverviewStart,WORKDAY(S.BANNER.OverviewStart+31,-1,S.DDL_DEQClosed))</f>
        <v>41465</v>
      </c>
      <c r="AAX15" s="100">
        <f>IF(S.DASApprovalRequired=TRUE,WORKDAY(AAY15-31,1,S.DDL_DEQClosed),IF(S.InvolveFee=TRUE,AAY15,S.BANNER.OverviewStart))</f>
        <v>41435</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8"/>
      <c r="B16" s="128"/>
      <c r="C16" s="691"/>
      <c r="D16" s="129"/>
      <c r="E16" s="124"/>
      <c r="F16" s="214"/>
      <c r="G16" s="552"/>
      <c r="H16" s="552"/>
      <c r="I16" s="587"/>
      <c r="J16" s="591"/>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7"/>
      <c r="ZZ16" s="36"/>
      <c r="AAA16" s="587"/>
      <c r="AAB16"/>
      <c r="AAC16"/>
      <c r="AAD16" s="112"/>
      <c r="AAE16" s="551">
        <v>0</v>
      </c>
      <c r="AAF16" s="582" t="s">
        <v>172</v>
      </c>
      <c r="AAG16" s="78"/>
      <c r="AAH16" s="78"/>
      <c r="AAI16" s="82"/>
      <c r="AAJ16" s="81"/>
      <c r="AAK16" s="522"/>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8"/>
      <c r="B17" s="752" t="str">
        <f>AAL17</f>
        <v>1-State Implementation Plan (AQ rules)</v>
      </c>
      <c r="C17" s="752"/>
      <c r="D17" s="516"/>
      <c r="E17" s="554">
        <f t="shared" ref="E17" si="711">NETWORKDAYS(G17,H17,S.DDL_DEQClosed)</f>
        <v>131</v>
      </c>
      <c r="F17" s="321">
        <f t="shared" ref="F17" ca="1" si="712">NETWORKDAYS(TODAY(),H17,S.DDL_DEQClosed)</f>
        <v>105</v>
      </c>
      <c r="G17" s="521">
        <f t="shared" ref="G17" si="713">AAG17</f>
        <v>41445</v>
      </c>
      <c r="H17" s="520">
        <f>AAH17</f>
        <v>41634</v>
      </c>
      <c r="I17" s="627"/>
      <c r="J17" s="590"/>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7"/>
      <c r="AAB17"/>
      <c r="AAC17"/>
      <c r="AAD17" s="112"/>
      <c r="AAE17" s="551">
        <f>IF(S.InvolveSIP=TRUE,1,0)</f>
        <v>1</v>
      </c>
      <c r="AAF17" s="583" t="s">
        <v>0</v>
      </c>
      <c r="AAG17" s="78">
        <f>WORKDAY(S.BANNER.OverviewStart+9,1,S.DDL_DEQClosed)</f>
        <v>41445</v>
      </c>
      <c r="AAH17" s="78">
        <f>WORKDAY(S.SubmitSIPToEPA.PostEQC-1,1,S.DDL_DEQClosed)</f>
        <v>41634</v>
      </c>
      <c r="AAI17" s="65"/>
      <c r="AAJ17" s="81" t="b">
        <v>1</v>
      </c>
      <c r="AAK17" s="522"/>
      <c r="AAL17" s="83" t="str">
        <f>IF(AND(S.InvolveSIP=TRUE,S.InvolveHearing=FALSE),"ERROR: EPA requires hearings for SIP rules",IF(S.InvolveSIP=TRUE,"1-State Implementation Plan (AQ rules)","1-State Implementation Plan (AQ rules) NOT involved"))</f>
        <v>1-State Implementation Plan (AQ rules)</v>
      </c>
      <c r="AAM17" s="112"/>
      <c r="AAO17" s="109" t="s">
        <v>223</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227</v>
      </c>
      <c r="AAV17" s="100">
        <f>IF(S.InvolveSIP=FALSE,S.BANNER.OverviewStart,IF(WORKDAY(ABA17-46,1,S.DDL_DEQClosed)&lt;S.BANNER.OverviewStart,S.BANNER.OverviewStart,WORKDAY(ABA17-46,1,S.DDL_DEQClosed)))</f>
        <v>41670</v>
      </c>
      <c r="AAW17" s="100">
        <f>IF(S.InvolveCommittee=FALSE,S.BANNER.OverviewStart,WORKDAY(S.BANNER.OverviewStart+26,-1,S.DDL_DEQClosed))</f>
        <v>41460</v>
      </c>
      <c r="AAX17" s="100">
        <f>IF(S.DASApprovalRequired=TRUE,WORKDAY(AAY17-31,1,S.DDL_DEQClosed),IF(S.InvolveFee=TRUE,AAY17,S.BANNER.OverviewStart))</f>
        <v>41435</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7"/>
      <c r="B18" s="130"/>
      <c r="C18" s="692"/>
      <c r="D18" s="130"/>
      <c r="E18" s="124"/>
      <c r="F18" s="214"/>
      <c r="G18" s="492"/>
      <c r="H18"/>
      <c r="I18" s="587"/>
      <c r="J18" s="590"/>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6"/>
      <c r="ZZ18" s="621"/>
      <c r="AAA18" s="587"/>
      <c r="AAB18"/>
      <c r="AAC18"/>
      <c r="AAD18" s="112"/>
      <c r="AAE18" s="550">
        <v>0</v>
      </c>
      <c r="AAF18" s="582" t="s">
        <v>172</v>
      </c>
      <c r="AAG18" s="112"/>
      <c r="AAH18" s="112"/>
      <c r="AAI18" s="211"/>
      <c r="AAJ18" s="522" t="s">
        <v>0</v>
      </c>
      <c r="AAK18" s="522"/>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41610</v>
      </c>
      <c r="AAW18" s="100">
        <f>IF(S.InvolveCommittee=FALSE,S.BANNER.OverviewStart,WORKDAY(S.BANNER.OverviewStart+21,-1,S.DDL_DEQClosed))</f>
        <v>41453</v>
      </c>
      <c r="AAX18" s="100">
        <f>IF(S.DASApprovalRequired=TRUE,WORKDAY(AAY18-31,1,S.DDL_DEQClosed),IF(S.InvolveFee=TRUE,AAY18,S.BANNER.OverviewStart))</f>
        <v>41435</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7"/>
      <c r="B19" s="326" t="str">
        <f t="shared" ref="B19:B28" si="714">AAL19</f>
        <v>2-Advisory Committee</v>
      </c>
      <c r="C19" s="684"/>
      <c r="D19" s="326"/>
      <c r="E19" s="677">
        <f t="shared" ref="E19" si="715">NETWORKDAYS(G19,H19,S.DDL_DEQClosed)</f>
        <v>111</v>
      </c>
      <c r="F19" s="544">
        <f ca="1">NETWORKDAYS(TODAY(),G19,S.DDL_DEQClosed)</f>
        <v>-5</v>
      </c>
      <c r="G19" s="651">
        <f>AAG19</f>
        <v>41478</v>
      </c>
      <c r="H19" s="678">
        <f>AAH19</f>
        <v>41638</v>
      </c>
      <c r="I19" s="626"/>
      <c r="J19" s="590"/>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7"/>
      <c r="AAB19"/>
      <c r="AAC19"/>
      <c r="AAD19" s="112"/>
      <c r="AAE19" s="551">
        <f>IF(S.InvolveCommittee=TRUE,1,0)</f>
        <v>1</v>
      </c>
      <c r="AAF19" s="112" t="s">
        <v>0</v>
      </c>
      <c r="AAG19" s="78">
        <f>IF(S.InvolveCommittee=TRUE,WORKDAY(S.BANNER.OverviewStart,30,S.DDL_DEQClosed),S.BANNER.OverviewStart)</f>
        <v>41478</v>
      </c>
      <c r="AAH19" s="78">
        <f>IF(S.InvolveCommittee=TRUE,WORKDAY(S.FileRuleWithSOS,10,S.DDL_DEQClosed),S.BANNER.OverviewStart)</f>
        <v>41638</v>
      </c>
      <c r="AAI19" s="65"/>
      <c r="AAJ19" s="81" t="b">
        <v>1</v>
      </c>
      <c r="AAK19" s="522"/>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41520</v>
      </c>
      <c r="AAW19" s="100">
        <f>IF(S.InvolveCommittee=FALSE,S.BANNER.OverviewStart,WORKDAY(S.BANNER.OverviewStart+11,-1,S.DDL_DEQClosed))</f>
        <v>41445</v>
      </c>
      <c r="AAX19" s="340">
        <f>IF(S.DASApprovalRequired=TRUE,WORKDAY(AAY19-31,1,S.DDL_DEQClosed),IF(S.InvolveFee=TRUE,AAY19,S.BANNER.OverviewStart))</f>
        <v>41435</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7"/>
      <c r="B20" s="203"/>
      <c r="C20" s="693"/>
      <c r="D20" s="131"/>
      <c r="E20" s="124"/>
      <c r="F20" s="214"/>
      <c r="G20" s="492"/>
      <c r="H20" s="215"/>
      <c r="I20" s="587"/>
      <c r="J20" s="590"/>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4"/>
      <c r="ZZ20" s="621"/>
      <c r="AAA20" s="587"/>
      <c r="AAB20"/>
      <c r="AAC20"/>
      <c r="AAD20" s="112"/>
      <c r="AAE20" s="550">
        <v>0</v>
      </c>
      <c r="AAF20" s="582" t="s">
        <v>172</v>
      </c>
      <c r="AAG20" s="84"/>
      <c r="AAH20" s="77"/>
      <c r="AAI20" s="211"/>
      <c r="AAJ20" s="81"/>
      <c r="AAK20" s="522"/>
      <c r="AAL20" s="85"/>
      <c r="AAM20" s="112"/>
      <c r="AAO20" s="779"/>
      <c r="AAP20" s="772">
        <f>SUM(AAP13:AAP19)</f>
        <v>189</v>
      </c>
      <c r="AAQ20" s="772">
        <f>SUM(AAQ13:AAQ19)</f>
        <v>167</v>
      </c>
      <c r="AAR20" s="772">
        <f>SUM(AAR13:AAR19)</f>
        <v>145</v>
      </c>
      <c r="AAS20" s="772">
        <f>SUM(AAS13:AAS19)</f>
        <v>123</v>
      </c>
      <c r="AAU20"/>
      <c r="AAV20"/>
      <c r="AAW20"/>
      <c r="AAX20"/>
      <c r="AAY20"/>
      <c r="AAZ20"/>
      <c r="ABA20"/>
      <c r="ABB20"/>
      <c r="ABC20"/>
      <c r="ABD20"/>
    </row>
    <row r="21" spans="1:735" ht="20.100000000000001" customHeight="1">
      <c r="A21" s="557"/>
      <c r="B21" s="130" t="str">
        <f t="shared" si="714"/>
        <v>3-Fees Not Involved</v>
      </c>
      <c r="C21" s="685"/>
      <c r="D21" s="133" t="s">
        <v>0</v>
      </c>
      <c r="E21" s="543">
        <f t="shared" ref="E21" si="716">NETWORKDAYS(G21,H21,S.DDL_DEQClosed)</f>
        <v>50</v>
      </c>
      <c r="F21" s="542">
        <f t="shared" ref="F21" ca="1" si="717">NETWORKDAYS(TODAY(),H21,S.DDL_DEQClosed)</f>
        <v>16</v>
      </c>
      <c r="G21" s="521">
        <f>AAG21</f>
        <v>41435</v>
      </c>
      <c r="H21" s="518">
        <f>AAH21</f>
        <v>41505</v>
      </c>
      <c r="I21" s="626"/>
      <c r="J21" s="590"/>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7"/>
      <c r="AAD21" s="112"/>
      <c r="AAE21" s="551">
        <f>IF(S.InvolveFee=TRUE,1,0)</f>
        <v>0</v>
      </c>
      <c r="AAF21" s="112" t="s">
        <v>0</v>
      </c>
      <c r="AAG21" s="78">
        <f>IF(S.InvolveFee=TRUE,WORKDAY(S.BANNER.OverviewStart,30,S.DDL_DEQClosed),S.BANNER.OverviewStart)</f>
        <v>41435</v>
      </c>
      <c r="AAH21" s="78">
        <f>S.BANNER.FeeEnd</f>
        <v>41505</v>
      </c>
      <c r="AAI21" s="334" t="b">
        <f>IF(AND(S.InvolveFee,AAJ22=1),TRUE,FALSE)</f>
        <v>0</v>
      </c>
      <c r="AAJ21" s="81" t="b">
        <v>0</v>
      </c>
      <c r="AAK21" s="522"/>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7"/>
      <c r="B22" s="134" t="str">
        <f t="shared" si="714"/>
        <v>DAS - Fee approval not involved</v>
      </c>
      <c r="C22" s="694"/>
      <c r="D22" s="135" t="s">
        <v>71</v>
      </c>
      <c r="E22" s="122"/>
      <c r="F22" s="216"/>
      <c r="G22" s="519"/>
      <c r="H22" s="217"/>
      <c r="I22" s="587"/>
      <c r="J22" s="59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8"/>
      <c r="ZZ22" s="621"/>
      <c r="AAA22" s="587"/>
      <c r="AAB22"/>
      <c r="AAC22"/>
      <c r="AAD22" s="112"/>
      <c r="AAE22" s="550">
        <f>IF(S.InvolveFee=TRUE,1,0)</f>
        <v>0</v>
      </c>
      <c r="AAF22" s="582" t="s">
        <v>172</v>
      </c>
      <c r="AAG22" s="84"/>
      <c r="AAH22" s="84" t="s">
        <v>0</v>
      </c>
      <c r="AAI22" s="84"/>
      <c r="AAJ22" s="86">
        <v>1</v>
      </c>
      <c r="AAK22" s="522"/>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7"/>
      <c r="B23" s="134" t="str">
        <f t="shared" si="714"/>
        <v>DAS - Email notice not involved</v>
      </c>
      <c r="C23" s="694"/>
      <c r="D23" s="136"/>
      <c r="E23" s="122"/>
      <c r="F23" s="216"/>
      <c r="G23" s="519"/>
      <c r="H23" s="217"/>
      <c r="I23" s="587"/>
      <c r="J23" s="59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6"/>
      <c r="ZZ23" s="621"/>
      <c r="AAA23" s="587"/>
      <c r="AAB23"/>
      <c r="AAC23"/>
      <c r="AAD23" s="112"/>
      <c r="AAE23" s="550">
        <f>IF(S.InvolveFee=TRUE,1,0)</f>
        <v>0</v>
      </c>
      <c r="AAF23" s="582" t="s">
        <v>172</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7"/>
      <c r="B24" s="134"/>
      <c r="C24" s="694"/>
      <c r="D24" s="136"/>
      <c r="E24" s="122"/>
      <c r="F24" s="216"/>
      <c r="G24" s="519"/>
      <c r="H24" s="217"/>
      <c r="I24" s="587"/>
      <c r="J24" s="59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6"/>
      <c r="ZZ24" s="621"/>
      <c r="AAA24" s="587"/>
      <c r="AAB24"/>
      <c r="AAC24"/>
      <c r="AAD24" s="112"/>
      <c r="AAE24" s="550">
        <v>0</v>
      </c>
      <c r="AAF24" s="582" t="s">
        <v>172</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7"/>
      <c r="B25" s="750" t="str">
        <f t="shared" si="714"/>
        <v>4-Public Notice WITH hearing</v>
      </c>
      <c r="C25" s="750"/>
      <c r="D25" s="750"/>
      <c r="E25" s="122"/>
      <c r="F25" s="216"/>
      <c r="G25" s="519"/>
      <c r="H25" s="217"/>
      <c r="I25" s="587"/>
      <c r="J25" s="59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4"/>
      <c r="ZZ25" s="621"/>
      <c r="AAA25" s="587"/>
      <c r="AAB25"/>
      <c r="AAC25"/>
      <c r="AAD25" s="112"/>
      <c r="AAE25" s="550">
        <f>IF(S.InvolveNotice=TRUE,1,0)</f>
        <v>1</v>
      </c>
      <c r="AAF25" s="582" t="s">
        <v>172</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7"/>
      <c r="B26" s="762" t="str">
        <f>AAL26</f>
        <v>EPA - submit 45 days BEFORE 1st hearing (H31)</v>
      </c>
      <c r="C26" s="763"/>
      <c r="D26" s="763"/>
      <c r="E26" s="517" t="s">
        <v>0</v>
      </c>
      <c r="F26" s="321">
        <f t="shared" ref="F26" ca="1" si="718">NETWORKDAYS(TODAY(),H26,S.DDL_DEQClosed)</f>
        <v>5</v>
      </c>
      <c r="G26" s="649">
        <f>S.SubmitNoticeToEPA</f>
        <v>41488</v>
      </c>
      <c r="H26" s="322">
        <f>AAH26</f>
        <v>41488</v>
      </c>
      <c r="I26" s="626"/>
      <c r="J26" s="59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7"/>
      <c r="AAB26"/>
      <c r="AAC26"/>
      <c r="AAD26" s="112"/>
      <c r="AAE26" s="551">
        <f>IF(AND(S.InvolveSIP=TRUE,S.InvolveNotice=TRUE),1,0)</f>
        <v>1</v>
      </c>
      <c r="AAF26" s="112" t="s">
        <v>0</v>
      </c>
      <c r="AAG26" s="65"/>
      <c r="AAH26" s="78">
        <f>WORKDAY(S.FirstHearingDate-44,-1,S.DDL_DEQClosed)</f>
        <v>41488</v>
      </c>
      <c r="AAI26" s="341" t="s">
        <v>0</v>
      </c>
      <c r="AAJ26" s="87"/>
      <c r="AAK26" s="576"/>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hidden="1" customHeight="1">
      <c r="A27" s="557"/>
      <c r="B27" s="764" t="str">
        <f>AAL27</f>
        <v>DAS - fees not involved</v>
      </c>
      <c r="C27" s="764"/>
      <c r="D27" s="764"/>
      <c r="E27" s="517" t="s">
        <v>0</v>
      </c>
      <c r="F27" s="321">
        <f t="shared" ref="F27" ca="1" si="719">NETWORKDAYS(TODAY(),H27,S.DDL_DEQClosed)</f>
        <v>-35</v>
      </c>
      <c r="G27" s="649">
        <f>S.SubmitFeeToDAS</f>
        <v>41435</v>
      </c>
      <c r="H27" s="322">
        <f>AAH27</f>
        <v>41435</v>
      </c>
      <c r="I27" s="626"/>
      <c r="J27" s="59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7"/>
      <c r="AAB27"/>
      <c r="AAC27"/>
      <c r="AAD27" s="112"/>
      <c r="AAE27" s="550">
        <f>IF(AND(S.InvolveFee=TRUE,S.InvolveNotice=TRUE),1,0)</f>
        <v>0</v>
      </c>
      <c r="AAF27" s="112" t="s">
        <v>0</v>
      </c>
      <c r="AAG27" s="65"/>
      <c r="AAH27" s="78">
        <f>IF(S.DASApprovalRequired=TRUE,WORKDAY(S.SubmitNoticeToSOS-31,1,S.DDL_DEQClosed),IF(S.InvolveFee=TRUE,S.SubmitNoticeToSOS,S.BANNER.OverviewStart))</f>
        <v>41435</v>
      </c>
      <c r="AAI27" s="77"/>
      <c r="AAJ27" s="77"/>
      <c r="AAK27" s="579">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7" t="s">
        <v>0</v>
      </c>
      <c r="B28" s="764" t="str">
        <f t="shared" si="714"/>
        <v>SOS - submit on workday &lt;=15th of month BEFORE Bulletin (H29)</v>
      </c>
      <c r="C28" s="764"/>
      <c r="D28" s="764"/>
      <c r="E28" s="517"/>
      <c r="F28" s="321">
        <f ca="1">NETWORKDAYS(TODAY(),H28,S.DDL_DEQClosed)</f>
        <v>14</v>
      </c>
      <c r="G28" s="649">
        <f>S.SubmitNoticeToSOS</f>
        <v>41501</v>
      </c>
      <c r="H28" s="322">
        <f>AAH28</f>
        <v>41501</v>
      </c>
      <c r="I28" s="626"/>
      <c r="J28" s="59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7"/>
      <c r="AAB28"/>
      <c r="AAC28"/>
      <c r="AAD28" s="112"/>
      <c r="AAE28" s="550">
        <f>IF(S.InvolveNotice=TRUE,1,0)</f>
        <v>1</v>
      </c>
      <c r="AAF28" s="112" t="s">
        <v>0</v>
      </c>
      <c r="AAG28" s="65"/>
      <c r="AAH28" s="78">
        <f>VLOOKUP(S.PublicNoticeInBulletin,VL_Bulletin,2,FALSE)</f>
        <v>41501</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7" t="s">
        <v>0</v>
      </c>
      <c r="B29" s="508" t="str">
        <f t="shared" ref="B29" si="720">AAL29</f>
        <v>SOS - Bulletin always publishes 1st of month</v>
      </c>
      <c r="C29" s="694"/>
      <c r="D29" s="777" t="str">
        <f>AAI29</f>
        <v/>
      </c>
      <c r="E29" s="778"/>
      <c r="F29" s="321">
        <f ca="1">NETWORKDAYS(TODAY(),H29,S.DDL_DEQClosed)</f>
        <v>25</v>
      </c>
      <c r="G29" s="650" t="s">
        <v>0</v>
      </c>
      <c r="H29" s="584">
        <v>41518</v>
      </c>
      <c r="I29" s="626"/>
      <c r="J29" s="590"/>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7"/>
      <c r="AAB29"/>
      <c r="AAC29"/>
      <c r="AAD29" s="112"/>
      <c r="AAE29" s="550">
        <f>IF(S.InvolveNotice=TRUE,1,0)</f>
        <v>1</v>
      </c>
      <c r="AAF29" s="112" t="s">
        <v>0</v>
      </c>
      <c r="AAG29" s="65"/>
      <c r="AAH29" s="78">
        <f>VLOOKUP(S.EQCMeeting-60,S.DDL_Bulletin,TRUE)</f>
        <v>41548</v>
      </c>
      <c r="AAI29" s="572" t="str">
        <f>IF(S.PublicNoticeInBulletin&gt;=S.SubmitStaffRpt-25,"Select earlier date &gt;","")</f>
        <v/>
      </c>
      <c r="AAJ29" s="81" t="b">
        <v>1</v>
      </c>
      <c r="AAK29" s="579">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7"/>
      <c r="B30" s="130" t="s">
        <v>168</v>
      </c>
      <c r="C30" s="695"/>
      <c r="D30" s="136"/>
      <c r="E30" s="122"/>
      <c r="F30" s="216"/>
      <c r="G30" s="519"/>
      <c r="H30" s="217"/>
      <c r="I30" s="587"/>
      <c r="J30" s="590"/>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5"/>
      <c r="ZZ30" s="621"/>
      <c r="AAA30" s="587"/>
      <c r="AAB30"/>
      <c r="AAC30"/>
      <c r="AAD30" s="112"/>
      <c r="AAE30" s="550">
        <f>IF(S.InvolveNotice=TRUE,1,0)</f>
        <v>1</v>
      </c>
      <c r="AAF30" s="582" t="s">
        <v>172</v>
      </c>
      <c r="AAG30" s="77"/>
      <c r="AAH30" s="77"/>
      <c r="AAI30" s="77"/>
      <c r="AAJ30" s="77"/>
      <c r="AAK30" s="341"/>
      <c r="AAL30" s="210" t="s">
        <v>217</v>
      </c>
      <c r="AAM30" s="112"/>
      <c r="AAN30" s="571" t="s">
        <v>0</v>
      </c>
      <c r="AAU30" s="44"/>
      <c r="AAV30"/>
      <c r="AAW30"/>
      <c r="AAX30"/>
      <c r="AAY30"/>
      <c r="AAZ30"/>
      <c r="ABA30"/>
      <c r="ABB30"/>
      <c r="ABC30"/>
      <c r="ABD30"/>
    </row>
    <row r="31" spans="1:735" ht="16.7" customHeight="1">
      <c r="A31" s="557"/>
      <c r="B31" s="773" t="str">
        <f>AAL31</f>
        <v>First Hearing =&gt; 15th workday AFTER Bulletin (H29)</v>
      </c>
      <c r="C31" s="773"/>
      <c r="D31" s="773"/>
      <c r="E31" s="514"/>
      <c r="F31" s="321">
        <f t="shared" ref="F31:F40" ca="1" si="721">NETWORKDAYS(TODAY(),H31,S.DDL_DEQClosed)</f>
        <v>35</v>
      </c>
      <c r="G31" s="649">
        <f>S.FirstHearingDate</f>
        <v>41533</v>
      </c>
      <c r="H31" s="322">
        <f>AAH31</f>
        <v>41533</v>
      </c>
      <c r="I31" s="626"/>
      <c r="J31" s="590"/>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7"/>
      <c r="AAD31" s="112"/>
      <c r="AAE31" s="550">
        <f>IF(S.InvolveNotice=FALSE,0,IF(S.InvolveHearing=TRUE,1,0))</f>
        <v>1</v>
      </c>
      <c r="AAF31" s="112" t="s">
        <v>0</v>
      </c>
      <c r="AAG31" s="65"/>
      <c r="AAH31" s="78">
        <f>WORKDAY(S.PublicNoticeInBulletin+13,1,S.DDL_DEQClosed)</f>
        <v>41533</v>
      </c>
      <c r="AAI31" s="77"/>
      <c r="AAJ31" s="81" t="b">
        <v>1</v>
      </c>
      <c r="AAK31" s="579">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7"/>
      <c r="B32" s="137" t="str">
        <f>AAL32</f>
        <v>Close PUBLIC COMMENT</v>
      </c>
      <c r="C32" s="696"/>
      <c r="D32" s="139"/>
      <c r="E32" s="124"/>
      <c r="F32" s="321">
        <f ca="1">NETWORKDAYS(TODAY(),H32,S.DDL_DEQClosed)</f>
        <v>38</v>
      </c>
      <c r="G32" s="649">
        <f>S.CloseComment</f>
        <v>41536</v>
      </c>
      <c r="H32" s="322">
        <f>AAH32</f>
        <v>41536</v>
      </c>
      <c r="I32" s="626"/>
      <c r="J32" s="590"/>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7"/>
      <c r="AAD32" s="112"/>
      <c r="AAE32" s="550">
        <f>IF(S.InvolveNotice=TRUE,1,0)</f>
        <v>1</v>
      </c>
      <c r="AAF32" s="112" t="s">
        <v>0</v>
      </c>
      <c r="AAG32" s="65"/>
      <c r="AAH32" s="78">
        <f>IF(S.InvolveNotice=FALSE,S.BANNER.OverviewStart,WORKDAY(S.LastHearingDate+2,1,S.DDL_DEQClosed))</f>
        <v>41536</v>
      </c>
      <c r="AAI32" s="77"/>
      <c r="AAJ32" s="56" t="s">
        <v>0</v>
      </c>
      <c r="AAK32" s="577"/>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7"/>
      <c r="B33" s="140" t="s">
        <v>96</v>
      </c>
      <c r="C33" s="696"/>
      <c r="D33" s="139"/>
      <c r="E33" s="122"/>
      <c r="F33" s="216"/>
      <c r="G33" s="519"/>
      <c r="H33" s="217"/>
      <c r="I33" s="587"/>
      <c r="J33" s="590"/>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5"/>
      <c r="ZZ33" s="621"/>
      <c r="AAA33" s="587"/>
      <c r="AAB33"/>
      <c r="AAC33"/>
      <c r="AAD33" s="112"/>
      <c r="AAE33" s="550">
        <v>1</v>
      </c>
      <c r="AAF33" s="582" t="s">
        <v>172</v>
      </c>
      <c r="AAG33" s="84"/>
      <c r="AAH33" s="84"/>
      <c r="AAI33" s="77"/>
      <c r="AAJ33" s="87"/>
      <c r="AAK33" s="576"/>
      <c r="AAL33" s="116"/>
      <c r="AAM33" s="112"/>
      <c r="AAU33" s="44"/>
    </row>
    <row r="34" spans="1:732" s="23" customFormat="1" ht="17.100000000000001" customHeight="1">
      <c r="A34" s="557"/>
      <c r="B34" s="143" t="s">
        <v>238</v>
      </c>
      <c r="C34" s="697" t="s">
        <v>70</v>
      </c>
      <c r="D34" s="138"/>
      <c r="E34" s="124"/>
      <c r="F34" s="321">
        <f ca="1">NETWORKDAYS(TODAY(),H34,S.DDL_DEQClosed)</f>
        <v>69</v>
      </c>
      <c r="G34" s="649">
        <f>S.SubmitStaffRpt</f>
        <v>41579</v>
      </c>
      <c r="H34" s="323">
        <f>AAH34</f>
        <v>41579</v>
      </c>
      <c r="I34" s="626"/>
      <c r="J34" s="590"/>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7"/>
      <c r="AAB34"/>
      <c r="AAC34"/>
      <c r="AAD34" s="112"/>
      <c r="AAE34" s="550">
        <v>1</v>
      </c>
      <c r="AAF34" s="112" t="s">
        <v>0</v>
      </c>
      <c r="AAG34" s="65"/>
      <c r="AAH34" s="78">
        <f>VLOOKUP(S.EQCMeeting,VL_EQCActivities,2,FALSE)</f>
        <v>41579</v>
      </c>
      <c r="AAI34" s="77"/>
      <c r="AAJ34" s="56"/>
      <c r="AAK34" s="579">
        <v>41</v>
      </c>
      <c r="AAL34" s="39" t="s">
        <v>306</v>
      </c>
      <c r="AAM34" s="112"/>
      <c r="AAU34" s="44"/>
    </row>
    <row r="35" spans="1:732" s="23" customFormat="1" ht="17.100000000000001" customHeight="1">
      <c r="A35" s="557"/>
      <c r="B35" s="143" t="s">
        <v>248</v>
      </c>
      <c r="C35" s="697" t="s">
        <v>70</v>
      </c>
      <c r="D35" s="138"/>
      <c r="E35" s="124"/>
      <c r="F35" s="321">
        <f ca="1">NETWORKDAYS(TODAY(),H35,S.DDL_DEQClosed)</f>
        <v>95</v>
      </c>
      <c r="G35" s="649">
        <f>H35</f>
        <v>41619</v>
      </c>
      <c r="H35" s="324">
        <f>AAH35</f>
        <v>41619</v>
      </c>
      <c r="I35" s="626"/>
      <c r="J35" s="590"/>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7"/>
      <c r="AAB35"/>
      <c r="AAC35"/>
      <c r="AAD35" s="112"/>
      <c r="AAE35" s="550">
        <v>1</v>
      </c>
      <c r="AAF35" s="112"/>
      <c r="AAG35" s="65"/>
      <c r="AAH35" s="78">
        <f>S.EQCMeeting</f>
        <v>41619</v>
      </c>
      <c r="AAI35" s="65"/>
      <c r="AAJ35" s="56"/>
      <c r="AAK35" s="577"/>
      <c r="AAL35" s="39"/>
      <c r="AAM35" s="112"/>
      <c r="AAU35" s="44"/>
    </row>
    <row r="36" spans="1:732" s="23" customFormat="1" ht="20.100000000000001" customHeight="1">
      <c r="A36" s="557"/>
      <c r="B36" s="140" t="s">
        <v>170</v>
      </c>
      <c r="C36" s="696"/>
      <c r="D36" s="139"/>
      <c r="E36" s="122"/>
      <c r="F36" s="216"/>
      <c r="G36" s="519"/>
      <c r="H36" s="217"/>
      <c r="I36" s="587"/>
      <c r="J36" s="590"/>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5"/>
      <c r="ZZ36" s="621"/>
      <c r="AAA36" s="587"/>
      <c r="AAB36"/>
      <c r="AAC36"/>
      <c r="AAD36" s="112"/>
      <c r="AAE36" s="550">
        <v>1</v>
      </c>
      <c r="AAF36" s="582" t="s">
        <v>172</v>
      </c>
      <c r="AAG36" s="112"/>
      <c r="AAH36" s="87"/>
      <c r="AAI36" s="65"/>
      <c r="AAJ36" s="87"/>
      <c r="AAK36" s="580">
        <f>AAK6+AAK27+AAK29+AAK31+AAK34</f>
        <v>127</v>
      </c>
      <c r="AAL36" s="116"/>
      <c r="AAM36" s="112"/>
      <c r="AAU36" s="44"/>
    </row>
    <row r="37" spans="1:732" s="23" customFormat="1" ht="17.100000000000001" customHeight="1">
      <c r="A37" s="557"/>
      <c r="B37" s="760" t="s">
        <v>234</v>
      </c>
      <c r="C37" s="760"/>
      <c r="D37" s="760"/>
      <c r="E37" s="124"/>
      <c r="F37" s="321">
        <f t="shared" ref="F37" ca="1" si="722">NETWORKDAYS(TODAY(),H37,S.DDL_DEQClosed)</f>
        <v>97</v>
      </c>
      <c r="G37" s="649">
        <f>S.FileRuleWithSOS</f>
        <v>41621</v>
      </c>
      <c r="H37" s="322">
        <f>AAH37</f>
        <v>41621</v>
      </c>
      <c r="I37" s="626"/>
      <c r="J37" s="590"/>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7"/>
      <c r="AAB37"/>
      <c r="AAC37"/>
      <c r="AAD37" s="112"/>
      <c r="AAE37" s="550">
        <v>1</v>
      </c>
      <c r="AAF37" s="112" t="s">
        <v>0</v>
      </c>
      <c r="AAG37" s="65"/>
      <c r="AAH37" s="78">
        <f>WORKDAY(S.EQCMeeting+5,-1,S.DDL_DEQClosed)</f>
        <v>41621</v>
      </c>
      <c r="AAI37" s="65"/>
      <c r="AAJ37" s="77"/>
      <c r="AAK37" s="341"/>
      <c r="AAL37" s="77"/>
      <c r="AAM37" s="112"/>
      <c r="AAU37" s="44"/>
    </row>
    <row r="38" spans="1:732" s="23" customFormat="1" ht="17.100000000000001" customHeight="1">
      <c r="A38" s="557"/>
      <c r="B38" s="142" t="str">
        <f>AAL38</f>
        <v>EPA - submit SIP</v>
      </c>
      <c r="C38" s="694"/>
      <c r="D38" s="142"/>
      <c r="E38" s="124"/>
      <c r="F38" s="321">
        <f t="shared" ref="F38" ca="1" si="723">NETWORKDAYS(TODAY(),H38,S.DDL_DEQClosed)</f>
        <v>105</v>
      </c>
      <c r="G38" s="649">
        <f>S.SubmitSIPToEPA.PostEQC</f>
        <v>41634</v>
      </c>
      <c r="H38" s="322">
        <f>AAH38</f>
        <v>41634</v>
      </c>
      <c r="I38" s="626"/>
      <c r="J38" s="590"/>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7"/>
      <c r="AAB38"/>
      <c r="AAC38"/>
      <c r="AAD38" s="112"/>
      <c r="AAE38" s="551">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hidden="1" customHeight="1">
      <c r="A39" s="557"/>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98</v>
      </c>
      <c r="G39" s="649">
        <f>S.SubmitDASPart2</f>
        <v>41624</v>
      </c>
      <c r="H39" s="322">
        <f>AAH39</f>
        <v>41624</v>
      </c>
      <c r="I39" s="626"/>
      <c r="J39" s="590"/>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7"/>
      <c r="AAB39"/>
      <c r="AAC39"/>
      <c r="AAD39" s="112"/>
      <c r="AAE39" s="550">
        <f>IF(S.InvolveFee=TRUE,1,0)</f>
        <v>0</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7"/>
      <c r="B40" s="759" t="s">
        <v>249</v>
      </c>
      <c r="C40" s="759"/>
      <c r="D40" s="139" t="s">
        <v>0</v>
      </c>
      <c r="E40" s="124"/>
      <c r="F40" s="321">
        <f t="shared" ca="1" si="721"/>
        <v>97</v>
      </c>
      <c r="G40" s="649">
        <f>S.RuleEffective</f>
        <v>41621</v>
      </c>
      <c r="H40" s="322">
        <f>AAH40</f>
        <v>41621</v>
      </c>
      <c r="I40" s="626"/>
      <c r="J40" s="591"/>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7"/>
      <c r="AAD40" s="112"/>
      <c r="AAE40" s="550">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7"/>
      <c r="B41" s="144"/>
      <c r="C41" s="689"/>
      <c r="D41" s="145"/>
      <c r="E41" s="146"/>
      <c r="F41" s="146"/>
      <c r="G41" s="147"/>
      <c r="H41" s="145"/>
      <c r="I41" s="587"/>
      <c r="J41" s="643"/>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8"/>
      <c r="ZZ41" s="621"/>
      <c r="AAA41" s="587"/>
      <c r="AAD41" s="112"/>
      <c r="AAE41" s="550">
        <v>0</v>
      </c>
      <c r="AAF41" s="582" t="s">
        <v>172</v>
      </c>
      <c r="AAG41" s="76"/>
      <c r="AAH41" s="76"/>
      <c r="AAI41" s="65"/>
      <c r="AAJ41" s="55"/>
      <c r="AAK41" s="55"/>
      <c r="AAL41" s="39"/>
      <c r="AAM41" s="112"/>
      <c r="AAN41"/>
      <c r="AAT41" s="23"/>
      <c r="AAU41" s="44"/>
    </row>
    <row r="42" spans="1:732" s="23" customFormat="1" ht="18" customHeight="1">
      <c r="A42" s="557"/>
      <c r="B42" s="202" t="s">
        <v>240</v>
      </c>
      <c r="C42" s="698" t="s">
        <v>244</v>
      </c>
      <c r="D42" s="148"/>
      <c r="E42" s="766"/>
      <c r="F42" s="766"/>
      <c r="G42" s="149" t="s">
        <v>0</v>
      </c>
      <c r="H42" s="149" t="s">
        <v>0</v>
      </c>
      <c r="I42" s="587"/>
      <c r="J42" s="63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8"/>
      <c r="ZZ42" s="119"/>
      <c r="AAA42" s="587"/>
      <c r="AAB42"/>
      <c r="AAC42"/>
      <c r="AAD42" s="112"/>
      <c r="AAE42" s="550" t="s">
        <v>27</v>
      </c>
      <c r="AAF42" s="582" t="s">
        <v>172</v>
      </c>
      <c r="AAG42" s="112"/>
      <c r="AAH42" s="112"/>
      <c r="AAI42" s="77"/>
      <c r="AAJ42" s="90"/>
      <c r="AAK42" s="90"/>
      <c r="AAL42" s="76"/>
      <c r="AAM42" s="112"/>
      <c r="AAU42" s="44"/>
    </row>
    <row r="43" spans="1:732" s="23" customFormat="1" ht="18" customHeight="1">
      <c r="A43" s="557"/>
      <c r="B43" s="222" t="s">
        <v>15</v>
      </c>
      <c r="C43" s="698"/>
      <c r="D43" s="150" t="s">
        <v>245</v>
      </c>
      <c r="E43" s="776" t="s">
        <v>179</v>
      </c>
      <c r="F43" s="207" t="s">
        <v>2</v>
      </c>
      <c r="G43" s="152" t="s">
        <v>246</v>
      </c>
      <c r="H43" s="152" t="s">
        <v>87</v>
      </c>
      <c r="I43" s="626"/>
      <c r="J43" s="59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8"/>
      <c r="ZZ43" s="119"/>
      <c r="AAA43" s="587"/>
      <c r="AAB43"/>
      <c r="AAC43"/>
      <c r="AAD43" s="112"/>
      <c r="AAE43" s="550" t="s">
        <v>243</v>
      </c>
      <c r="AAF43" s="582" t="s">
        <v>172</v>
      </c>
      <c r="AAG43" s="112"/>
      <c r="AAH43" s="112"/>
      <c r="AAI43" s="77"/>
      <c r="AAJ43" s="90"/>
      <c r="AAK43" s="90"/>
      <c r="AAL43" s="76"/>
      <c r="AAM43" s="112"/>
      <c r="AAU43" s="44"/>
    </row>
    <row r="44" spans="1:732" ht="18" customHeight="1">
      <c r="A44" s="557"/>
      <c r="B44" s="223"/>
      <c r="C44" s="224"/>
      <c r="D44" s="225"/>
      <c r="E44" s="776"/>
      <c r="F44" s="373">
        <f>NETWORKDAYS(S.BANNER.PlanningStart,S.BANNER.PlanningEnd,S.DDL_DEQClosed)</f>
        <v>60</v>
      </c>
      <c r="G44" s="615">
        <f>S.BANNER.OverviewStart</f>
        <v>41435</v>
      </c>
      <c r="H44" s="226">
        <f>AAH44</f>
        <v>41520</v>
      </c>
      <c r="I44" s="626"/>
      <c r="J44" s="628"/>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c r="CN44" s="634"/>
      <c r="CO44" s="634"/>
      <c r="CP44" s="634"/>
      <c r="CQ44" s="634"/>
      <c r="CR44" s="634"/>
      <c r="CS44" s="634"/>
      <c r="CT44" s="634"/>
      <c r="CU44" s="634"/>
      <c r="CV44" s="634"/>
      <c r="CW44" s="634"/>
      <c r="CX44" s="634"/>
      <c r="CY44" s="634"/>
      <c r="CZ44" s="634"/>
      <c r="DA44" s="634"/>
      <c r="DB44" s="634"/>
      <c r="DC44" s="634"/>
      <c r="DD44" s="634"/>
      <c r="DE44" s="634"/>
      <c r="DF44" s="634"/>
      <c r="DG44" s="634"/>
      <c r="DH44" s="634"/>
      <c r="DI44" s="634"/>
      <c r="DJ44" s="634"/>
      <c r="DK44" s="634"/>
      <c r="DL44" s="634"/>
      <c r="DM44" s="634"/>
      <c r="DN44" s="634"/>
      <c r="DO44" s="634"/>
      <c r="DP44" s="634"/>
      <c r="DQ44" s="634"/>
      <c r="DR44" s="634"/>
      <c r="DS44" s="634"/>
      <c r="DT44" s="634"/>
      <c r="DU44" s="634"/>
      <c r="DV44" s="634"/>
      <c r="DW44" s="634"/>
      <c r="DX44" s="634"/>
      <c r="DY44" s="634"/>
      <c r="DZ44" s="634"/>
      <c r="EA44" s="634"/>
      <c r="EB44" s="634"/>
      <c r="EC44" s="634"/>
      <c r="ED44" s="634"/>
      <c r="EE44" s="634"/>
      <c r="EF44" s="634"/>
      <c r="EG44" s="634"/>
      <c r="EH44" s="634"/>
      <c r="EI44" s="634"/>
      <c r="EJ44" s="634"/>
      <c r="EK44" s="634"/>
      <c r="EL44" s="634"/>
      <c r="EM44" s="634"/>
      <c r="EN44" s="634"/>
      <c r="EO44" s="634"/>
      <c r="EP44" s="634"/>
      <c r="EQ44" s="634"/>
      <c r="ER44" s="634"/>
      <c r="ES44" s="634"/>
      <c r="ET44" s="634"/>
      <c r="EU44" s="634"/>
      <c r="EV44" s="634"/>
      <c r="EW44" s="634"/>
      <c r="EX44" s="634"/>
      <c r="EY44" s="634"/>
      <c r="EZ44" s="634"/>
      <c r="FA44" s="634"/>
      <c r="FB44" s="634"/>
      <c r="FC44" s="634"/>
      <c r="FD44" s="634"/>
      <c r="FE44" s="634"/>
      <c r="FF44" s="634"/>
      <c r="FG44" s="634"/>
      <c r="FH44" s="634"/>
      <c r="FI44" s="634"/>
      <c r="FJ44" s="634"/>
      <c r="FK44" s="634"/>
      <c r="FL44" s="634"/>
      <c r="FM44" s="634"/>
      <c r="FN44" s="634"/>
      <c r="FO44" s="634"/>
      <c r="FP44" s="634"/>
      <c r="FQ44" s="634"/>
      <c r="FR44" s="634"/>
      <c r="FS44" s="634"/>
      <c r="FT44" s="634"/>
      <c r="FU44" s="634"/>
      <c r="FV44" s="634"/>
      <c r="FW44" s="634"/>
      <c r="FX44" s="634"/>
      <c r="FY44" s="634"/>
      <c r="FZ44" s="634"/>
      <c r="GA44" s="634"/>
      <c r="GB44" s="634"/>
      <c r="GC44" s="634"/>
      <c r="GD44" s="634"/>
      <c r="GE44" s="634"/>
      <c r="GF44" s="634"/>
      <c r="GG44" s="634"/>
      <c r="GH44" s="634"/>
      <c r="GI44" s="634"/>
      <c r="GJ44" s="634"/>
      <c r="GK44" s="634"/>
      <c r="GL44" s="634"/>
      <c r="GM44" s="634"/>
      <c r="GN44" s="634"/>
      <c r="GO44" s="634"/>
      <c r="GP44" s="634"/>
      <c r="GQ44" s="634"/>
      <c r="GR44" s="634"/>
      <c r="GS44" s="634"/>
      <c r="GT44" s="634"/>
      <c r="GU44" s="634"/>
      <c r="GV44" s="634"/>
      <c r="GW44" s="634"/>
      <c r="GX44" s="634"/>
      <c r="GY44" s="634"/>
      <c r="GZ44" s="634"/>
      <c r="HA44" s="634"/>
      <c r="HB44" s="634"/>
      <c r="HC44" s="634"/>
      <c r="HD44" s="634"/>
      <c r="HE44" s="634"/>
      <c r="HF44" s="634"/>
      <c r="HG44" s="634"/>
      <c r="HH44" s="634"/>
      <c r="HI44" s="634"/>
      <c r="HJ44" s="634"/>
      <c r="HK44" s="634"/>
      <c r="HL44" s="634"/>
      <c r="HM44" s="634"/>
      <c r="HN44" s="634"/>
      <c r="HO44" s="634"/>
      <c r="HP44" s="634"/>
      <c r="HQ44" s="634"/>
      <c r="HR44" s="634"/>
      <c r="HS44" s="634"/>
      <c r="HT44" s="634"/>
      <c r="HU44" s="634"/>
      <c r="HV44" s="634"/>
      <c r="HW44" s="634"/>
      <c r="HX44" s="634"/>
      <c r="HY44" s="634"/>
      <c r="HZ44" s="634"/>
      <c r="IA44" s="634"/>
      <c r="IB44" s="634"/>
      <c r="IC44" s="634"/>
      <c r="ID44" s="634"/>
      <c r="IE44" s="634"/>
      <c r="IF44" s="634"/>
      <c r="IG44" s="634"/>
      <c r="IH44" s="634"/>
      <c r="II44" s="634"/>
      <c r="IJ44" s="634"/>
      <c r="IK44" s="634"/>
      <c r="IL44" s="634"/>
      <c r="IM44" s="634"/>
      <c r="IN44" s="634"/>
      <c r="IO44" s="634"/>
      <c r="IP44" s="634"/>
      <c r="IQ44" s="634"/>
      <c r="IR44" s="634"/>
      <c r="IS44" s="634"/>
      <c r="IT44" s="634"/>
      <c r="IU44" s="634"/>
      <c r="IV44" s="634"/>
      <c r="IW44" s="634"/>
      <c r="IX44" s="634"/>
      <c r="IY44" s="634"/>
      <c r="IZ44" s="634"/>
      <c r="JA44" s="634"/>
      <c r="JB44" s="634"/>
      <c r="JC44" s="634"/>
      <c r="JD44" s="634"/>
      <c r="JE44" s="634"/>
      <c r="JF44" s="634"/>
      <c r="JG44" s="634"/>
      <c r="JH44" s="634"/>
      <c r="JI44" s="634"/>
      <c r="JJ44" s="634"/>
      <c r="JK44" s="634"/>
      <c r="JL44" s="634"/>
      <c r="JM44" s="634"/>
      <c r="JN44" s="634"/>
      <c r="JO44" s="634"/>
      <c r="JP44" s="634"/>
      <c r="JQ44" s="634"/>
      <c r="JR44" s="634"/>
      <c r="JS44" s="634"/>
      <c r="JT44" s="634"/>
      <c r="JU44" s="634"/>
      <c r="JV44" s="634"/>
      <c r="JW44" s="634"/>
      <c r="JX44" s="634"/>
      <c r="JY44" s="634"/>
      <c r="JZ44" s="634"/>
      <c r="KA44" s="634"/>
      <c r="KB44" s="634"/>
      <c r="KC44" s="634"/>
      <c r="KD44" s="634"/>
      <c r="KE44" s="634"/>
      <c r="KF44" s="634"/>
      <c r="KG44" s="634"/>
      <c r="KH44" s="634"/>
      <c r="KI44" s="634"/>
      <c r="KJ44" s="634"/>
      <c r="KK44" s="634"/>
      <c r="KL44" s="634"/>
      <c r="KM44" s="634"/>
      <c r="KN44" s="634"/>
      <c r="KO44" s="634"/>
      <c r="KP44" s="634"/>
      <c r="KQ44" s="634"/>
      <c r="KR44" s="634"/>
      <c r="KS44" s="634"/>
      <c r="KT44" s="634"/>
      <c r="KU44" s="634"/>
      <c r="KV44" s="634"/>
      <c r="KW44" s="634"/>
      <c r="KX44" s="634"/>
      <c r="KY44" s="634"/>
      <c r="KZ44" s="634"/>
      <c r="LA44" s="634"/>
      <c r="LB44" s="634"/>
      <c r="LC44" s="634"/>
      <c r="LD44" s="634"/>
      <c r="LE44" s="634"/>
      <c r="LF44" s="634"/>
      <c r="LG44" s="634"/>
      <c r="LH44" s="634"/>
      <c r="LI44" s="634"/>
      <c r="LJ44" s="634"/>
      <c r="LK44" s="634"/>
      <c r="LL44" s="634"/>
      <c r="LM44" s="634"/>
      <c r="LN44" s="634"/>
      <c r="LO44" s="634"/>
      <c r="LP44" s="634"/>
      <c r="LQ44" s="634"/>
      <c r="LR44" s="634"/>
      <c r="LS44" s="634"/>
      <c r="LT44" s="634"/>
      <c r="LU44" s="634"/>
      <c r="LV44" s="634"/>
      <c r="LW44" s="634"/>
      <c r="LX44" s="634"/>
      <c r="LY44" s="634"/>
      <c r="LZ44" s="634"/>
      <c r="MA44" s="634"/>
      <c r="MB44" s="634"/>
      <c r="MC44" s="634"/>
      <c r="MD44" s="634"/>
      <c r="ME44" s="634"/>
      <c r="MF44" s="634"/>
      <c r="MG44" s="634"/>
      <c r="MH44" s="634"/>
      <c r="MI44" s="634"/>
      <c r="MJ44" s="634"/>
      <c r="MK44" s="634"/>
      <c r="ML44" s="634"/>
      <c r="MM44" s="634"/>
      <c r="MN44" s="634"/>
      <c r="MO44" s="634"/>
      <c r="MP44" s="634"/>
      <c r="MQ44" s="634"/>
      <c r="MR44" s="634"/>
      <c r="MS44" s="634"/>
      <c r="MT44" s="634"/>
      <c r="MU44" s="634"/>
      <c r="MV44" s="634"/>
      <c r="MW44" s="634"/>
      <c r="MX44" s="634"/>
      <c r="MY44" s="634"/>
      <c r="MZ44" s="634"/>
      <c r="NA44" s="634"/>
      <c r="NB44" s="634"/>
      <c r="NC44" s="634"/>
      <c r="ND44" s="634"/>
      <c r="NE44" s="634"/>
      <c r="NF44" s="634"/>
      <c r="NG44" s="634"/>
      <c r="NH44" s="634"/>
      <c r="NI44" s="634"/>
      <c r="NJ44" s="634"/>
      <c r="NK44" s="634"/>
      <c r="NL44" s="634"/>
      <c r="NM44" s="634"/>
      <c r="NN44" s="634"/>
      <c r="NO44" s="634"/>
      <c r="NP44" s="634"/>
      <c r="NQ44" s="634"/>
      <c r="NR44" s="634"/>
      <c r="NS44" s="634"/>
      <c r="NT44" s="634"/>
      <c r="NU44" s="634"/>
      <c r="NV44" s="634"/>
      <c r="NW44" s="634"/>
      <c r="NX44" s="634"/>
      <c r="NY44" s="634"/>
      <c r="NZ44" s="634"/>
      <c r="OA44" s="634"/>
      <c r="OB44" s="634"/>
      <c r="OC44" s="634"/>
      <c r="OD44" s="634"/>
      <c r="OE44" s="634"/>
      <c r="OF44" s="634"/>
      <c r="OG44" s="634"/>
      <c r="OH44" s="634"/>
      <c r="OI44" s="634"/>
      <c r="OJ44" s="634"/>
      <c r="OK44" s="634"/>
      <c r="OL44" s="634"/>
      <c r="OM44" s="634"/>
      <c r="ON44" s="634"/>
      <c r="OO44" s="634"/>
      <c r="OP44" s="634"/>
      <c r="OQ44" s="634"/>
      <c r="OR44" s="634"/>
      <c r="OS44" s="634"/>
      <c r="OT44" s="634"/>
      <c r="OU44" s="634"/>
      <c r="OV44" s="634"/>
      <c r="OW44" s="634"/>
      <c r="OX44" s="634"/>
      <c r="OY44" s="634"/>
      <c r="OZ44" s="634"/>
      <c r="PA44" s="634"/>
      <c r="PB44" s="634"/>
      <c r="PC44" s="634"/>
      <c r="PD44" s="634"/>
      <c r="PE44" s="634"/>
      <c r="PF44" s="634"/>
      <c r="PG44" s="634"/>
      <c r="PH44" s="634"/>
      <c r="PI44" s="634"/>
      <c r="PJ44" s="634"/>
      <c r="PK44" s="634"/>
      <c r="PL44" s="634"/>
      <c r="PM44" s="634"/>
      <c r="PN44" s="634"/>
      <c r="PO44" s="634"/>
      <c r="PP44" s="634"/>
      <c r="PQ44" s="634"/>
      <c r="PR44" s="634"/>
      <c r="PS44" s="634"/>
      <c r="PT44" s="634"/>
      <c r="PU44" s="634"/>
      <c r="PV44" s="634"/>
      <c r="PW44" s="634"/>
      <c r="PX44" s="634"/>
      <c r="PY44" s="634"/>
      <c r="PZ44" s="634"/>
      <c r="QA44" s="634"/>
      <c r="QB44" s="634"/>
      <c r="QC44" s="634"/>
      <c r="QD44" s="634"/>
      <c r="QE44" s="634"/>
      <c r="QF44" s="634"/>
      <c r="QG44" s="634"/>
      <c r="QH44" s="634"/>
      <c r="QI44" s="634"/>
      <c r="QJ44" s="634"/>
      <c r="QK44" s="634"/>
      <c r="QL44" s="634"/>
      <c r="QM44" s="634"/>
      <c r="QN44" s="634"/>
      <c r="QO44" s="634"/>
      <c r="QP44" s="634"/>
      <c r="QQ44" s="634"/>
      <c r="QR44" s="634"/>
      <c r="QS44" s="634"/>
      <c r="QT44" s="634"/>
      <c r="QU44" s="634"/>
      <c r="QV44" s="634"/>
      <c r="QW44" s="634"/>
      <c r="QX44" s="634"/>
      <c r="QY44" s="634"/>
      <c r="QZ44" s="634"/>
      <c r="RA44" s="634"/>
      <c r="RB44" s="634"/>
      <c r="RC44" s="634"/>
      <c r="RD44" s="634"/>
      <c r="RE44" s="634"/>
      <c r="RF44" s="634"/>
      <c r="RG44" s="634"/>
      <c r="RH44" s="634"/>
      <c r="RI44" s="634"/>
      <c r="RJ44" s="634"/>
      <c r="RK44" s="634"/>
      <c r="RL44" s="634"/>
      <c r="RM44" s="634"/>
      <c r="RN44" s="634"/>
      <c r="RO44" s="634"/>
      <c r="RP44" s="634"/>
      <c r="RQ44" s="634"/>
      <c r="RR44" s="634"/>
      <c r="RS44" s="634"/>
      <c r="RT44" s="634"/>
      <c r="RU44" s="634"/>
      <c r="RV44" s="634"/>
      <c r="RW44" s="634"/>
      <c r="RX44" s="634"/>
      <c r="RY44" s="634"/>
      <c r="RZ44" s="634"/>
      <c r="SA44" s="634"/>
      <c r="SB44" s="634"/>
      <c r="SC44" s="634"/>
      <c r="SD44" s="634"/>
      <c r="SE44" s="634"/>
      <c r="SF44" s="634"/>
      <c r="SG44" s="634"/>
      <c r="SH44" s="634"/>
      <c r="SI44" s="634"/>
      <c r="SJ44" s="634"/>
      <c r="SK44" s="634"/>
      <c r="SL44" s="634"/>
      <c r="SM44" s="634"/>
      <c r="SN44" s="634"/>
      <c r="SO44" s="634"/>
      <c r="SP44" s="634"/>
      <c r="SQ44" s="634"/>
      <c r="SR44" s="634"/>
      <c r="SS44" s="634"/>
      <c r="ST44" s="634"/>
      <c r="SU44" s="634"/>
      <c r="SV44" s="634"/>
      <c r="SW44" s="634"/>
      <c r="SX44" s="634"/>
      <c r="SY44" s="634"/>
      <c r="SZ44" s="634"/>
      <c r="TA44" s="634"/>
      <c r="TB44" s="634"/>
      <c r="TC44" s="634"/>
      <c r="TD44" s="634"/>
      <c r="TE44" s="634"/>
      <c r="TF44" s="634"/>
      <c r="TG44" s="634"/>
      <c r="TH44" s="634"/>
      <c r="TI44" s="634"/>
      <c r="TJ44" s="634"/>
      <c r="TK44" s="634"/>
      <c r="TL44" s="634"/>
      <c r="TM44" s="634"/>
      <c r="TN44" s="634"/>
      <c r="TO44" s="634"/>
      <c r="TP44" s="634"/>
      <c r="TQ44" s="634"/>
      <c r="TR44" s="634"/>
      <c r="TS44" s="634"/>
      <c r="TT44" s="634"/>
      <c r="TU44" s="634"/>
      <c r="TV44" s="634"/>
      <c r="TW44" s="634"/>
      <c r="TX44" s="634"/>
      <c r="TY44" s="634"/>
      <c r="TZ44" s="634"/>
      <c r="UA44" s="634"/>
      <c r="UB44" s="634"/>
      <c r="UC44" s="634"/>
      <c r="UD44" s="634"/>
      <c r="UE44" s="634"/>
      <c r="UF44" s="634"/>
      <c r="UG44" s="634"/>
      <c r="UH44" s="634"/>
      <c r="UI44" s="634"/>
      <c r="UJ44" s="634"/>
      <c r="UK44" s="634"/>
      <c r="UL44" s="634"/>
      <c r="UM44" s="634"/>
      <c r="UN44" s="634"/>
      <c r="UO44" s="634"/>
      <c r="UP44" s="634"/>
      <c r="UQ44" s="634"/>
      <c r="UR44" s="634"/>
      <c r="US44" s="634"/>
      <c r="UT44" s="634"/>
      <c r="UU44" s="634"/>
      <c r="UV44" s="634"/>
      <c r="UW44" s="634"/>
      <c r="UX44" s="634"/>
      <c r="UY44" s="634"/>
      <c r="UZ44" s="634"/>
      <c r="VA44" s="634"/>
      <c r="VB44" s="634"/>
      <c r="VC44" s="634"/>
      <c r="VD44" s="634"/>
      <c r="VE44" s="634"/>
      <c r="VF44" s="634"/>
      <c r="VG44" s="634"/>
      <c r="VH44" s="634"/>
      <c r="VI44" s="634"/>
      <c r="VJ44" s="634"/>
      <c r="VK44" s="634"/>
      <c r="VL44" s="634"/>
      <c r="VM44" s="634"/>
      <c r="VN44" s="634"/>
      <c r="VO44" s="634"/>
      <c r="VP44" s="634"/>
      <c r="VQ44" s="634"/>
      <c r="VR44" s="634"/>
      <c r="VS44" s="634"/>
      <c r="VT44" s="634"/>
      <c r="VU44" s="634"/>
      <c r="VV44" s="634"/>
      <c r="VW44" s="634"/>
      <c r="VX44" s="634"/>
      <c r="VY44" s="634"/>
      <c r="VZ44" s="634"/>
      <c r="WA44" s="634"/>
      <c r="WB44" s="634"/>
      <c r="WC44" s="634"/>
      <c r="WD44" s="634"/>
      <c r="WE44" s="634"/>
      <c r="WF44" s="634"/>
      <c r="WG44" s="634"/>
      <c r="WH44" s="634"/>
      <c r="WI44" s="634"/>
      <c r="WJ44" s="634"/>
      <c r="WK44" s="634"/>
      <c r="WL44" s="634"/>
      <c r="WM44" s="634"/>
      <c r="WN44" s="634"/>
      <c r="WO44" s="634"/>
      <c r="WP44" s="634"/>
      <c r="WQ44" s="634"/>
      <c r="WR44" s="634"/>
      <c r="WS44" s="634"/>
      <c r="WT44" s="634"/>
      <c r="WU44" s="634"/>
      <c r="WV44" s="634"/>
      <c r="WW44" s="634"/>
      <c r="WX44" s="634"/>
      <c r="WY44" s="634"/>
      <c r="WZ44" s="634"/>
      <c r="XA44" s="634"/>
      <c r="XB44" s="634"/>
      <c r="XC44" s="634"/>
      <c r="XD44" s="634"/>
      <c r="XE44" s="634"/>
      <c r="XF44" s="634"/>
      <c r="XG44" s="634"/>
      <c r="XH44" s="634"/>
      <c r="XI44" s="634"/>
      <c r="XJ44" s="634"/>
      <c r="XK44" s="634"/>
      <c r="XL44" s="634"/>
      <c r="XM44" s="634"/>
      <c r="XN44" s="634"/>
      <c r="XO44" s="634"/>
      <c r="XP44" s="634"/>
      <c r="XQ44" s="634"/>
      <c r="XR44" s="634"/>
      <c r="XS44" s="634"/>
      <c r="XT44" s="634"/>
      <c r="XU44" s="634"/>
      <c r="XV44" s="634"/>
      <c r="XW44" s="634"/>
      <c r="XX44" s="634"/>
      <c r="XY44" s="634"/>
      <c r="XZ44" s="634"/>
      <c r="YA44" s="634"/>
      <c r="YB44" s="634"/>
      <c r="YC44" s="634"/>
      <c r="YD44" s="634"/>
      <c r="YE44" s="634"/>
      <c r="YF44" s="634"/>
      <c r="YG44" s="634"/>
      <c r="YH44" s="634"/>
      <c r="YI44" s="634"/>
      <c r="YJ44" s="634"/>
      <c r="YK44" s="634"/>
      <c r="YL44" s="634"/>
      <c r="YM44" s="634"/>
      <c r="YN44" s="634"/>
      <c r="YO44" s="634"/>
      <c r="YP44" s="634"/>
      <c r="YQ44" s="634"/>
      <c r="YR44" s="634"/>
      <c r="YS44" s="634"/>
      <c r="YT44" s="634"/>
      <c r="YU44" s="634"/>
      <c r="YV44" s="634"/>
      <c r="YW44" s="634"/>
      <c r="YX44" s="634"/>
      <c r="YY44" s="634"/>
      <c r="YZ44" s="634"/>
      <c r="ZA44" s="634"/>
      <c r="ZB44" s="634"/>
      <c r="ZC44" s="634"/>
      <c r="ZD44" s="634"/>
      <c r="ZE44" s="634"/>
      <c r="ZF44" s="634"/>
      <c r="ZG44" s="634"/>
      <c r="ZH44" s="634"/>
      <c r="ZI44" s="634"/>
      <c r="ZJ44" s="634"/>
      <c r="ZK44" s="634"/>
      <c r="ZL44" s="634"/>
      <c r="ZM44" s="634"/>
      <c r="ZN44" s="634"/>
      <c r="ZO44" s="634"/>
      <c r="ZP44" s="634"/>
      <c r="ZQ44" s="634"/>
      <c r="ZR44" s="634"/>
      <c r="ZS44" s="634"/>
      <c r="ZT44" s="634"/>
      <c r="ZU44" s="634"/>
      <c r="ZV44" s="634"/>
      <c r="ZW44" s="634"/>
      <c r="ZX44" s="634"/>
      <c r="ZY44" s="637"/>
      <c r="ZZ44" s="119"/>
      <c r="AAA44" s="587"/>
      <c r="AAD44" s="112"/>
      <c r="AAE44" s="550" t="s">
        <v>243</v>
      </c>
      <c r="AAF44" s="582" t="s">
        <v>172</v>
      </c>
      <c r="AAG44" s="78">
        <f>S.BANNER.OverviewStart</f>
        <v>41435</v>
      </c>
      <c r="AAH44" s="78">
        <f>WORKDAY(S.PublicNoticeInBulletin+1,1,S.DDL_DEQClosed)</f>
        <v>41520</v>
      </c>
      <c r="AAI44" s="77"/>
      <c r="AAJ44" s="90"/>
      <c r="AAK44" s="90"/>
      <c r="AAL44" s="76"/>
      <c r="AAM44" s="112"/>
      <c r="AAN44"/>
      <c r="AAT44" s="23"/>
      <c r="AAU44" s="44"/>
    </row>
    <row r="45" spans="1:732" ht="6" customHeight="1">
      <c r="A45" s="557"/>
      <c r="B45" s="206"/>
      <c r="C45" s="688"/>
      <c r="D45" s="180"/>
      <c r="E45" s="181"/>
      <c r="F45" s="181"/>
      <c r="G45" s="180"/>
      <c r="H45" s="180"/>
      <c r="I45" s="587"/>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7"/>
      <c r="AAD45" s="112"/>
      <c r="AAE45" s="551" t="s">
        <v>20</v>
      </c>
      <c r="AAF45" s="582" t="s">
        <v>172</v>
      </c>
      <c r="AAG45" s="63"/>
      <c r="AAH45" s="63"/>
      <c r="AAI45" s="77"/>
      <c r="AAJ45" s="91" t="s">
        <v>71</v>
      </c>
      <c r="AAK45" s="91"/>
      <c r="AAL45" s="40"/>
      <c r="AAM45" s="112"/>
      <c r="AAN45"/>
      <c r="AAT45" s="23"/>
      <c r="AAU45" s="44"/>
    </row>
    <row r="46" spans="1:732" ht="15.75" hidden="1" customHeight="1" outlineLevel="1">
      <c r="A46" s="557"/>
      <c r="B46" s="670" t="s">
        <v>316</v>
      </c>
      <c r="C46" s="287" t="s">
        <v>90</v>
      </c>
      <c r="D46" s="344" t="s">
        <v>0</v>
      </c>
      <c r="E46" s="345" t="s">
        <v>0</v>
      </c>
      <c r="F46" s="345" t="s">
        <v>0</v>
      </c>
      <c r="G46" s="344"/>
      <c r="H46" s="344"/>
      <c r="I46" s="587"/>
      <c r="J46" s="636"/>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635"/>
      <c r="DB46" s="635"/>
      <c r="DC46" s="635"/>
      <c r="DD46" s="635"/>
      <c r="DE46" s="635"/>
      <c r="DF46" s="635"/>
      <c r="DG46" s="635"/>
      <c r="DH46" s="635"/>
      <c r="DI46" s="635"/>
      <c r="DJ46" s="635"/>
      <c r="DK46" s="635"/>
      <c r="DL46" s="635"/>
      <c r="DM46" s="635"/>
      <c r="DN46" s="635"/>
      <c r="DO46" s="635"/>
      <c r="DP46" s="635"/>
      <c r="DQ46" s="635"/>
      <c r="DR46" s="635"/>
      <c r="DS46" s="635"/>
      <c r="DT46" s="635"/>
      <c r="DU46" s="635"/>
      <c r="DV46" s="635"/>
      <c r="DW46" s="635"/>
      <c r="DX46" s="635"/>
      <c r="DY46" s="635"/>
      <c r="DZ46" s="635"/>
      <c r="EA46" s="635"/>
      <c r="EB46" s="635"/>
      <c r="EC46" s="635"/>
      <c r="ED46" s="635"/>
      <c r="EE46" s="635"/>
      <c r="EF46" s="635"/>
      <c r="EG46" s="635"/>
      <c r="EH46" s="635"/>
      <c r="EI46" s="635"/>
      <c r="EJ46" s="635"/>
      <c r="EK46" s="635"/>
      <c r="EL46" s="635"/>
      <c r="EM46" s="635"/>
      <c r="EN46" s="635"/>
      <c r="EO46" s="635"/>
      <c r="EP46" s="635"/>
      <c r="EQ46" s="635"/>
      <c r="ER46" s="635"/>
      <c r="ES46" s="635"/>
      <c r="ET46" s="635"/>
      <c r="EU46" s="635"/>
      <c r="EV46" s="635"/>
      <c r="EW46" s="635"/>
      <c r="EX46" s="635"/>
      <c r="EY46" s="635"/>
      <c r="EZ46" s="635"/>
      <c r="FA46" s="635"/>
      <c r="FB46" s="635"/>
      <c r="FC46" s="635"/>
      <c r="FD46" s="635"/>
      <c r="FE46" s="635"/>
      <c r="FF46" s="635"/>
      <c r="FG46" s="635"/>
      <c r="FH46" s="635"/>
      <c r="FI46" s="635"/>
      <c r="FJ46" s="635"/>
      <c r="FK46" s="635"/>
      <c r="FL46" s="635"/>
      <c r="FM46" s="635"/>
      <c r="FN46" s="635"/>
      <c r="FO46" s="635"/>
      <c r="FP46" s="635"/>
      <c r="FQ46" s="635"/>
      <c r="FR46" s="635"/>
      <c r="FS46" s="635"/>
      <c r="FT46" s="635"/>
      <c r="FU46" s="635"/>
      <c r="FV46" s="635"/>
      <c r="FW46" s="635"/>
      <c r="FX46" s="635"/>
      <c r="FY46" s="635"/>
      <c r="FZ46" s="635"/>
      <c r="GA46" s="635"/>
      <c r="GB46" s="635"/>
      <c r="GC46" s="635"/>
      <c r="GD46" s="635"/>
      <c r="GE46" s="635"/>
      <c r="GF46" s="635"/>
      <c r="GG46" s="635"/>
      <c r="GH46" s="635"/>
      <c r="GI46" s="635"/>
      <c r="GJ46" s="635"/>
      <c r="GK46" s="635"/>
      <c r="GL46" s="635"/>
      <c r="GM46" s="635"/>
      <c r="GN46" s="635"/>
      <c r="GO46" s="635"/>
      <c r="GP46" s="635"/>
      <c r="GQ46" s="635"/>
      <c r="GR46" s="635"/>
      <c r="GS46" s="635"/>
      <c r="GT46" s="635"/>
      <c r="GU46" s="635"/>
      <c r="GV46" s="635"/>
      <c r="GW46" s="635"/>
      <c r="GX46" s="635"/>
      <c r="GY46" s="635"/>
      <c r="GZ46" s="635"/>
      <c r="HA46" s="635"/>
      <c r="HB46" s="635"/>
      <c r="HC46" s="635"/>
      <c r="HD46" s="635"/>
      <c r="HE46" s="635"/>
      <c r="HF46" s="635"/>
      <c r="HG46" s="635"/>
      <c r="HH46" s="635"/>
      <c r="HI46" s="635"/>
      <c r="HJ46" s="635"/>
      <c r="HK46" s="635"/>
      <c r="HL46" s="635"/>
      <c r="HM46" s="635"/>
      <c r="HN46" s="635"/>
      <c r="HO46" s="635"/>
      <c r="HP46" s="635"/>
      <c r="HQ46" s="635"/>
      <c r="HR46" s="635"/>
      <c r="HS46" s="635"/>
      <c r="HT46" s="635"/>
      <c r="HU46" s="635"/>
      <c r="HV46" s="635"/>
      <c r="HW46" s="635"/>
      <c r="HX46" s="635"/>
      <c r="HY46" s="635"/>
      <c r="HZ46" s="635"/>
      <c r="IA46" s="635"/>
      <c r="IB46" s="635"/>
      <c r="IC46" s="635"/>
      <c r="ID46" s="635"/>
      <c r="IE46" s="635"/>
      <c r="IF46" s="635"/>
      <c r="IG46" s="635"/>
      <c r="IH46" s="635"/>
      <c r="II46" s="635"/>
      <c r="IJ46" s="635"/>
      <c r="IK46" s="635"/>
      <c r="IL46" s="635"/>
      <c r="IM46" s="635"/>
      <c r="IN46" s="635"/>
      <c r="IO46" s="635"/>
      <c r="IP46" s="635"/>
      <c r="IQ46" s="635"/>
      <c r="IR46" s="635"/>
      <c r="IS46" s="635"/>
      <c r="IT46" s="635"/>
      <c r="IU46" s="635"/>
      <c r="IV46" s="635"/>
      <c r="IW46" s="635"/>
      <c r="IX46" s="635"/>
      <c r="IY46" s="635"/>
      <c r="IZ46" s="635"/>
      <c r="JA46" s="635"/>
      <c r="JB46" s="635"/>
      <c r="JC46" s="635"/>
      <c r="JD46" s="635"/>
      <c r="JE46" s="635"/>
      <c r="JF46" s="635"/>
      <c r="JG46" s="635"/>
      <c r="JH46" s="635"/>
      <c r="JI46" s="635"/>
      <c r="JJ46" s="635"/>
      <c r="JK46" s="635"/>
      <c r="JL46" s="635"/>
      <c r="JM46" s="635"/>
      <c r="JN46" s="635"/>
      <c r="JO46" s="635"/>
      <c r="JP46" s="635"/>
      <c r="JQ46" s="635"/>
      <c r="JR46" s="635"/>
      <c r="JS46" s="635"/>
      <c r="JT46" s="635"/>
      <c r="JU46" s="635"/>
      <c r="JV46" s="635"/>
      <c r="JW46" s="635"/>
      <c r="JX46" s="635"/>
      <c r="JY46" s="635"/>
      <c r="JZ46" s="635"/>
      <c r="KA46" s="635"/>
      <c r="KB46" s="635"/>
      <c r="KC46" s="635"/>
      <c r="KD46" s="635"/>
      <c r="KE46" s="635"/>
      <c r="KF46" s="635"/>
      <c r="KG46" s="635"/>
      <c r="KH46" s="635"/>
      <c r="KI46" s="635"/>
      <c r="KJ46" s="635"/>
      <c r="KK46" s="635"/>
      <c r="KL46" s="635"/>
      <c r="KM46" s="635"/>
      <c r="KN46" s="635"/>
      <c r="KO46" s="635"/>
      <c r="KP46" s="635"/>
      <c r="KQ46" s="635"/>
      <c r="KR46" s="635"/>
      <c r="KS46" s="635"/>
      <c r="KT46" s="635"/>
      <c r="KU46" s="635"/>
      <c r="KV46" s="635"/>
      <c r="KW46" s="635"/>
      <c r="KX46" s="635"/>
      <c r="KY46" s="635"/>
      <c r="KZ46" s="635"/>
      <c r="LA46" s="635"/>
      <c r="LB46" s="635"/>
      <c r="LC46" s="635"/>
      <c r="LD46" s="635"/>
      <c r="LE46" s="635"/>
      <c r="LF46" s="635"/>
      <c r="LG46" s="635"/>
      <c r="LH46" s="635"/>
      <c r="LI46" s="635"/>
      <c r="LJ46" s="635"/>
      <c r="LK46" s="635"/>
      <c r="LL46" s="635"/>
      <c r="LM46" s="635"/>
      <c r="LN46" s="635"/>
      <c r="LO46" s="635"/>
      <c r="LP46" s="635"/>
      <c r="LQ46" s="635"/>
      <c r="LR46" s="635"/>
      <c r="LS46" s="635"/>
      <c r="LT46" s="635"/>
      <c r="LU46" s="635"/>
      <c r="LV46" s="635"/>
      <c r="LW46" s="635"/>
      <c r="LX46" s="635"/>
      <c r="LY46" s="635"/>
      <c r="LZ46" s="635"/>
      <c r="MA46" s="635"/>
      <c r="MB46" s="635"/>
      <c r="MC46" s="635"/>
      <c r="MD46" s="635"/>
      <c r="ME46" s="635"/>
      <c r="MF46" s="635"/>
      <c r="MG46" s="635"/>
      <c r="MH46" s="635"/>
      <c r="MI46" s="635"/>
      <c r="MJ46" s="635"/>
      <c r="MK46" s="635"/>
      <c r="ML46" s="635"/>
      <c r="MM46" s="635"/>
      <c r="MN46" s="635"/>
      <c r="MO46" s="635"/>
      <c r="MP46" s="635"/>
      <c r="MQ46" s="635"/>
      <c r="MR46" s="635"/>
      <c r="MS46" s="635"/>
      <c r="MT46" s="635"/>
      <c r="MU46" s="635"/>
      <c r="MV46" s="635"/>
      <c r="MW46" s="635"/>
      <c r="MX46" s="635"/>
      <c r="MY46" s="635"/>
      <c r="MZ46" s="635"/>
      <c r="NA46" s="635"/>
      <c r="NB46" s="635"/>
      <c r="NC46" s="635"/>
      <c r="ND46" s="635"/>
      <c r="NE46" s="635"/>
      <c r="NF46" s="635"/>
      <c r="NG46" s="635"/>
      <c r="NH46" s="635"/>
      <c r="NI46" s="635"/>
      <c r="NJ46" s="635"/>
      <c r="NK46" s="635"/>
      <c r="NL46" s="635"/>
      <c r="NM46" s="635"/>
      <c r="NN46" s="635"/>
      <c r="NO46" s="635"/>
      <c r="NP46" s="635"/>
      <c r="NQ46" s="635"/>
      <c r="NR46" s="635"/>
      <c r="NS46" s="635"/>
      <c r="NT46" s="635"/>
      <c r="NU46" s="635"/>
      <c r="NV46" s="635"/>
      <c r="NW46" s="635"/>
      <c r="NX46" s="635"/>
      <c r="NY46" s="635"/>
      <c r="NZ46" s="635"/>
      <c r="OA46" s="635"/>
      <c r="OB46" s="635"/>
      <c r="OC46" s="635"/>
      <c r="OD46" s="635"/>
      <c r="OE46" s="635"/>
      <c r="OF46" s="635"/>
      <c r="OG46" s="635"/>
      <c r="OH46" s="635"/>
      <c r="OI46" s="635"/>
      <c r="OJ46" s="635"/>
      <c r="OK46" s="635"/>
      <c r="OL46" s="635"/>
      <c r="OM46" s="635"/>
      <c r="ON46" s="635"/>
      <c r="OO46" s="635"/>
      <c r="OP46" s="635"/>
      <c r="OQ46" s="635"/>
      <c r="OR46" s="635"/>
      <c r="OS46" s="635"/>
      <c r="OT46" s="635"/>
      <c r="OU46" s="635"/>
      <c r="OV46" s="635"/>
      <c r="OW46" s="635"/>
      <c r="OX46" s="635"/>
      <c r="OY46" s="635"/>
      <c r="OZ46" s="635"/>
      <c r="PA46" s="635"/>
      <c r="PB46" s="635"/>
      <c r="PC46" s="635"/>
      <c r="PD46" s="635"/>
      <c r="PE46" s="635"/>
      <c r="PF46" s="635"/>
      <c r="PG46" s="635"/>
      <c r="PH46" s="635"/>
      <c r="PI46" s="635"/>
      <c r="PJ46" s="635"/>
      <c r="PK46" s="635"/>
      <c r="PL46" s="635"/>
      <c r="PM46" s="635"/>
      <c r="PN46" s="635"/>
      <c r="PO46" s="635"/>
      <c r="PP46" s="635"/>
      <c r="PQ46" s="635"/>
      <c r="PR46" s="635"/>
      <c r="PS46" s="635"/>
      <c r="PT46" s="635"/>
      <c r="PU46" s="635"/>
      <c r="PV46" s="635"/>
      <c r="PW46" s="635"/>
      <c r="PX46" s="635"/>
      <c r="PY46" s="635"/>
      <c r="PZ46" s="635"/>
      <c r="QA46" s="635"/>
      <c r="QB46" s="635"/>
      <c r="QC46" s="635"/>
      <c r="QD46" s="635"/>
      <c r="QE46" s="635"/>
      <c r="QF46" s="635"/>
      <c r="QG46" s="635"/>
      <c r="QH46" s="635"/>
      <c r="QI46" s="635"/>
      <c r="QJ46" s="635"/>
      <c r="QK46" s="635"/>
      <c r="QL46" s="635"/>
      <c r="QM46" s="635"/>
      <c r="QN46" s="635"/>
      <c r="QO46" s="635"/>
      <c r="QP46" s="635"/>
      <c r="QQ46" s="635"/>
      <c r="QR46" s="635"/>
      <c r="QS46" s="635"/>
      <c r="QT46" s="635"/>
      <c r="QU46" s="635"/>
      <c r="QV46" s="635"/>
      <c r="QW46" s="635"/>
      <c r="QX46" s="635"/>
      <c r="QY46" s="635"/>
      <c r="QZ46" s="635"/>
      <c r="RA46" s="635"/>
      <c r="RB46" s="635"/>
      <c r="RC46" s="635"/>
      <c r="RD46" s="635"/>
      <c r="RE46" s="635"/>
      <c r="RF46" s="635"/>
      <c r="RG46" s="635"/>
      <c r="RH46" s="635"/>
      <c r="RI46" s="635"/>
      <c r="RJ46" s="635"/>
      <c r="RK46" s="635"/>
      <c r="RL46" s="635"/>
      <c r="RM46" s="635"/>
      <c r="RN46" s="635"/>
      <c r="RO46" s="635"/>
      <c r="RP46" s="635"/>
      <c r="RQ46" s="635"/>
      <c r="RR46" s="635"/>
      <c r="RS46" s="635"/>
      <c r="RT46" s="635"/>
      <c r="RU46" s="635"/>
      <c r="RV46" s="635"/>
      <c r="RW46" s="635"/>
      <c r="RX46" s="635"/>
      <c r="RY46" s="635"/>
      <c r="RZ46" s="635"/>
      <c r="SA46" s="635"/>
      <c r="SB46" s="635"/>
      <c r="SC46" s="635"/>
      <c r="SD46" s="635"/>
      <c r="SE46" s="635"/>
      <c r="SF46" s="635"/>
      <c r="SG46" s="635"/>
      <c r="SH46" s="635"/>
      <c r="SI46" s="635"/>
      <c r="SJ46" s="635"/>
      <c r="SK46" s="635"/>
      <c r="SL46" s="635"/>
      <c r="SM46" s="635"/>
      <c r="SN46" s="635"/>
      <c r="SO46" s="635"/>
      <c r="SP46" s="635"/>
      <c r="SQ46" s="635"/>
      <c r="SR46" s="635"/>
      <c r="SS46" s="635"/>
      <c r="ST46" s="635"/>
      <c r="SU46" s="635"/>
      <c r="SV46" s="635"/>
      <c r="SW46" s="635"/>
      <c r="SX46" s="635"/>
      <c r="SY46" s="635"/>
      <c r="SZ46" s="635"/>
      <c r="TA46" s="635"/>
      <c r="TB46" s="635"/>
      <c r="TC46" s="635"/>
      <c r="TD46" s="635"/>
      <c r="TE46" s="635"/>
      <c r="TF46" s="635"/>
      <c r="TG46" s="635"/>
      <c r="TH46" s="635"/>
      <c r="TI46" s="635"/>
      <c r="TJ46" s="635"/>
      <c r="TK46" s="635"/>
      <c r="TL46" s="635"/>
      <c r="TM46" s="635"/>
      <c r="TN46" s="635"/>
      <c r="TO46" s="635"/>
      <c r="TP46" s="635"/>
      <c r="TQ46" s="635"/>
      <c r="TR46" s="635"/>
      <c r="TS46" s="635"/>
      <c r="TT46" s="635"/>
      <c r="TU46" s="635"/>
      <c r="TV46" s="635"/>
      <c r="TW46" s="635"/>
      <c r="TX46" s="635"/>
      <c r="TY46" s="635"/>
      <c r="TZ46" s="635"/>
      <c r="UA46" s="635"/>
      <c r="UB46" s="635"/>
      <c r="UC46" s="635"/>
      <c r="UD46" s="635"/>
      <c r="UE46" s="635"/>
      <c r="UF46" s="635"/>
      <c r="UG46" s="635"/>
      <c r="UH46" s="635"/>
      <c r="UI46" s="635"/>
      <c r="UJ46" s="635"/>
      <c r="UK46" s="635"/>
      <c r="UL46" s="635"/>
      <c r="UM46" s="635"/>
      <c r="UN46" s="635"/>
      <c r="UO46" s="635"/>
      <c r="UP46" s="635"/>
      <c r="UQ46" s="635"/>
      <c r="UR46" s="635"/>
      <c r="US46" s="635"/>
      <c r="UT46" s="635"/>
      <c r="UU46" s="635"/>
      <c r="UV46" s="635"/>
      <c r="UW46" s="635"/>
      <c r="UX46" s="635"/>
      <c r="UY46" s="635"/>
      <c r="UZ46" s="635"/>
      <c r="VA46" s="635"/>
      <c r="VB46" s="635"/>
      <c r="VC46" s="635"/>
      <c r="VD46" s="635"/>
      <c r="VE46" s="635"/>
      <c r="VF46" s="635"/>
      <c r="VG46" s="635"/>
      <c r="VH46" s="635"/>
      <c r="VI46" s="635"/>
      <c r="VJ46" s="635"/>
      <c r="VK46" s="635"/>
      <c r="VL46" s="635"/>
      <c r="VM46" s="635"/>
      <c r="VN46" s="635"/>
      <c r="VO46" s="635"/>
      <c r="VP46" s="635"/>
      <c r="VQ46" s="635"/>
      <c r="VR46" s="635"/>
      <c r="VS46" s="635"/>
      <c r="VT46" s="635"/>
      <c r="VU46" s="635"/>
      <c r="VV46" s="635"/>
      <c r="VW46" s="635"/>
      <c r="VX46" s="635"/>
      <c r="VY46" s="635"/>
      <c r="VZ46" s="635"/>
      <c r="WA46" s="635"/>
      <c r="WB46" s="635"/>
      <c r="WC46" s="635"/>
      <c r="WD46" s="635"/>
      <c r="WE46" s="635"/>
      <c r="WF46" s="635"/>
      <c r="WG46" s="635"/>
      <c r="WH46" s="635"/>
      <c r="WI46" s="635"/>
      <c r="WJ46" s="635"/>
      <c r="WK46" s="635"/>
      <c r="WL46" s="635"/>
      <c r="WM46" s="635"/>
      <c r="WN46" s="635"/>
      <c r="WO46" s="635"/>
      <c r="WP46" s="635"/>
      <c r="WQ46" s="635"/>
      <c r="WR46" s="635"/>
      <c r="WS46" s="635"/>
      <c r="WT46" s="635"/>
      <c r="WU46" s="635"/>
      <c r="WV46" s="635"/>
      <c r="WW46" s="635"/>
      <c r="WX46" s="635"/>
      <c r="WY46" s="635"/>
      <c r="WZ46" s="635"/>
      <c r="XA46" s="635"/>
      <c r="XB46" s="635"/>
      <c r="XC46" s="635"/>
      <c r="XD46" s="635"/>
      <c r="XE46" s="635"/>
      <c r="XF46" s="635"/>
      <c r="XG46" s="635"/>
      <c r="XH46" s="635"/>
      <c r="XI46" s="635"/>
      <c r="XJ46" s="635"/>
      <c r="XK46" s="635"/>
      <c r="XL46" s="635"/>
      <c r="XM46" s="635"/>
      <c r="XN46" s="635"/>
      <c r="XO46" s="635"/>
      <c r="XP46" s="635"/>
      <c r="XQ46" s="635"/>
      <c r="XR46" s="635"/>
      <c r="XS46" s="635"/>
      <c r="XT46" s="635"/>
      <c r="XU46" s="635"/>
      <c r="XV46" s="635"/>
      <c r="XW46" s="635"/>
      <c r="XX46" s="635"/>
      <c r="XY46" s="635"/>
      <c r="XZ46" s="635"/>
      <c r="YA46" s="635"/>
      <c r="YB46" s="635"/>
      <c r="YC46" s="635"/>
      <c r="YD46" s="635"/>
      <c r="YE46" s="635"/>
      <c r="YF46" s="635"/>
      <c r="YG46" s="635"/>
      <c r="YH46" s="635"/>
      <c r="YI46" s="635"/>
      <c r="YJ46" s="635"/>
      <c r="YK46" s="635"/>
      <c r="YL46" s="635"/>
      <c r="YM46" s="635"/>
      <c r="YN46" s="635"/>
      <c r="YO46" s="635"/>
      <c r="YP46" s="635"/>
      <c r="YQ46" s="635"/>
      <c r="YR46" s="635"/>
      <c r="YS46" s="635"/>
      <c r="YT46" s="635"/>
      <c r="YU46" s="635"/>
      <c r="YV46" s="635"/>
      <c r="YW46" s="635"/>
      <c r="YX46" s="635"/>
      <c r="YY46" s="635"/>
      <c r="YZ46" s="635"/>
      <c r="ZA46" s="635"/>
      <c r="ZB46" s="635"/>
      <c r="ZC46" s="635"/>
      <c r="ZD46" s="635"/>
      <c r="ZE46" s="635"/>
      <c r="ZF46" s="635"/>
      <c r="ZG46" s="635"/>
      <c r="ZH46" s="635"/>
      <c r="ZI46" s="635"/>
      <c r="ZJ46" s="635"/>
      <c r="ZK46" s="635"/>
      <c r="ZL46" s="635"/>
      <c r="ZM46" s="635"/>
      <c r="ZN46" s="635"/>
      <c r="ZO46" s="635"/>
      <c r="ZP46" s="635"/>
      <c r="ZQ46" s="635"/>
      <c r="ZR46" s="635"/>
      <c r="ZS46" s="635"/>
      <c r="ZT46" s="635"/>
      <c r="ZU46" s="635"/>
      <c r="ZV46" s="635"/>
      <c r="ZW46" s="635"/>
      <c r="ZX46" s="635"/>
      <c r="ZY46" s="638"/>
      <c r="ZZ46" s="621"/>
      <c r="AAA46" s="587"/>
      <c r="AAD46" s="112"/>
      <c r="AAE46" s="550">
        <v>1</v>
      </c>
      <c r="AAF46" s="582" t="s">
        <v>172</v>
      </c>
      <c r="AAG46" s="63"/>
      <c r="AAH46" s="63"/>
      <c r="AAI46" s="77"/>
      <c r="AAJ46" s="56"/>
      <c r="AAK46" s="56"/>
      <c r="AAL46" s="39"/>
      <c r="AAM46" s="112"/>
      <c r="AAN46"/>
      <c r="AAT46" s="23"/>
      <c r="AAU46" s="44"/>
    </row>
    <row r="47" spans="1:732" ht="15.75" hidden="1" customHeight="1" outlineLevel="1">
      <c r="A47" s="557"/>
      <c r="B47" s="669" t="s">
        <v>311</v>
      </c>
      <c r="C47" s="347"/>
      <c r="D47" s="169" t="s">
        <v>386</v>
      </c>
      <c r="E47" s="368">
        <f t="shared" ref="E47:E50" si="725">NETWORKDAYS(G47,H47,S.DDL_DEQClosed)</f>
        <v>1</v>
      </c>
      <c r="F47" s="368">
        <f ca="1">NETWORKDAYS(TODAY(),H47)</f>
        <v>-36</v>
      </c>
      <c r="G47" s="369">
        <f>AAG47</f>
        <v>41435</v>
      </c>
      <c r="H47" s="369">
        <f>AAH47</f>
        <v>41435</v>
      </c>
      <c r="I47" s="626"/>
      <c r="J47" s="593"/>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7"/>
      <c r="AAD47" s="112"/>
      <c r="AAE47" s="550">
        <v>1</v>
      </c>
      <c r="AAF47" s="112" t="s">
        <v>0</v>
      </c>
      <c r="AAG47" s="78">
        <f>S.BANNER.PlanningStart</f>
        <v>41435</v>
      </c>
      <c r="AAH47" s="78">
        <f>G47</f>
        <v>41435</v>
      </c>
      <c r="AAI47" s="77"/>
      <c r="AAJ47" s="56"/>
      <c r="AAK47" s="56"/>
      <c r="AAL47" s="39"/>
      <c r="AAM47" s="112"/>
      <c r="AAN47"/>
      <c r="AAT47" s="23"/>
      <c r="AAU47" s="44"/>
    </row>
    <row r="48" spans="1:732" ht="15.75" hidden="1" customHeight="1" outlineLevel="1">
      <c r="A48" s="557"/>
      <c r="B48" s="346" t="s">
        <v>74</v>
      </c>
      <c r="C48" s="347"/>
      <c r="D48" s="169" t="s">
        <v>371</v>
      </c>
      <c r="E48" s="368">
        <f t="shared" si="725"/>
        <v>1</v>
      </c>
      <c r="F48" s="368">
        <f ca="1">NETWORKDAYS(TODAY(),H48)</f>
        <v>-36</v>
      </c>
      <c r="G48" s="369">
        <f t="shared" ref="G48:G50" si="726">AAG48</f>
        <v>41435</v>
      </c>
      <c r="H48" s="369">
        <f t="shared" ref="H48:H49" si="727">AAH48</f>
        <v>41435</v>
      </c>
      <c r="I48" s="626"/>
      <c r="J48" s="593"/>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7"/>
      <c r="AAD48" s="112"/>
      <c r="AAE48" s="550">
        <v>1</v>
      </c>
      <c r="AAF48" s="112" t="s">
        <v>0</v>
      </c>
      <c r="AAG48" s="78">
        <f>H47</f>
        <v>41435</v>
      </c>
      <c r="AAH48" s="78">
        <f t="shared" ref="AAH48:AAH50" si="728">G48</f>
        <v>41435</v>
      </c>
      <c r="AAI48" s="77"/>
      <c r="AAJ48" s="56"/>
      <c r="AAK48" s="56"/>
      <c r="AAL48" s="39"/>
      <c r="AAM48" s="112"/>
      <c r="AAN48"/>
      <c r="AAT48" s="23"/>
      <c r="AAU48" s="44"/>
    </row>
    <row r="49" spans="1:732" ht="15.75" hidden="1" customHeight="1" outlineLevel="1">
      <c r="A49" s="557"/>
      <c r="B49" s="348" t="s">
        <v>312</v>
      </c>
      <c r="C49" s="347"/>
      <c r="D49" s="169" t="s">
        <v>371</v>
      </c>
      <c r="E49" s="368">
        <f t="shared" si="725"/>
        <v>1</v>
      </c>
      <c r="F49" s="368">
        <f ca="1">NETWORKDAYS(TODAY(),H49)</f>
        <v>-36</v>
      </c>
      <c r="G49" s="369">
        <f t="shared" si="726"/>
        <v>41435</v>
      </c>
      <c r="H49" s="369">
        <f t="shared" si="727"/>
        <v>41435</v>
      </c>
      <c r="I49" s="626"/>
      <c r="J49" s="590"/>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7"/>
      <c r="AAD49" s="112"/>
      <c r="AAE49" s="550">
        <v>1</v>
      </c>
      <c r="AAF49" s="112" t="s">
        <v>0</v>
      </c>
      <c r="AAG49" s="78">
        <f t="shared" ref="AAG49:AAG50" si="729">H48</f>
        <v>41435</v>
      </c>
      <c r="AAH49" s="78">
        <f t="shared" si="728"/>
        <v>41435</v>
      </c>
      <c r="AAI49" s="77"/>
      <c r="AAJ49" s="56"/>
      <c r="AAK49" s="56"/>
      <c r="AAL49" s="39"/>
      <c r="AAM49" s="112"/>
      <c r="AAN49"/>
      <c r="AAT49" s="23"/>
      <c r="AAU49" s="44"/>
    </row>
    <row r="50" spans="1:732" ht="15.75" hidden="1" customHeight="1" outlineLevel="1">
      <c r="A50" s="557"/>
      <c r="B50" s="349" t="s">
        <v>260</v>
      </c>
      <c r="C50" s="347"/>
      <c r="D50" s="169" t="s">
        <v>373</v>
      </c>
      <c r="E50" s="368">
        <f t="shared" si="725"/>
        <v>1</v>
      </c>
      <c r="F50" s="368">
        <f ca="1">NETWORKDAYS(TODAY(),H50)</f>
        <v>-36</v>
      </c>
      <c r="G50" s="369">
        <f t="shared" si="726"/>
        <v>41435</v>
      </c>
      <c r="H50" s="370">
        <f>AAH50</f>
        <v>41435</v>
      </c>
      <c r="I50" s="626"/>
      <c r="J50" s="590"/>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7"/>
      <c r="AAD50" s="112"/>
      <c r="AAE50" s="550">
        <v>1</v>
      </c>
      <c r="AAF50" s="112" t="s">
        <v>0</v>
      </c>
      <c r="AAG50" s="78">
        <f t="shared" si="729"/>
        <v>41435</v>
      </c>
      <c r="AAH50" s="78">
        <f t="shared" si="728"/>
        <v>41435</v>
      </c>
      <c r="AAI50" s="77"/>
      <c r="AAJ50" s="56"/>
      <c r="AAK50" s="56"/>
      <c r="AAL50" s="39"/>
      <c r="AAM50" s="112"/>
      <c r="AAN50"/>
      <c r="AAT50" s="23"/>
      <c r="AAU50" s="44"/>
    </row>
    <row r="51" spans="1:732" ht="15.75" hidden="1" customHeight="1" outlineLevel="1">
      <c r="A51" s="557"/>
      <c r="B51" s="350" t="s">
        <v>73</v>
      </c>
      <c r="C51" s="699" t="s">
        <v>0</v>
      </c>
      <c r="D51" s="351"/>
      <c r="E51" s="352"/>
      <c r="F51" s="352"/>
      <c r="G51" s="351"/>
      <c r="H51" s="351"/>
      <c r="I51" s="587"/>
      <c r="J51" s="590"/>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6"/>
      <c r="ZZ51" s="621"/>
      <c r="AAA51" s="587"/>
      <c r="AAD51" s="112"/>
      <c r="AAE51" s="550">
        <v>1</v>
      </c>
      <c r="AAF51" s="582" t="s">
        <v>172</v>
      </c>
      <c r="AAG51" s="76"/>
      <c r="AAH51" s="76"/>
      <c r="AAI51" s="76"/>
      <c r="AAJ51" s="56"/>
      <c r="AAK51" s="56"/>
      <c r="AAL51" s="39"/>
      <c r="AAM51" s="112"/>
      <c r="AAN51"/>
      <c r="AAT51" s="23"/>
      <c r="AAU51" s="44"/>
    </row>
    <row r="52" spans="1:732" ht="15.75" hidden="1" customHeight="1" outlineLevel="1">
      <c r="A52" s="557"/>
      <c r="B52" s="350" t="s">
        <v>129</v>
      </c>
      <c r="C52" s="699" t="s">
        <v>0</v>
      </c>
      <c r="D52" s="353"/>
      <c r="E52" s="354"/>
      <c r="F52" s="352"/>
      <c r="G52" s="355"/>
      <c r="H52" s="356"/>
      <c r="I52" s="587"/>
      <c r="J52" s="590"/>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6"/>
      <c r="ZZ52" s="621"/>
      <c r="AAA52" s="587"/>
      <c r="AAD52" s="112"/>
      <c r="AAE52" s="550">
        <v>1</v>
      </c>
      <c r="AAF52" s="582" t="s">
        <v>172</v>
      </c>
      <c r="AAG52" s="76"/>
      <c r="AAH52" s="76"/>
      <c r="AAI52" s="76"/>
      <c r="AAJ52" s="56"/>
      <c r="AAK52" s="56"/>
      <c r="AAL52" s="39"/>
      <c r="AAM52" s="112"/>
      <c r="AAN52"/>
      <c r="AAT52" s="23"/>
      <c r="AAU52" s="44"/>
    </row>
    <row r="53" spans="1:732" ht="15.75" hidden="1" customHeight="1" outlineLevel="1">
      <c r="A53" s="557"/>
      <c r="B53" s="350" t="s">
        <v>69</v>
      </c>
      <c r="C53" s="673" t="s">
        <v>89</v>
      </c>
      <c r="D53" s="155"/>
      <c r="E53" s="156"/>
      <c r="F53" s="154"/>
      <c r="G53" s="157"/>
      <c r="H53" s="161"/>
      <c r="I53" s="587"/>
      <c r="J53" s="590"/>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6"/>
      <c r="ZZ53" s="621"/>
      <c r="AAA53" s="587"/>
      <c r="AAD53" s="112"/>
      <c r="AAE53" s="550">
        <v>1</v>
      </c>
      <c r="AAF53" s="582" t="s">
        <v>172</v>
      </c>
      <c r="AAG53" s="76"/>
      <c r="AAH53" s="76"/>
      <c r="AAI53" s="76"/>
      <c r="AAJ53" s="56"/>
      <c r="AAK53" s="56"/>
      <c r="AAL53" s="39"/>
      <c r="AAM53" s="112"/>
      <c r="AAN53"/>
      <c r="AAT53" s="23"/>
      <c r="AAU53" s="44"/>
    </row>
    <row r="54" spans="1:732" ht="15.75" hidden="1" customHeight="1" outlineLevel="1">
      <c r="A54" s="557"/>
      <c r="B54" s="350" t="s">
        <v>68</v>
      </c>
      <c r="C54" s="700"/>
      <c r="D54" s="155"/>
      <c r="E54" s="156"/>
      <c r="F54" s="154"/>
      <c r="G54" s="157"/>
      <c r="H54" s="161"/>
      <c r="I54" s="587"/>
      <c r="J54" s="590"/>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6"/>
      <c r="ZZ54" s="621"/>
      <c r="AAA54" s="587"/>
      <c r="AAD54" s="112"/>
      <c r="AAE54" s="550">
        <v>1</v>
      </c>
      <c r="AAF54" s="582" t="s">
        <v>172</v>
      </c>
      <c r="AAG54" s="76"/>
      <c r="AAH54" s="76"/>
      <c r="AAI54" s="76"/>
      <c r="AAJ54" s="56"/>
      <c r="AAK54" s="56"/>
      <c r="AAL54" s="39"/>
      <c r="AAM54" s="112"/>
      <c r="AAN54"/>
      <c r="AAT54" s="23"/>
      <c r="AAU54" s="44"/>
    </row>
    <row r="55" spans="1:732" ht="15.75" hidden="1" customHeight="1" outlineLevel="1">
      <c r="A55" s="557"/>
      <c r="B55" s="350" t="s">
        <v>261</v>
      </c>
      <c r="C55" s="701"/>
      <c r="D55" s="155"/>
      <c r="E55" s="156"/>
      <c r="F55" s="154"/>
      <c r="G55" s="157"/>
      <c r="H55" s="161"/>
      <c r="I55" s="587"/>
      <c r="J55" s="590"/>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6"/>
      <c r="ZZ55" s="621"/>
      <c r="AAA55" s="587"/>
      <c r="AAD55" s="112"/>
      <c r="AAE55" s="550">
        <v>1</v>
      </c>
      <c r="AAF55" s="582" t="s">
        <v>172</v>
      </c>
      <c r="AAG55" s="76"/>
      <c r="AAH55" s="76"/>
      <c r="AAI55" s="76"/>
      <c r="AAJ55" s="56"/>
      <c r="AAK55" s="56"/>
      <c r="AAL55" s="39"/>
      <c r="AAM55" s="112"/>
      <c r="AAN55"/>
      <c r="AAT55" s="23"/>
      <c r="AAU55" s="44"/>
    </row>
    <row r="56" spans="1:732" ht="15.75" hidden="1" customHeight="1" outlineLevel="1">
      <c r="A56" s="557"/>
      <c r="B56" s="350" t="s">
        <v>313</v>
      </c>
      <c r="C56" s="701"/>
      <c r="D56" s="155"/>
      <c r="E56" s="156"/>
      <c r="F56" s="154"/>
      <c r="G56" s="157"/>
      <c r="H56" s="161"/>
      <c r="I56" s="587"/>
      <c r="J56" s="590"/>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6"/>
      <c r="ZZ56" s="621"/>
      <c r="AAA56" s="587"/>
      <c r="AAD56" s="112"/>
      <c r="AAE56" s="550">
        <v>1</v>
      </c>
      <c r="AAF56" s="582" t="s">
        <v>172</v>
      </c>
      <c r="AAG56" s="76"/>
      <c r="AAH56" s="76"/>
      <c r="AAI56" s="76"/>
      <c r="AAJ56" s="56"/>
      <c r="AAK56" s="56"/>
      <c r="AAL56" s="39"/>
      <c r="AAM56" s="112"/>
      <c r="AAN56"/>
      <c r="AAT56" s="23"/>
      <c r="AAU56" s="44"/>
    </row>
    <row r="57" spans="1:732" ht="15.75" hidden="1" customHeight="1" outlineLevel="1">
      <c r="A57" s="557"/>
      <c r="B57" s="357" t="s">
        <v>347</v>
      </c>
      <c r="C57" s="287" t="s">
        <v>90</v>
      </c>
      <c r="D57" s="155"/>
      <c r="E57" s="156"/>
      <c r="F57" s="154"/>
      <c r="G57" s="157"/>
      <c r="H57" s="161"/>
      <c r="I57" s="587"/>
      <c r="J57" s="590"/>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6"/>
      <c r="ZZ57" s="621"/>
      <c r="AAA57" s="587"/>
      <c r="AAD57" s="112"/>
      <c r="AAE57" s="550">
        <v>1</v>
      </c>
      <c r="AAF57" s="582" t="s">
        <v>172</v>
      </c>
      <c r="AAG57" s="76"/>
      <c r="AAH57" s="76"/>
      <c r="AAI57" s="76"/>
      <c r="AAJ57" s="56"/>
      <c r="AAK57" s="56"/>
      <c r="AAL57" s="39"/>
      <c r="AAM57" s="112"/>
      <c r="AAN57"/>
      <c r="AAT57" s="23"/>
      <c r="AAU57" s="44"/>
    </row>
    <row r="58" spans="1:732" ht="15.75" hidden="1" customHeight="1" outlineLevel="1">
      <c r="A58" s="557"/>
      <c r="B58" s="358" t="s">
        <v>317</v>
      </c>
      <c r="C58"/>
      <c r="D58" s="155" t="s">
        <v>0</v>
      </c>
      <c r="E58" s="156"/>
      <c r="F58" s="154"/>
      <c r="G58" s="157"/>
      <c r="H58" s="161"/>
      <c r="I58" s="587"/>
      <c r="J58" s="590"/>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6"/>
      <c r="ZZ58" s="621"/>
      <c r="AAA58" s="587"/>
      <c r="AAD58" s="112"/>
      <c r="AAE58" s="550">
        <v>1</v>
      </c>
      <c r="AAF58" s="582" t="s">
        <v>172</v>
      </c>
      <c r="AAG58" s="76"/>
      <c r="AAH58" s="76"/>
      <c r="AAI58" s="76"/>
      <c r="AAJ58" s="56"/>
      <c r="AAK58" s="56"/>
      <c r="AAL58" s="39"/>
      <c r="AAM58" s="112"/>
      <c r="AAN58"/>
      <c r="AAT58" s="23"/>
      <c r="AAU58" s="44"/>
    </row>
    <row r="59" spans="1:732" ht="15.75" hidden="1" customHeight="1" outlineLevel="1">
      <c r="A59" s="557"/>
      <c r="B59" s="358" t="s">
        <v>309</v>
      </c>
      <c r="C59"/>
      <c r="D59" s="158"/>
      <c r="E59" s="154"/>
      <c r="F59" s="154"/>
      <c r="G59" s="153"/>
      <c r="H59" s="153"/>
      <c r="I59" s="587"/>
      <c r="J59" s="590"/>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6"/>
      <c r="ZZ59" s="621"/>
      <c r="AAA59" s="587"/>
      <c r="AAD59" s="112"/>
      <c r="AAE59" s="550">
        <v>1</v>
      </c>
      <c r="AAF59" s="582" t="s">
        <v>172</v>
      </c>
      <c r="AAG59" s="76"/>
      <c r="AAH59" s="76"/>
      <c r="AAI59" s="76"/>
      <c r="AAJ59" s="56"/>
      <c r="AAK59" s="56"/>
      <c r="AAL59" s="39"/>
      <c r="AAM59" s="112"/>
      <c r="AAN59"/>
      <c r="AAT59" s="23"/>
      <c r="AAU59" s="44"/>
    </row>
    <row r="60" spans="1:732" ht="15.75" hidden="1" customHeight="1" outlineLevel="1">
      <c r="A60" s="557"/>
      <c r="B60" s="358" t="s">
        <v>318</v>
      </c>
      <c r="C60"/>
      <c r="D60" s="158"/>
      <c r="E60" s="122"/>
      <c r="F60" s="154"/>
      <c r="G60" s="159"/>
      <c r="H60" s="163"/>
      <c r="I60" s="587"/>
      <c r="J60" s="590"/>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6"/>
      <c r="ZZ60" s="621"/>
      <c r="AAA60" s="587"/>
      <c r="AAD60" s="112"/>
      <c r="AAE60" s="550">
        <f>IF(S.InvolveNotice=TRUE,1,0)</f>
        <v>1</v>
      </c>
      <c r="AAF60" s="582" t="s">
        <v>172</v>
      </c>
      <c r="AAG60" s="76"/>
      <c r="AAH60" s="76"/>
      <c r="AAI60" s="76"/>
      <c r="AAJ60" s="56"/>
      <c r="AAK60" s="56"/>
      <c r="AAL60" s="39"/>
      <c r="AAM60" s="112"/>
      <c r="AAN60"/>
      <c r="AAT60" s="23"/>
      <c r="AAU60" s="44"/>
    </row>
    <row r="61" spans="1:732" ht="15.75" hidden="1" customHeight="1" outlineLevel="1">
      <c r="A61" s="557"/>
      <c r="B61" s="358" t="s">
        <v>319</v>
      </c>
      <c r="C61"/>
      <c r="D61" s="153"/>
      <c r="E61" s="122"/>
      <c r="F61" s="160"/>
      <c r="G61" s="161"/>
      <c r="H61" s="161"/>
      <c r="I61" s="587"/>
      <c r="J61" s="590"/>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6"/>
      <c r="ZZ61" s="621"/>
      <c r="AAA61" s="587"/>
      <c r="AAD61" s="112"/>
      <c r="AAE61" s="550">
        <f>IF(S.InvolveFee=TRUE,1,0)</f>
        <v>0</v>
      </c>
      <c r="AAF61" s="582" t="s">
        <v>172</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7"/>
      <c r="B62" s="358" t="s">
        <v>320</v>
      </c>
      <c r="C62"/>
      <c r="D62" s="153"/>
      <c r="E62" s="122"/>
      <c r="F62" s="160"/>
      <c r="G62" s="161"/>
      <c r="H62" s="161"/>
      <c r="I62" s="587"/>
      <c r="J62" s="590"/>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6"/>
      <c r="ZZ62" s="621"/>
      <c r="AAA62" s="587"/>
      <c r="AAB62"/>
      <c r="AAC62"/>
      <c r="AAD62" s="112"/>
      <c r="AAE62" s="550">
        <f>IF(S.InvolveNotice=TRUE,1,0)</f>
        <v>1</v>
      </c>
      <c r="AAF62" s="582" t="s">
        <v>172</v>
      </c>
      <c r="AAG62" s="76"/>
      <c r="AAH62" s="76"/>
      <c r="AAI62" s="76"/>
      <c r="AAJ62" s="56"/>
      <c r="AAK62" s="56"/>
      <c r="AAL62" s="39"/>
      <c r="AAM62" s="112"/>
      <c r="AAU62" s="44"/>
      <c r="AAV62"/>
      <c r="AAW62"/>
      <c r="AAX62"/>
      <c r="AAY62"/>
      <c r="AAZ62"/>
      <c r="ABA62"/>
      <c r="ABB62"/>
      <c r="ABC62"/>
      <c r="ABD62"/>
    </row>
    <row r="63" spans="1:732" ht="15.75" hidden="1" customHeight="1" outlineLevel="1">
      <c r="A63" s="557"/>
      <c r="B63" s="358" t="s">
        <v>321</v>
      </c>
      <c r="C63"/>
      <c r="D63" s="158"/>
      <c r="E63" s="122"/>
      <c r="F63" s="160"/>
      <c r="G63" s="162"/>
      <c r="H63" s="161"/>
      <c r="I63" s="587"/>
      <c r="J63" s="590"/>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6"/>
      <c r="ZZ63" s="621"/>
      <c r="AAA63" s="587"/>
      <c r="AAD63" s="112"/>
      <c r="AAE63" s="550">
        <v>1</v>
      </c>
      <c r="AAF63" s="582" t="s">
        <v>172</v>
      </c>
      <c r="AAG63" s="76"/>
      <c r="AAH63" s="76"/>
      <c r="AAI63" s="76"/>
      <c r="AAJ63" s="56"/>
      <c r="AAK63" s="56"/>
      <c r="AAL63" s="39"/>
      <c r="AAM63" s="112"/>
      <c r="AAN63"/>
      <c r="AAT63" s="23"/>
      <c r="AAU63" s="44"/>
    </row>
    <row r="64" spans="1:732" ht="15.75" hidden="1" customHeight="1" outlineLevel="1">
      <c r="A64" s="557"/>
      <c r="B64" s="350" t="str">
        <f>AAL64</f>
        <v>Review/refine RESOURCES</v>
      </c>
      <c r="C64"/>
      <c r="D64" s="158" t="s">
        <v>0</v>
      </c>
      <c r="E64" s="122"/>
      <c r="F64" s="154"/>
      <c r="G64" s="153"/>
      <c r="H64" s="153"/>
      <c r="I64" s="587"/>
      <c r="J64" s="590"/>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6"/>
      <c r="ZZ64" s="621"/>
      <c r="AAA64" s="587"/>
      <c r="AAD64" s="112"/>
      <c r="AAE64" s="550">
        <v>1</v>
      </c>
      <c r="AAF64" s="582" t="s">
        <v>172</v>
      </c>
      <c r="AAG64" s="76"/>
      <c r="AAH64" s="76"/>
      <c r="AAI64" s="77"/>
      <c r="AAJ64" s="56"/>
      <c r="AAK64" s="56"/>
      <c r="AAL64" s="92" t="str">
        <f>"Review/refine "&amp;S.CodeName&amp;"RESOURCES"</f>
        <v>Review/refine RESOURCES</v>
      </c>
      <c r="AAM64" s="112"/>
      <c r="AAN64"/>
      <c r="AAT64" s="23"/>
      <c r="AAU64" s="44"/>
    </row>
    <row r="65" spans="1:732" ht="15.75" hidden="1" customHeight="1" outlineLevel="1">
      <c r="A65" s="557"/>
      <c r="B65" s="350" t="str">
        <f>AAL65</f>
        <v>Review/refine CONSIDERATIONS</v>
      </c>
      <c r="C65"/>
      <c r="D65" s="158"/>
      <c r="E65" s="122"/>
      <c r="F65" s="154"/>
      <c r="G65" s="163"/>
      <c r="H65" s="153"/>
      <c r="I65" s="587"/>
      <c r="J65" s="590"/>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6"/>
      <c r="ZZ65" s="621"/>
      <c r="AAA65" s="587"/>
      <c r="AAD65" s="112"/>
      <c r="AAE65" s="550">
        <v>1</v>
      </c>
      <c r="AAF65" s="582" t="s">
        <v>172</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hidden="1" customHeight="1" outlineLevel="1">
      <c r="A66" s="557"/>
      <c r="B66" s="359" t="s">
        <v>62</v>
      </c>
      <c r="C66" s="360"/>
      <c r="D66" s="161"/>
      <c r="E66" s="160"/>
      <c r="F66" s="160"/>
      <c r="G66" s="161" t="s">
        <v>0</v>
      </c>
      <c r="H66" s="161"/>
      <c r="I66" s="587"/>
      <c r="J66" s="590"/>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6"/>
      <c r="ZZ66" s="621"/>
      <c r="AAA66" s="587"/>
      <c r="AAD66" s="112"/>
      <c r="AAE66" s="550">
        <v>1</v>
      </c>
      <c r="AAF66" s="582" t="s">
        <v>172</v>
      </c>
      <c r="AAG66" s="76"/>
      <c r="AAH66" s="76"/>
      <c r="AAI66" s="77"/>
      <c r="AAJ66" s="56"/>
      <c r="AAK66" s="56"/>
      <c r="AAL66" s="76"/>
      <c r="AAM66" s="112"/>
      <c r="AAN66"/>
      <c r="AAT66" s="23"/>
      <c r="AAU66" s="44"/>
    </row>
    <row r="67" spans="1:732" s="23" customFormat="1" ht="15.75" hidden="1" customHeight="1" outlineLevel="1">
      <c r="A67" s="557"/>
      <c r="B67" s="730" t="s">
        <v>183</v>
      </c>
      <c r="C67" s="347"/>
      <c r="D67" s="229" t="s">
        <v>387</v>
      </c>
      <c r="E67" s="368">
        <f>NETWORKDAYS(G67,H67,S.DDL_DEQClosed)</f>
        <v>1</v>
      </c>
      <c r="F67" s="368">
        <f ca="1">NETWORKDAYS(TODAY(),H67)</f>
        <v>-36</v>
      </c>
      <c r="G67" s="369">
        <f t="shared" ref="G67:H70" si="730">AAG67</f>
        <v>41435</v>
      </c>
      <c r="H67" s="369">
        <f t="shared" si="730"/>
        <v>41435</v>
      </c>
      <c r="I67" s="626"/>
      <c r="J67" s="590"/>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7"/>
      <c r="AAB67"/>
      <c r="AAC67"/>
      <c r="AAD67" s="112"/>
      <c r="AAE67" s="550">
        <v>1</v>
      </c>
      <c r="AAF67" s="112"/>
      <c r="AAG67" s="78">
        <f>H50</f>
        <v>41435</v>
      </c>
      <c r="AAH67" s="78">
        <f>G67</f>
        <v>41435</v>
      </c>
      <c r="AAI67" s="77"/>
      <c r="AAJ67" s="80"/>
      <c r="AAK67" s="80"/>
      <c r="AAL67" s="63"/>
      <c r="AAM67" s="112"/>
      <c r="AAU67" s="44"/>
      <c r="AAV67"/>
      <c r="AAW67"/>
      <c r="AAX67"/>
      <c r="AAY67"/>
      <c r="AAZ67"/>
      <c r="ABA67"/>
      <c r="ABB67"/>
      <c r="ABC67"/>
      <c r="ABD67"/>
    </row>
    <row r="68" spans="1:732" ht="15.75" hidden="1" customHeight="1" outlineLevel="1">
      <c r="A68" s="557"/>
      <c r="B68" s="132" t="s">
        <v>354</v>
      </c>
      <c r="C68" s="347"/>
      <c r="D68" s="229" t="s">
        <v>377</v>
      </c>
      <c r="E68" s="368">
        <f>NETWORKDAYS(G68,H68,S.DDL_DEQClosed)</f>
        <v>1</v>
      </c>
      <c r="F68" s="368">
        <f ca="1">NETWORKDAYS(TODAY(),H68)</f>
        <v>-36</v>
      </c>
      <c r="G68" s="369">
        <f t="shared" si="730"/>
        <v>41435</v>
      </c>
      <c r="H68" s="369">
        <f t="shared" si="730"/>
        <v>41435</v>
      </c>
      <c r="I68" s="626"/>
      <c r="J68" s="590"/>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7"/>
      <c r="AAD68" s="112"/>
      <c r="AAE68" s="550">
        <v>1</v>
      </c>
      <c r="AAF68" s="112"/>
      <c r="AAG68" s="78">
        <f>H67</f>
        <v>41435</v>
      </c>
      <c r="AAH68" s="78">
        <f>G68</f>
        <v>41435</v>
      </c>
      <c r="AAI68" s="77"/>
      <c r="AAJ68" s="66" t="s">
        <v>0</v>
      </c>
      <c r="AAK68" s="66"/>
      <c r="AAL68" s="65"/>
      <c r="AAM68" s="112"/>
      <c r="AAN68"/>
      <c r="AAT68" s="23"/>
      <c r="AAU68" s="44"/>
    </row>
    <row r="69" spans="1:732" ht="15.75" hidden="1" customHeight="1" outlineLevel="1">
      <c r="A69" s="557"/>
      <c r="B69" s="346" t="s">
        <v>184</v>
      </c>
      <c r="C69" s="347"/>
      <c r="D69" s="169" t="s">
        <v>378</v>
      </c>
      <c r="E69" s="368">
        <f>NETWORKDAYS(G69,H69,S.DDL_DEQClosed)</f>
        <v>1</v>
      </c>
      <c r="F69" s="368">
        <f ca="1">NETWORKDAYS(TODAY(),H69)</f>
        <v>-36</v>
      </c>
      <c r="G69" s="369">
        <f t="shared" si="730"/>
        <v>41435</v>
      </c>
      <c r="H69" s="369">
        <f t="shared" si="730"/>
        <v>41435</v>
      </c>
      <c r="I69" s="626"/>
      <c r="J69" s="590"/>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7"/>
      <c r="AAD69" s="112"/>
      <c r="AAE69" s="550">
        <v>1</v>
      </c>
      <c r="AAF69" s="112"/>
      <c r="AAG69" s="78">
        <f t="shared" ref="AAG69:AAG70" si="731">H68</f>
        <v>41435</v>
      </c>
      <c r="AAH69" s="78">
        <f>G69</f>
        <v>41435</v>
      </c>
      <c r="AAI69" s="77"/>
      <c r="AAJ69" s="56"/>
      <c r="AAK69" s="56"/>
      <c r="AAL69" s="65"/>
      <c r="AAM69" s="112"/>
      <c r="AAN69"/>
      <c r="AAT69" s="23"/>
      <c r="AAU69" s="44"/>
    </row>
    <row r="70" spans="1:732" ht="15.75" hidden="1" customHeight="1" outlineLevel="1">
      <c r="A70" s="557"/>
      <c r="B70" s="546" t="s">
        <v>295</v>
      </c>
      <c r="C70" s="672" t="s">
        <v>70</v>
      </c>
      <c r="D70" s="169" t="s">
        <v>388</v>
      </c>
      <c r="E70" s="368">
        <f>NETWORKDAYS(G70,H70,S.DDL_DEQClosed)</f>
        <v>1</v>
      </c>
      <c r="F70" s="368">
        <f ca="1">NETWORKDAYS(TODAY(),H70)</f>
        <v>-36</v>
      </c>
      <c r="G70" s="369">
        <f t="shared" si="730"/>
        <v>41435</v>
      </c>
      <c r="H70" s="369">
        <f t="shared" si="730"/>
        <v>41435</v>
      </c>
      <c r="I70" s="626"/>
      <c r="J70" s="590"/>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7"/>
      <c r="AAD70" s="112"/>
      <c r="AAE70" s="550">
        <v>1</v>
      </c>
      <c r="AAF70" s="112"/>
      <c r="AAG70" s="78">
        <f t="shared" si="731"/>
        <v>41435</v>
      </c>
      <c r="AAH70" s="78">
        <f>G70</f>
        <v>41435</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7"/>
      <c r="B71" s="361" t="s">
        <v>215</v>
      </c>
      <c r="C71" s="168"/>
      <c r="D71" s="371" t="s">
        <v>389</v>
      </c>
      <c r="E71" s="368">
        <f t="shared" ref="E71" si="732">NETWORKDAYS(G71,H71,S.DDL_DEQClosed)</f>
        <v>31</v>
      </c>
      <c r="F71" s="372">
        <f t="shared" ref="F71" ca="1" si="733">NETWORKDAYS(TODAY(),H71)</f>
        <v>5</v>
      </c>
      <c r="G71" s="536">
        <f>S.SIPStart</f>
        <v>41445</v>
      </c>
      <c r="H71" s="535">
        <f>AAH71</f>
        <v>41488</v>
      </c>
      <c r="I71" s="626"/>
      <c r="J71" s="591"/>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7"/>
      <c r="AAB71"/>
      <c r="AAC71"/>
      <c r="AAD71" s="112"/>
      <c r="AAE71" s="551">
        <f t="shared" ref="AAE71:AAE78" si="734">IF(S.InvolveSIP=TRUE,1,0)</f>
        <v>1</v>
      </c>
      <c r="AAF71" s="112"/>
      <c r="AAG71" s="78">
        <f>S.SIPStart</f>
        <v>41445</v>
      </c>
      <c r="AAH71" s="78">
        <f>S.SubmitNoticeToEPA</f>
        <v>41488</v>
      </c>
      <c r="AAI71" s="77"/>
      <c r="AAJ71" s="77"/>
      <c r="AAK71" s="77"/>
      <c r="AAL71" s="65"/>
      <c r="AAM71" s="112"/>
      <c r="AAU71" s="44"/>
      <c r="AAV71"/>
      <c r="AAW71"/>
      <c r="AAX71"/>
      <c r="AAY71"/>
      <c r="AAZ71"/>
      <c r="ABA71"/>
      <c r="ABB71"/>
      <c r="ABC71"/>
      <c r="ABD71"/>
    </row>
    <row r="72" spans="1:732" ht="15.75" hidden="1" customHeight="1" outlineLevel="2">
      <c r="A72" s="557"/>
      <c r="B72" s="362" t="s">
        <v>296</v>
      </c>
      <c r="C72" s="168"/>
      <c r="D72" s="371" t="s">
        <v>389</v>
      </c>
      <c r="E72" s="368">
        <f t="shared" ref="E72:E78" si="735">NETWORKDAYS(G72,H72,S.DDL_DEQClosed)</f>
        <v>1</v>
      </c>
      <c r="F72" s="372">
        <f t="shared" ref="F72:F78" ca="1" si="736">NETWORKDAYS(TODAY(),H72)</f>
        <v>-28</v>
      </c>
      <c r="G72" s="586">
        <f>AAG72</f>
        <v>41445</v>
      </c>
      <c r="H72" s="369">
        <f t="shared" ref="H72:H77" si="737">AAH72</f>
        <v>41445</v>
      </c>
      <c r="I72" s="626"/>
      <c r="J72" s="591"/>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7"/>
      <c r="AAD72" s="112"/>
      <c r="AAE72" s="551">
        <f t="shared" si="734"/>
        <v>1</v>
      </c>
      <c r="AAF72" s="582"/>
      <c r="AAG72" s="78">
        <f>S.SIPStart</f>
        <v>41445</v>
      </c>
      <c r="AAH72" s="78">
        <f>G72</f>
        <v>41445</v>
      </c>
      <c r="AAI72" s="77"/>
      <c r="AAJ72" s="56"/>
      <c r="AAK72" s="56"/>
      <c r="AAL72" s="65"/>
      <c r="AAM72" s="112"/>
      <c r="AAN72"/>
      <c r="AAT72" s="23"/>
      <c r="AAU72" s="44"/>
    </row>
    <row r="73" spans="1:732" ht="15.75" hidden="1" customHeight="1" outlineLevel="2">
      <c r="A73" s="557"/>
      <c r="B73" s="363" t="s">
        <v>75</v>
      </c>
      <c r="C73" s="168"/>
      <c r="D73" s="371" t="s">
        <v>389</v>
      </c>
      <c r="E73" s="368">
        <f t="shared" si="735"/>
        <v>1</v>
      </c>
      <c r="F73" s="372">
        <f t="shared" ca="1" si="736"/>
        <v>-28</v>
      </c>
      <c r="G73" s="586">
        <f>AAG73</f>
        <v>41445</v>
      </c>
      <c r="H73" s="369">
        <f t="shared" si="737"/>
        <v>41445</v>
      </c>
      <c r="I73" s="626"/>
      <c r="J73" s="591"/>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7"/>
      <c r="AAD73" s="112"/>
      <c r="AAE73" s="551">
        <f t="shared" si="734"/>
        <v>1</v>
      </c>
      <c r="AAF73" s="582"/>
      <c r="AAG73" s="78">
        <f>G72</f>
        <v>41445</v>
      </c>
      <c r="AAH73" s="78">
        <f t="shared" ref="AAH73:AAH77" si="738">G73</f>
        <v>41445</v>
      </c>
      <c r="AAI73" s="77"/>
      <c r="AAJ73" s="56"/>
      <c r="AAK73" s="56"/>
      <c r="AAL73" s="65"/>
      <c r="AAM73" s="112"/>
      <c r="AAN73"/>
      <c r="AAT73" s="23"/>
      <c r="AAU73" s="44"/>
    </row>
    <row r="74" spans="1:732" ht="15.75" hidden="1" customHeight="1" outlineLevel="2">
      <c r="A74" s="557"/>
      <c r="B74" s="364" t="s">
        <v>75</v>
      </c>
      <c r="C74" s="168"/>
      <c r="D74" s="371" t="s">
        <v>389</v>
      </c>
      <c r="E74" s="368">
        <f t="shared" si="735"/>
        <v>1</v>
      </c>
      <c r="F74" s="372">
        <f t="shared" ca="1" si="736"/>
        <v>-28</v>
      </c>
      <c r="G74" s="586">
        <f t="shared" ref="G74:G77" si="739">AAG74</f>
        <v>41445</v>
      </c>
      <c r="H74" s="369">
        <f t="shared" si="737"/>
        <v>41445</v>
      </c>
      <c r="I74" s="626"/>
      <c r="J74" s="591"/>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7"/>
      <c r="AAD74" s="112"/>
      <c r="AAE74" s="551">
        <f t="shared" si="734"/>
        <v>1</v>
      </c>
      <c r="AAF74" s="582"/>
      <c r="AAG74" s="78">
        <f>G73</f>
        <v>41445</v>
      </c>
      <c r="AAH74" s="78">
        <f t="shared" si="738"/>
        <v>41445</v>
      </c>
      <c r="AAI74" s="77"/>
      <c r="AAJ74" s="56"/>
      <c r="AAK74" s="56"/>
      <c r="AAL74" s="65"/>
      <c r="AAM74" s="112"/>
      <c r="AAN74"/>
      <c r="AAT74" s="23"/>
      <c r="AAU74" s="44"/>
    </row>
    <row r="75" spans="1:732" ht="15.75" hidden="1" customHeight="1" outlineLevel="2">
      <c r="A75" s="557"/>
      <c r="B75" s="364" t="s">
        <v>75</v>
      </c>
      <c r="C75" s="168"/>
      <c r="D75" s="371" t="s">
        <v>389</v>
      </c>
      <c r="E75" s="368">
        <f t="shared" si="735"/>
        <v>1</v>
      </c>
      <c r="F75" s="372">
        <f t="shared" ca="1" si="736"/>
        <v>-28</v>
      </c>
      <c r="G75" s="586">
        <f t="shared" si="739"/>
        <v>41445</v>
      </c>
      <c r="H75" s="369">
        <f t="shared" si="737"/>
        <v>41445</v>
      </c>
      <c r="I75" s="626"/>
      <c r="J75" s="591"/>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7"/>
      <c r="AAD75" s="112"/>
      <c r="AAE75" s="551">
        <f t="shared" si="734"/>
        <v>1</v>
      </c>
      <c r="AAF75" s="582"/>
      <c r="AAG75" s="78">
        <f t="shared" ref="AAG75:AAG77" si="740">G74</f>
        <v>41445</v>
      </c>
      <c r="AAH75" s="78">
        <f t="shared" si="738"/>
        <v>41445</v>
      </c>
      <c r="AAI75" s="77"/>
      <c r="AAJ75" s="56"/>
      <c r="AAK75" s="56"/>
      <c r="AAL75" s="65"/>
      <c r="AAM75" s="112"/>
      <c r="AAN75"/>
      <c r="AAT75" s="23"/>
      <c r="AAU75" s="44"/>
    </row>
    <row r="76" spans="1:732" ht="15.75" hidden="1" customHeight="1" outlineLevel="2">
      <c r="A76" s="557"/>
      <c r="B76" s="364" t="s">
        <v>75</v>
      </c>
      <c r="C76" s="168"/>
      <c r="D76" s="371" t="s">
        <v>389</v>
      </c>
      <c r="E76" s="368">
        <f t="shared" si="735"/>
        <v>1</v>
      </c>
      <c r="F76" s="372">
        <f t="shared" ca="1" si="736"/>
        <v>-28</v>
      </c>
      <c r="G76" s="586">
        <f t="shared" si="739"/>
        <v>41445</v>
      </c>
      <c r="H76" s="369">
        <f t="shared" si="737"/>
        <v>41445</v>
      </c>
      <c r="I76" s="626"/>
      <c r="J76" s="591"/>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7"/>
      <c r="AAD76" s="112"/>
      <c r="AAE76" s="551">
        <f t="shared" si="734"/>
        <v>1</v>
      </c>
      <c r="AAF76" s="582"/>
      <c r="AAG76" s="78">
        <f t="shared" si="740"/>
        <v>41445</v>
      </c>
      <c r="AAH76" s="78">
        <f t="shared" si="738"/>
        <v>41445</v>
      </c>
      <c r="AAI76" s="77"/>
      <c r="AAJ76" s="56"/>
      <c r="AAK76" s="56"/>
      <c r="AAL76" s="65"/>
      <c r="AAM76" s="112"/>
      <c r="AAN76"/>
      <c r="AAT76" s="23"/>
      <c r="AAU76" s="44"/>
    </row>
    <row r="77" spans="1:732" ht="15.75" hidden="1" customHeight="1" outlineLevel="2">
      <c r="A77" s="557"/>
      <c r="B77" s="362" t="s">
        <v>15</v>
      </c>
      <c r="C77" s="168"/>
      <c r="D77" s="371" t="s">
        <v>389</v>
      </c>
      <c r="E77" s="368">
        <f t="shared" si="735"/>
        <v>1</v>
      </c>
      <c r="F77" s="372">
        <f t="shared" ca="1" si="736"/>
        <v>-28</v>
      </c>
      <c r="G77" s="586">
        <f t="shared" si="739"/>
        <v>41445</v>
      </c>
      <c r="H77" s="369">
        <f t="shared" si="737"/>
        <v>41445</v>
      </c>
      <c r="I77" s="626"/>
      <c r="J77" s="591"/>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7"/>
      <c r="AAD77" s="112"/>
      <c r="AAE77" s="551">
        <f t="shared" si="734"/>
        <v>1</v>
      </c>
      <c r="AAF77" s="582"/>
      <c r="AAG77" s="78">
        <f t="shared" si="740"/>
        <v>41445</v>
      </c>
      <c r="AAH77" s="78">
        <f t="shared" si="738"/>
        <v>41445</v>
      </c>
      <c r="AAI77" s="77"/>
      <c r="AAJ77" s="56"/>
      <c r="AAK77" s="56"/>
      <c r="AAL77" s="65"/>
      <c r="AAM77" s="112"/>
      <c r="AAN77"/>
      <c r="AAT77" s="23"/>
      <c r="AAU77" s="44"/>
    </row>
    <row r="78" spans="1:732" ht="15.75" hidden="1" customHeight="1" outlineLevel="1" collapsed="1">
      <c r="A78" s="557"/>
      <c r="B78" s="362" t="s">
        <v>262</v>
      </c>
      <c r="C78" s="168"/>
      <c r="D78" s="371" t="s">
        <v>389</v>
      </c>
      <c r="E78" s="368">
        <f t="shared" si="735"/>
        <v>1</v>
      </c>
      <c r="F78" s="372">
        <f t="shared" ca="1" si="736"/>
        <v>5</v>
      </c>
      <c r="G78" s="535">
        <f>AAG78</f>
        <v>41488</v>
      </c>
      <c r="H78" s="536">
        <f>AAH78</f>
        <v>41488</v>
      </c>
      <c r="I78" s="626"/>
      <c r="J78" s="591"/>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7"/>
      <c r="AAD78" s="112"/>
      <c r="AAE78" s="551">
        <f t="shared" si="734"/>
        <v>1</v>
      </c>
      <c r="AAF78" s="582"/>
      <c r="AAG78" s="78">
        <f>S.SubmitNoticeToEPA</f>
        <v>41488</v>
      </c>
      <c r="AAH78" s="78">
        <f>S.SubmitNoticeToEPA</f>
        <v>41488</v>
      </c>
      <c r="AAI78" s="77"/>
      <c r="AAJ78" s="56"/>
      <c r="AAK78" s="56"/>
      <c r="AAL78" s="65"/>
      <c r="AAM78" s="112"/>
      <c r="AAN78"/>
      <c r="AAT78" s="23"/>
      <c r="AAU78" s="44"/>
    </row>
    <row r="79" spans="1:732" ht="6" customHeight="1" collapsed="1">
      <c r="A79" s="557"/>
      <c r="B79" s="365"/>
      <c r="C79" s="702"/>
      <c r="D79" s="164"/>
      <c r="E79" s="165"/>
      <c r="F79" s="165"/>
      <c r="G79" s="164"/>
      <c r="H79" s="164"/>
      <c r="I79" s="587"/>
      <c r="J79" s="63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7"/>
      <c r="ZZ79" s="36"/>
      <c r="AAA79" s="587"/>
      <c r="AAD79" s="112"/>
      <c r="AAE79" s="550" t="s">
        <v>26</v>
      </c>
      <c r="AAF79" s="582" t="s">
        <v>172</v>
      </c>
      <c r="AAG79" s="76"/>
      <c r="AAH79" s="76"/>
      <c r="AAI79" s="77"/>
      <c r="AAJ79" s="56"/>
      <c r="AAK79" s="56"/>
      <c r="AAL79" s="65"/>
      <c r="AAM79" s="112"/>
      <c r="AAN79"/>
      <c r="AAT79" s="23"/>
      <c r="AAU79" s="44"/>
    </row>
    <row r="80" spans="1:732" s="23" customFormat="1" ht="18" customHeight="1">
      <c r="A80" s="557"/>
      <c r="B80" s="775" t="str">
        <f>AAL19</f>
        <v>2-Advisory Committee</v>
      </c>
      <c r="C80" s="775"/>
      <c r="D80" s="775"/>
      <c r="E80" s="775"/>
      <c r="F80" s="775"/>
      <c r="G80" s="775"/>
      <c r="H80" s="149" t="s">
        <v>0</v>
      </c>
      <c r="I80" s="626"/>
      <c r="J80" s="631"/>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8"/>
      <c r="ZZ80" s="119"/>
      <c r="AAA80" s="587"/>
      <c r="AAB80"/>
      <c r="AAC80"/>
      <c r="AAD80" s="112"/>
      <c r="AAE80" s="550" t="s">
        <v>27</v>
      </c>
      <c r="AAF80" s="582" t="s">
        <v>172</v>
      </c>
      <c r="AAG80" s="112"/>
      <c r="AAH80" s="112"/>
      <c r="AAI80" s="77"/>
      <c r="AAJ80" s="90"/>
      <c r="AAK80" s="90"/>
      <c r="AAL80" s="65"/>
      <c r="AAM80" s="112"/>
      <c r="AAU80" s="44"/>
    </row>
    <row r="81" spans="1:732" s="23" customFormat="1" ht="18" customHeight="1">
      <c r="A81" s="557"/>
      <c r="B81" s="234" t="s">
        <v>15</v>
      </c>
      <c r="C81" s="703"/>
      <c r="D81" s="150" t="s">
        <v>239</v>
      </c>
      <c r="E81" s="151" t="s">
        <v>15</v>
      </c>
      <c r="F81" s="235" t="s">
        <v>2</v>
      </c>
      <c r="G81" s="152" t="s">
        <v>246</v>
      </c>
      <c r="H81" s="152" t="s">
        <v>87</v>
      </c>
      <c r="I81" s="626"/>
      <c r="J81" s="59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8"/>
      <c r="ZZ81" s="119"/>
      <c r="AAA81" s="587"/>
      <c r="AAB81"/>
      <c r="AAC81"/>
      <c r="AAD81" s="112"/>
      <c r="AAE81" s="550" t="s">
        <v>243</v>
      </c>
      <c r="AAF81" s="582" t="s">
        <v>172</v>
      </c>
      <c r="AAG81" s="112"/>
      <c r="AAH81" s="112"/>
      <c r="AAI81" s="77"/>
      <c r="AAJ81" s="90"/>
      <c r="AAK81" s="90"/>
      <c r="AAL81" s="65"/>
      <c r="AAM81" s="112"/>
      <c r="AAU81" s="44"/>
    </row>
    <row r="82" spans="1:732" ht="18" customHeight="1">
      <c r="A82" s="557"/>
      <c r="B82" s="23" t="s">
        <v>0</v>
      </c>
      <c r="C82" s="704"/>
      <c r="D82" s="236" t="s">
        <v>0</v>
      </c>
      <c r="E82" s="236"/>
      <c r="F82" s="373">
        <f>NETWORKDAYS(G82,S.BANNER.AdvisoryCommitteeEnd,S.DDL_DEQClosed)</f>
        <v>111</v>
      </c>
      <c r="G82" s="237">
        <f>S.BANNER.AdvisoryCommitteeStart</f>
        <v>41478</v>
      </c>
      <c r="H82" s="237">
        <f>S.BANNER.AdvisoryCommitteeEnd</f>
        <v>41638</v>
      </c>
      <c r="I82" s="626"/>
      <c r="J82" s="628"/>
      <c r="K82" s="634"/>
      <c r="L82" s="634"/>
      <c r="M82" s="634"/>
      <c r="N82" s="634"/>
      <c r="O82" s="634"/>
      <c r="P82" s="634"/>
      <c r="Q82" s="634"/>
      <c r="R82" s="634"/>
      <c r="S82" s="634"/>
      <c r="T82" s="634"/>
      <c r="U82" s="634"/>
      <c r="V82" s="634"/>
      <c r="W82" s="634"/>
      <c r="X82" s="634"/>
      <c r="Y82" s="634"/>
      <c r="Z82" s="634"/>
      <c r="AA82" s="634"/>
      <c r="AB82" s="634"/>
      <c r="AC82" s="634"/>
      <c r="AD82" s="634"/>
      <c r="AE82" s="634"/>
      <c r="AF82" s="634"/>
      <c r="AG82" s="634"/>
      <c r="AH82" s="634"/>
      <c r="AI82" s="634"/>
      <c r="AJ82" s="634"/>
      <c r="AK82" s="634"/>
      <c r="AL82" s="634"/>
      <c r="AM82" s="634"/>
      <c r="AN82" s="634"/>
      <c r="AO82" s="634"/>
      <c r="AP82" s="634"/>
      <c r="AQ82" s="634"/>
      <c r="AR82" s="634"/>
      <c r="AS82" s="634"/>
      <c r="AT82" s="634"/>
      <c r="AU82" s="634"/>
      <c r="AV82" s="634"/>
      <c r="AW82" s="634"/>
      <c r="AX82" s="634"/>
      <c r="AY82" s="634"/>
      <c r="AZ82" s="634"/>
      <c r="BA82" s="634"/>
      <c r="BB82" s="634"/>
      <c r="BC82" s="634"/>
      <c r="BD82" s="634"/>
      <c r="BE82" s="634"/>
      <c r="BF82" s="634"/>
      <c r="BG82" s="634"/>
      <c r="BH82" s="634"/>
      <c r="BI82" s="634"/>
      <c r="BJ82" s="634"/>
      <c r="BK82" s="634"/>
      <c r="BL82" s="634"/>
      <c r="BM82" s="634"/>
      <c r="BN82" s="634"/>
      <c r="BO82" s="634"/>
      <c r="BP82" s="634"/>
      <c r="BQ82" s="634"/>
      <c r="BR82" s="634"/>
      <c r="BS82" s="634"/>
      <c r="BT82" s="634"/>
      <c r="BU82" s="634"/>
      <c r="BV82" s="634"/>
      <c r="BW82" s="634"/>
      <c r="BX82" s="634"/>
      <c r="BY82" s="634"/>
      <c r="BZ82" s="634"/>
      <c r="CA82" s="634"/>
      <c r="CB82" s="634"/>
      <c r="CC82" s="634"/>
      <c r="CD82" s="634"/>
      <c r="CE82" s="634"/>
      <c r="CF82" s="634"/>
      <c r="CG82" s="634"/>
      <c r="CH82" s="634"/>
      <c r="CI82" s="634"/>
      <c r="CJ82" s="634"/>
      <c r="CK82" s="634"/>
      <c r="CL82" s="634"/>
      <c r="CM82" s="634"/>
      <c r="CN82" s="634"/>
      <c r="CO82" s="634"/>
      <c r="CP82" s="634"/>
      <c r="CQ82" s="634"/>
      <c r="CR82" s="634"/>
      <c r="CS82" s="634"/>
      <c r="CT82" s="634"/>
      <c r="CU82" s="634"/>
      <c r="CV82" s="634"/>
      <c r="CW82" s="634"/>
      <c r="CX82" s="634"/>
      <c r="CY82" s="634"/>
      <c r="CZ82" s="634"/>
      <c r="DA82" s="634"/>
      <c r="DB82" s="634"/>
      <c r="DC82" s="634"/>
      <c r="DD82" s="634"/>
      <c r="DE82" s="634"/>
      <c r="DF82" s="634"/>
      <c r="DG82" s="634"/>
      <c r="DH82" s="634"/>
      <c r="DI82" s="634"/>
      <c r="DJ82" s="634"/>
      <c r="DK82" s="634"/>
      <c r="DL82" s="634"/>
      <c r="DM82" s="634"/>
      <c r="DN82" s="634"/>
      <c r="DO82" s="634"/>
      <c r="DP82" s="634"/>
      <c r="DQ82" s="634"/>
      <c r="DR82" s="634"/>
      <c r="DS82" s="634"/>
      <c r="DT82" s="634"/>
      <c r="DU82" s="634"/>
      <c r="DV82" s="634"/>
      <c r="DW82" s="634"/>
      <c r="DX82" s="634"/>
      <c r="DY82" s="634"/>
      <c r="DZ82" s="634"/>
      <c r="EA82" s="634"/>
      <c r="EB82" s="634"/>
      <c r="EC82" s="634"/>
      <c r="ED82" s="634"/>
      <c r="EE82" s="634"/>
      <c r="EF82" s="634"/>
      <c r="EG82" s="634"/>
      <c r="EH82" s="634"/>
      <c r="EI82" s="634"/>
      <c r="EJ82" s="634"/>
      <c r="EK82" s="634"/>
      <c r="EL82" s="634"/>
      <c r="EM82" s="634"/>
      <c r="EN82" s="634"/>
      <c r="EO82" s="634"/>
      <c r="EP82" s="634"/>
      <c r="EQ82" s="634"/>
      <c r="ER82" s="634"/>
      <c r="ES82" s="634"/>
      <c r="ET82" s="634"/>
      <c r="EU82" s="634"/>
      <c r="EV82" s="634"/>
      <c r="EW82" s="634"/>
      <c r="EX82" s="634"/>
      <c r="EY82" s="634"/>
      <c r="EZ82" s="634"/>
      <c r="FA82" s="634"/>
      <c r="FB82" s="634"/>
      <c r="FC82" s="634"/>
      <c r="FD82" s="634"/>
      <c r="FE82" s="634"/>
      <c r="FF82" s="634"/>
      <c r="FG82" s="634"/>
      <c r="FH82" s="634"/>
      <c r="FI82" s="634"/>
      <c r="FJ82" s="634"/>
      <c r="FK82" s="634"/>
      <c r="FL82" s="634"/>
      <c r="FM82" s="634"/>
      <c r="FN82" s="634"/>
      <c r="FO82" s="634"/>
      <c r="FP82" s="634"/>
      <c r="FQ82" s="634"/>
      <c r="FR82" s="634"/>
      <c r="FS82" s="634"/>
      <c r="FT82" s="634"/>
      <c r="FU82" s="634"/>
      <c r="FV82" s="634"/>
      <c r="FW82" s="634"/>
      <c r="FX82" s="634"/>
      <c r="FY82" s="634"/>
      <c r="FZ82" s="634"/>
      <c r="GA82" s="634"/>
      <c r="GB82" s="634"/>
      <c r="GC82" s="634"/>
      <c r="GD82" s="634"/>
      <c r="GE82" s="634"/>
      <c r="GF82" s="634"/>
      <c r="GG82" s="634"/>
      <c r="GH82" s="634"/>
      <c r="GI82" s="634"/>
      <c r="GJ82" s="634"/>
      <c r="GK82" s="634"/>
      <c r="GL82" s="634"/>
      <c r="GM82" s="634"/>
      <c r="GN82" s="634"/>
      <c r="GO82" s="634"/>
      <c r="GP82" s="634"/>
      <c r="GQ82" s="634"/>
      <c r="GR82" s="634"/>
      <c r="GS82" s="634"/>
      <c r="GT82" s="634"/>
      <c r="GU82" s="634"/>
      <c r="GV82" s="634"/>
      <c r="GW82" s="634"/>
      <c r="GX82" s="634"/>
      <c r="GY82" s="634"/>
      <c r="GZ82" s="634"/>
      <c r="HA82" s="634"/>
      <c r="HB82" s="634"/>
      <c r="HC82" s="634"/>
      <c r="HD82" s="634"/>
      <c r="HE82" s="634"/>
      <c r="HF82" s="634"/>
      <c r="HG82" s="634"/>
      <c r="HH82" s="634"/>
      <c r="HI82" s="634"/>
      <c r="HJ82" s="634"/>
      <c r="HK82" s="634"/>
      <c r="HL82" s="634"/>
      <c r="HM82" s="634"/>
      <c r="HN82" s="634"/>
      <c r="HO82" s="634"/>
      <c r="HP82" s="634"/>
      <c r="HQ82" s="634"/>
      <c r="HR82" s="634"/>
      <c r="HS82" s="634"/>
      <c r="HT82" s="634"/>
      <c r="HU82" s="634"/>
      <c r="HV82" s="634"/>
      <c r="HW82" s="634"/>
      <c r="HX82" s="634"/>
      <c r="HY82" s="634"/>
      <c r="HZ82" s="634"/>
      <c r="IA82" s="634"/>
      <c r="IB82" s="634"/>
      <c r="IC82" s="634"/>
      <c r="ID82" s="634"/>
      <c r="IE82" s="634"/>
      <c r="IF82" s="634"/>
      <c r="IG82" s="634"/>
      <c r="IH82" s="634"/>
      <c r="II82" s="634"/>
      <c r="IJ82" s="634"/>
      <c r="IK82" s="634"/>
      <c r="IL82" s="634"/>
      <c r="IM82" s="634"/>
      <c r="IN82" s="634"/>
      <c r="IO82" s="634"/>
      <c r="IP82" s="634"/>
      <c r="IQ82" s="634"/>
      <c r="IR82" s="634"/>
      <c r="IS82" s="634"/>
      <c r="IT82" s="634"/>
      <c r="IU82" s="634"/>
      <c r="IV82" s="634"/>
      <c r="IW82" s="634"/>
      <c r="IX82" s="634"/>
      <c r="IY82" s="634"/>
      <c r="IZ82" s="634"/>
      <c r="JA82" s="634"/>
      <c r="JB82" s="634"/>
      <c r="JC82" s="634"/>
      <c r="JD82" s="634"/>
      <c r="JE82" s="634"/>
      <c r="JF82" s="634"/>
      <c r="JG82" s="634"/>
      <c r="JH82" s="634"/>
      <c r="JI82" s="634"/>
      <c r="JJ82" s="634"/>
      <c r="JK82" s="634"/>
      <c r="JL82" s="634"/>
      <c r="JM82" s="634"/>
      <c r="JN82" s="634"/>
      <c r="JO82" s="634"/>
      <c r="JP82" s="634"/>
      <c r="JQ82" s="634"/>
      <c r="JR82" s="634"/>
      <c r="JS82" s="634"/>
      <c r="JT82" s="634"/>
      <c r="JU82" s="634"/>
      <c r="JV82" s="634"/>
      <c r="JW82" s="634"/>
      <c r="JX82" s="634"/>
      <c r="JY82" s="634"/>
      <c r="JZ82" s="634"/>
      <c r="KA82" s="634"/>
      <c r="KB82" s="634"/>
      <c r="KC82" s="634"/>
      <c r="KD82" s="634"/>
      <c r="KE82" s="634"/>
      <c r="KF82" s="634"/>
      <c r="KG82" s="634"/>
      <c r="KH82" s="634"/>
      <c r="KI82" s="634"/>
      <c r="KJ82" s="634"/>
      <c r="KK82" s="634"/>
      <c r="KL82" s="634"/>
      <c r="KM82" s="634"/>
      <c r="KN82" s="634"/>
      <c r="KO82" s="634"/>
      <c r="KP82" s="634"/>
      <c r="KQ82" s="634"/>
      <c r="KR82" s="634"/>
      <c r="KS82" s="634"/>
      <c r="KT82" s="634"/>
      <c r="KU82" s="634"/>
      <c r="KV82" s="634"/>
      <c r="KW82" s="634"/>
      <c r="KX82" s="634"/>
      <c r="KY82" s="634"/>
      <c r="KZ82" s="634"/>
      <c r="LA82" s="634"/>
      <c r="LB82" s="634"/>
      <c r="LC82" s="634"/>
      <c r="LD82" s="634"/>
      <c r="LE82" s="634"/>
      <c r="LF82" s="634"/>
      <c r="LG82" s="634"/>
      <c r="LH82" s="634"/>
      <c r="LI82" s="634"/>
      <c r="LJ82" s="634"/>
      <c r="LK82" s="634"/>
      <c r="LL82" s="634"/>
      <c r="LM82" s="634"/>
      <c r="LN82" s="634"/>
      <c r="LO82" s="634"/>
      <c r="LP82" s="634"/>
      <c r="LQ82" s="634"/>
      <c r="LR82" s="634"/>
      <c r="LS82" s="634"/>
      <c r="LT82" s="634"/>
      <c r="LU82" s="634"/>
      <c r="LV82" s="634"/>
      <c r="LW82" s="634"/>
      <c r="LX82" s="634"/>
      <c r="LY82" s="634"/>
      <c r="LZ82" s="634"/>
      <c r="MA82" s="634"/>
      <c r="MB82" s="634"/>
      <c r="MC82" s="634"/>
      <c r="MD82" s="634"/>
      <c r="ME82" s="634"/>
      <c r="MF82" s="634"/>
      <c r="MG82" s="634"/>
      <c r="MH82" s="634"/>
      <c r="MI82" s="634"/>
      <c r="MJ82" s="634"/>
      <c r="MK82" s="634"/>
      <c r="ML82" s="634"/>
      <c r="MM82" s="634"/>
      <c r="MN82" s="634"/>
      <c r="MO82" s="634"/>
      <c r="MP82" s="634"/>
      <c r="MQ82" s="634"/>
      <c r="MR82" s="634"/>
      <c r="MS82" s="634"/>
      <c r="MT82" s="634"/>
      <c r="MU82" s="634"/>
      <c r="MV82" s="634"/>
      <c r="MW82" s="634"/>
      <c r="MX82" s="634"/>
      <c r="MY82" s="634"/>
      <c r="MZ82" s="634"/>
      <c r="NA82" s="634"/>
      <c r="NB82" s="634"/>
      <c r="NC82" s="634"/>
      <c r="ND82" s="634"/>
      <c r="NE82" s="634"/>
      <c r="NF82" s="634"/>
      <c r="NG82" s="634"/>
      <c r="NH82" s="634"/>
      <c r="NI82" s="634"/>
      <c r="NJ82" s="634"/>
      <c r="NK82" s="634"/>
      <c r="NL82" s="634"/>
      <c r="NM82" s="634"/>
      <c r="NN82" s="634"/>
      <c r="NO82" s="634"/>
      <c r="NP82" s="634"/>
      <c r="NQ82" s="634"/>
      <c r="NR82" s="634"/>
      <c r="NS82" s="634"/>
      <c r="NT82" s="634"/>
      <c r="NU82" s="634"/>
      <c r="NV82" s="634"/>
      <c r="NW82" s="634"/>
      <c r="NX82" s="634"/>
      <c r="NY82" s="634"/>
      <c r="NZ82" s="634"/>
      <c r="OA82" s="634"/>
      <c r="OB82" s="634"/>
      <c r="OC82" s="634"/>
      <c r="OD82" s="634"/>
      <c r="OE82" s="634"/>
      <c r="OF82" s="634"/>
      <c r="OG82" s="634"/>
      <c r="OH82" s="634"/>
      <c r="OI82" s="634"/>
      <c r="OJ82" s="634"/>
      <c r="OK82" s="634"/>
      <c r="OL82" s="634"/>
      <c r="OM82" s="634"/>
      <c r="ON82" s="634"/>
      <c r="OO82" s="634"/>
      <c r="OP82" s="634"/>
      <c r="OQ82" s="634"/>
      <c r="OR82" s="634"/>
      <c r="OS82" s="634"/>
      <c r="OT82" s="634"/>
      <c r="OU82" s="634"/>
      <c r="OV82" s="634"/>
      <c r="OW82" s="634"/>
      <c r="OX82" s="634"/>
      <c r="OY82" s="634"/>
      <c r="OZ82" s="634"/>
      <c r="PA82" s="634"/>
      <c r="PB82" s="634"/>
      <c r="PC82" s="634"/>
      <c r="PD82" s="634"/>
      <c r="PE82" s="634"/>
      <c r="PF82" s="634"/>
      <c r="PG82" s="634"/>
      <c r="PH82" s="634"/>
      <c r="PI82" s="634"/>
      <c r="PJ82" s="634"/>
      <c r="PK82" s="634"/>
      <c r="PL82" s="634"/>
      <c r="PM82" s="634"/>
      <c r="PN82" s="634"/>
      <c r="PO82" s="634"/>
      <c r="PP82" s="634"/>
      <c r="PQ82" s="634"/>
      <c r="PR82" s="634"/>
      <c r="PS82" s="634"/>
      <c r="PT82" s="634"/>
      <c r="PU82" s="634"/>
      <c r="PV82" s="634"/>
      <c r="PW82" s="634"/>
      <c r="PX82" s="634"/>
      <c r="PY82" s="634"/>
      <c r="PZ82" s="634"/>
      <c r="QA82" s="634"/>
      <c r="QB82" s="634"/>
      <c r="QC82" s="634"/>
      <c r="QD82" s="634"/>
      <c r="QE82" s="634"/>
      <c r="QF82" s="634"/>
      <c r="QG82" s="634"/>
      <c r="QH82" s="634"/>
      <c r="QI82" s="634"/>
      <c r="QJ82" s="634"/>
      <c r="QK82" s="634"/>
      <c r="QL82" s="634"/>
      <c r="QM82" s="634"/>
      <c r="QN82" s="634"/>
      <c r="QO82" s="634"/>
      <c r="QP82" s="634"/>
      <c r="QQ82" s="634"/>
      <c r="QR82" s="634"/>
      <c r="QS82" s="634"/>
      <c r="QT82" s="634"/>
      <c r="QU82" s="634"/>
      <c r="QV82" s="634"/>
      <c r="QW82" s="634"/>
      <c r="QX82" s="634"/>
      <c r="QY82" s="634"/>
      <c r="QZ82" s="634"/>
      <c r="RA82" s="634"/>
      <c r="RB82" s="634"/>
      <c r="RC82" s="634"/>
      <c r="RD82" s="634"/>
      <c r="RE82" s="634"/>
      <c r="RF82" s="634"/>
      <c r="RG82" s="634"/>
      <c r="RH82" s="634"/>
      <c r="RI82" s="634"/>
      <c r="RJ82" s="634"/>
      <c r="RK82" s="634"/>
      <c r="RL82" s="634"/>
      <c r="RM82" s="634"/>
      <c r="RN82" s="634"/>
      <c r="RO82" s="634"/>
      <c r="RP82" s="634"/>
      <c r="RQ82" s="634"/>
      <c r="RR82" s="634"/>
      <c r="RS82" s="634"/>
      <c r="RT82" s="634"/>
      <c r="RU82" s="634"/>
      <c r="RV82" s="634"/>
      <c r="RW82" s="634"/>
      <c r="RX82" s="634"/>
      <c r="RY82" s="634"/>
      <c r="RZ82" s="634"/>
      <c r="SA82" s="634"/>
      <c r="SB82" s="634"/>
      <c r="SC82" s="634"/>
      <c r="SD82" s="634"/>
      <c r="SE82" s="634"/>
      <c r="SF82" s="634"/>
      <c r="SG82" s="634"/>
      <c r="SH82" s="634"/>
      <c r="SI82" s="634"/>
      <c r="SJ82" s="634"/>
      <c r="SK82" s="634"/>
      <c r="SL82" s="634"/>
      <c r="SM82" s="634"/>
      <c r="SN82" s="634"/>
      <c r="SO82" s="634"/>
      <c r="SP82" s="634"/>
      <c r="SQ82" s="634"/>
      <c r="SR82" s="634"/>
      <c r="SS82" s="634"/>
      <c r="ST82" s="634"/>
      <c r="SU82" s="634"/>
      <c r="SV82" s="634"/>
      <c r="SW82" s="634"/>
      <c r="SX82" s="634"/>
      <c r="SY82" s="634"/>
      <c r="SZ82" s="634"/>
      <c r="TA82" s="634"/>
      <c r="TB82" s="634"/>
      <c r="TC82" s="634"/>
      <c r="TD82" s="634"/>
      <c r="TE82" s="634"/>
      <c r="TF82" s="634"/>
      <c r="TG82" s="634"/>
      <c r="TH82" s="634"/>
      <c r="TI82" s="634"/>
      <c r="TJ82" s="634"/>
      <c r="TK82" s="634"/>
      <c r="TL82" s="634"/>
      <c r="TM82" s="634"/>
      <c r="TN82" s="634"/>
      <c r="TO82" s="634"/>
      <c r="TP82" s="634"/>
      <c r="TQ82" s="634"/>
      <c r="TR82" s="634"/>
      <c r="TS82" s="634"/>
      <c r="TT82" s="634"/>
      <c r="TU82" s="634"/>
      <c r="TV82" s="634"/>
      <c r="TW82" s="634"/>
      <c r="TX82" s="634"/>
      <c r="TY82" s="634"/>
      <c r="TZ82" s="634"/>
      <c r="UA82" s="634"/>
      <c r="UB82" s="634"/>
      <c r="UC82" s="634"/>
      <c r="UD82" s="634"/>
      <c r="UE82" s="634"/>
      <c r="UF82" s="634"/>
      <c r="UG82" s="634"/>
      <c r="UH82" s="634"/>
      <c r="UI82" s="634"/>
      <c r="UJ82" s="634"/>
      <c r="UK82" s="634"/>
      <c r="UL82" s="634"/>
      <c r="UM82" s="634"/>
      <c r="UN82" s="634"/>
      <c r="UO82" s="634"/>
      <c r="UP82" s="634"/>
      <c r="UQ82" s="634"/>
      <c r="UR82" s="634"/>
      <c r="US82" s="634"/>
      <c r="UT82" s="634"/>
      <c r="UU82" s="634"/>
      <c r="UV82" s="634"/>
      <c r="UW82" s="634"/>
      <c r="UX82" s="634"/>
      <c r="UY82" s="634"/>
      <c r="UZ82" s="634"/>
      <c r="VA82" s="634"/>
      <c r="VB82" s="634"/>
      <c r="VC82" s="634"/>
      <c r="VD82" s="634"/>
      <c r="VE82" s="634"/>
      <c r="VF82" s="634"/>
      <c r="VG82" s="634"/>
      <c r="VH82" s="634"/>
      <c r="VI82" s="634"/>
      <c r="VJ82" s="634"/>
      <c r="VK82" s="634"/>
      <c r="VL82" s="634"/>
      <c r="VM82" s="634"/>
      <c r="VN82" s="634"/>
      <c r="VO82" s="634"/>
      <c r="VP82" s="634"/>
      <c r="VQ82" s="634"/>
      <c r="VR82" s="634"/>
      <c r="VS82" s="634"/>
      <c r="VT82" s="634"/>
      <c r="VU82" s="634"/>
      <c r="VV82" s="634"/>
      <c r="VW82" s="634"/>
      <c r="VX82" s="634"/>
      <c r="VY82" s="634"/>
      <c r="VZ82" s="634"/>
      <c r="WA82" s="634"/>
      <c r="WB82" s="634"/>
      <c r="WC82" s="634"/>
      <c r="WD82" s="634"/>
      <c r="WE82" s="634"/>
      <c r="WF82" s="634"/>
      <c r="WG82" s="634"/>
      <c r="WH82" s="634"/>
      <c r="WI82" s="634"/>
      <c r="WJ82" s="634"/>
      <c r="WK82" s="634"/>
      <c r="WL82" s="634"/>
      <c r="WM82" s="634"/>
      <c r="WN82" s="634"/>
      <c r="WO82" s="634"/>
      <c r="WP82" s="634"/>
      <c r="WQ82" s="634"/>
      <c r="WR82" s="634"/>
      <c r="WS82" s="634"/>
      <c r="WT82" s="634"/>
      <c r="WU82" s="634"/>
      <c r="WV82" s="634"/>
      <c r="WW82" s="634"/>
      <c r="WX82" s="634"/>
      <c r="WY82" s="634"/>
      <c r="WZ82" s="634"/>
      <c r="XA82" s="634"/>
      <c r="XB82" s="634"/>
      <c r="XC82" s="634"/>
      <c r="XD82" s="634"/>
      <c r="XE82" s="634"/>
      <c r="XF82" s="634"/>
      <c r="XG82" s="634"/>
      <c r="XH82" s="634"/>
      <c r="XI82" s="634"/>
      <c r="XJ82" s="634"/>
      <c r="XK82" s="634"/>
      <c r="XL82" s="634"/>
      <c r="XM82" s="634"/>
      <c r="XN82" s="634"/>
      <c r="XO82" s="634"/>
      <c r="XP82" s="634"/>
      <c r="XQ82" s="634"/>
      <c r="XR82" s="634"/>
      <c r="XS82" s="634"/>
      <c r="XT82" s="634"/>
      <c r="XU82" s="634"/>
      <c r="XV82" s="634"/>
      <c r="XW82" s="634"/>
      <c r="XX82" s="634"/>
      <c r="XY82" s="634"/>
      <c r="XZ82" s="634"/>
      <c r="YA82" s="634"/>
      <c r="YB82" s="634"/>
      <c r="YC82" s="634"/>
      <c r="YD82" s="634"/>
      <c r="YE82" s="634"/>
      <c r="YF82" s="634"/>
      <c r="YG82" s="634"/>
      <c r="YH82" s="634"/>
      <c r="YI82" s="634"/>
      <c r="YJ82" s="634"/>
      <c r="YK82" s="634"/>
      <c r="YL82" s="634"/>
      <c r="YM82" s="634"/>
      <c r="YN82" s="634"/>
      <c r="YO82" s="634"/>
      <c r="YP82" s="634"/>
      <c r="YQ82" s="634"/>
      <c r="YR82" s="634"/>
      <c r="YS82" s="634"/>
      <c r="YT82" s="634"/>
      <c r="YU82" s="634"/>
      <c r="YV82" s="634"/>
      <c r="YW82" s="634"/>
      <c r="YX82" s="634"/>
      <c r="YY82" s="634"/>
      <c r="YZ82" s="634"/>
      <c r="ZA82" s="634"/>
      <c r="ZB82" s="634"/>
      <c r="ZC82" s="634"/>
      <c r="ZD82" s="634"/>
      <c r="ZE82" s="634"/>
      <c r="ZF82" s="634"/>
      <c r="ZG82" s="634"/>
      <c r="ZH82" s="634"/>
      <c r="ZI82" s="634"/>
      <c r="ZJ82" s="634"/>
      <c r="ZK82" s="634"/>
      <c r="ZL82" s="634"/>
      <c r="ZM82" s="634"/>
      <c r="ZN82" s="634"/>
      <c r="ZO82" s="634"/>
      <c r="ZP82" s="634"/>
      <c r="ZQ82" s="634"/>
      <c r="ZR82" s="634"/>
      <c r="ZS82" s="634"/>
      <c r="ZT82" s="634"/>
      <c r="ZU82" s="634"/>
      <c r="ZV82" s="634"/>
      <c r="ZW82" s="634"/>
      <c r="ZX82" s="634"/>
      <c r="ZY82" s="637"/>
      <c r="ZZ82" s="119"/>
      <c r="AAA82" s="587"/>
      <c r="AAD82" s="112"/>
      <c r="AAE82" s="550" t="s">
        <v>243</v>
      </c>
      <c r="AAF82" s="582" t="s">
        <v>172</v>
      </c>
      <c r="AAG82" s="78">
        <f>S.BANNER.AdvisoryCommitteeStart</f>
        <v>41478</v>
      </c>
      <c r="AAH82" s="78">
        <f>S.BANNER.AdvisoryCommitteeEnd</f>
        <v>41638</v>
      </c>
      <c r="AAI82" s="63"/>
      <c r="AAJ82" s="79"/>
      <c r="AAK82" s="79"/>
      <c r="AAL82" s="65"/>
      <c r="AAM82" s="112"/>
      <c r="AAN82"/>
      <c r="AAT82" s="23"/>
      <c r="AAU82" s="44"/>
    </row>
    <row r="83" spans="1:732" ht="6" customHeight="1">
      <c r="A83" s="557"/>
      <c r="B83" s="206"/>
      <c r="C83" s="688"/>
      <c r="D83" s="180"/>
      <c r="E83" s="181"/>
      <c r="F83" s="181"/>
      <c r="G83" s="180"/>
      <c r="H83" s="180"/>
      <c r="I83" s="587"/>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7"/>
      <c r="AAD83" s="112"/>
      <c r="AAE83" s="551" t="s">
        <v>20</v>
      </c>
      <c r="AAF83" s="582" t="s">
        <v>172</v>
      </c>
      <c r="AAG83" s="63"/>
      <c r="AAH83" s="63"/>
      <c r="AAI83" s="63"/>
      <c r="AAJ83" s="56"/>
      <c r="AAK83" s="56"/>
      <c r="AAL83" s="65"/>
      <c r="AAM83" s="112"/>
      <c r="AAN83"/>
      <c r="AAT83" s="23"/>
      <c r="AAU83" s="44"/>
    </row>
    <row r="84" spans="1:732" s="23" customFormat="1" ht="15.75" hidden="1" customHeight="1" outlineLevel="1">
      <c r="A84" s="557"/>
      <c r="B84" s="375" t="s">
        <v>348</v>
      </c>
      <c r="C84" s="231" t="s">
        <v>70</v>
      </c>
      <c r="D84" s="386"/>
      <c r="E84" s="681"/>
      <c r="F84" s="682"/>
      <c r="G84" s="681"/>
      <c r="H84" s="681"/>
      <c r="I84" s="587"/>
      <c r="J84" s="47"/>
      <c r="K84" s="590"/>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6"/>
      <c r="ZZ84" s="621"/>
      <c r="AAA84" s="587"/>
      <c r="AAD84" s="112"/>
      <c r="AAE84" s="551">
        <f t="shared" ref="AAE84:AAE116" si="741">IF(S.InvolveCommittee=TRUE,1,0)</f>
        <v>1</v>
      </c>
      <c r="AAF84" s="582" t="s">
        <v>172</v>
      </c>
      <c r="AAG84" s="39"/>
      <c r="AAH84" s="39" t="s">
        <v>0</v>
      </c>
      <c r="AAI84" s="77"/>
      <c r="AAJ84" s="77"/>
      <c r="AAK84" s="77"/>
      <c r="AAL84" s="65"/>
      <c r="AAM84" s="112"/>
      <c r="AAU84" s="44"/>
    </row>
    <row r="85" spans="1:732" ht="15.75" hidden="1" customHeight="1" outlineLevel="1">
      <c r="A85" s="557"/>
      <c r="B85" s="375" t="s">
        <v>314</v>
      </c>
      <c r="C85" s="672" t="s">
        <v>70</v>
      </c>
      <c r="D85" s="308" t="s">
        <v>358</v>
      </c>
      <c r="E85" s="652">
        <f t="shared" ref="E85:E97" si="742">NETWORKDAYS(G85,H85,S.DDL_DEQClosed)</f>
        <v>1</v>
      </c>
      <c r="F85" s="653">
        <f t="shared" ref="F85:F97" ca="1" si="743">NETWORKDAYS(TODAY(),H85)</f>
        <v>-5</v>
      </c>
      <c r="G85" s="654">
        <f t="shared" ref="G85:H126" si="744">AAG85</f>
        <v>41478</v>
      </c>
      <c r="H85" s="525">
        <f t="shared" si="744"/>
        <v>41478</v>
      </c>
      <c r="I85" s="587"/>
      <c r="J85" s="47"/>
      <c r="K85" s="590"/>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7"/>
      <c r="AAD85" s="112"/>
      <c r="AAE85" s="551">
        <f t="shared" si="741"/>
        <v>1</v>
      </c>
      <c r="AAF85" s="112" t="s">
        <v>0</v>
      </c>
      <c r="AAG85" s="78">
        <f>AAG82</f>
        <v>41478</v>
      </c>
      <c r="AAH85" s="78">
        <f>G85</f>
        <v>41478</v>
      </c>
      <c r="AAI85" s="77"/>
      <c r="AAJ85" s="77"/>
      <c r="AAK85" s="77"/>
      <c r="AAL85" s="65"/>
      <c r="AAM85" s="112"/>
      <c r="AAN85"/>
      <c r="AAT85" s="23"/>
      <c r="AAU85" s="44"/>
    </row>
    <row r="86" spans="1:732" s="23" customFormat="1" ht="15.75" hidden="1" customHeight="1" outlineLevel="1">
      <c r="A86" s="557"/>
      <c r="B86" s="387" t="s">
        <v>357</v>
      </c>
      <c r="C86" s="168"/>
      <c r="D86" s="384"/>
      <c r="E86" s="368"/>
      <c r="F86" s="491"/>
      <c r="G86" s="383"/>
      <c r="H86" s="369"/>
      <c r="I86" s="587"/>
      <c r="J86" s="47"/>
      <c r="K86" s="590"/>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7"/>
      <c r="AAD86" s="112"/>
      <c r="AAE86" s="551">
        <v>1</v>
      </c>
      <c r="AAF86" s="112"/>
      <c r="AAG86" s="78"/>
      <c r="AAH86" s="78"/>
      <c r="AAI86" s="63"/>
      <c r="AAJ86" s="56"/>
      <c r="AAK86" s="56"/>
      <c r="AAL86" s="65"/>
      <c r="AAM86" s="112"/>
      <c r="AAU86" s="44"/>
    </row>
    <row r="87" spans="1:732" ht="15.75" hidden="1" customHeight="1" outlineLevel="1">
      <c r="A87" s="557"/>
      <c r="B87" s="348" t="s">
        <v>364</v>
      </c>
      <c r="C87" s="674" t="s">
        <v>122</v>
      </c>
      <c r="D87" s="385" t="s">
        <v>358</v>
      </c>
      <c r="E87" s="368"/>
      <c r="F87" s="491">
        <f ca="1">NETWORKDAYS(TODAY(),H87)</f>
        <v>-5</v>
      </c>
      <c r="G87" s="383">
        <f>AAG87</f>
        <v>41478</v>
      </c>
      <c r="H87" s="369">
        <f>AAH87</f>
        <v>41478</v>
      </c>
      <c r="I87" s="587"/>
      <c r="J87" s="47"/>
      <c r="K87" s="590"/>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7"/>
      <c r="AAD87" s="112"/>
      <c r="AAE87" s="551">
        <f t="shared" si="741"/>
        <v>1</v>
      </c>
      <c r="AAF87" s="112" t="s">
        <v>0</v>
      </c>
      <c r="AAG87" s="78">
        <f>H103</f>
        <v>41478</v>
      </c>
      <c r="AAH87" s="78">
        <f>G87</f>
        <v>41478</v>
      </c>
      <c r="AAI87" s="63"/>
      <c r="AAJ87" s="56"/>
      <c r="AAK87" s="56"/>
      <c r="AAL87" s="39"/>
      <c r="AAM87" s="112"/>
      <c r="AAN87"/>
      <c r="AAT87" s="23"/>
      <c r="AAU87" s="44"/>
    </row>
    <row r="88" spans="1:732" ht="15.75" hidden="1" customHeight="1" outlineLevel="1">
      <c r="A88" s="557"/>
      <c r="B88" s="348" t="s">
        <v>365</v>
      </c>
      <c r="C88" s="706" t="s">
        <v>174</v>
      </c>
      <c r="D88" s="385" t="s">
        <v>358</v>
      </c>
      <c r="E88" s="368">
        <f t="shared" ref="E88" si="745">NETWORKDAYS(G88,H88,S.DDL_DEQClosed)</f>
        <v>1</v>
      </c>
      <c r="F88" s="491">
        <f ca="1">NETWORKDAYS(TODAY(),H88)</f>
        <v>-5</v>
      </c>
      <c r="G88" s="383">
        <f t="shared" ref="G88:H88" si="746">AAG88</f>
        <v>41478</v>
      </c>
      <c r="H88" s="369">
        <f t="shared" si="746"/>
        <v>41478</v>
      </c>
      <c r="I88" s="587"/>
      <c r="J88" s="47"/>
      <c r="K88" s="590"/>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7"/>
      <c r="AAD88" s="112"/>
      <c r="AAE88" s="551">
        <f t="shared" si="741"/>
        <v>1</v>
      </c>
      <c r="AAF88" s="112" t="s">
        <v>0</v>
      </c>
      <c r="AAG88" s="78">
        <f>H87</f>
        <v>41478</v>
      </c>
      <c r="AAH88" s="78">
        <f>G88</f>
        <v>41478</v>
      </c>
      <c r="AAI88" s="63"/>
      <c r="AAJ88" s="56"/>
      <c r="AAK88" s="56"/>
      <c r="AAL88" s="39"/>
      <c r="AAM88" s="112"/>
      <c r="AAN88"/>
      <c r="AAT88" s="23"/>
      <c r="AAU88" s="44"/>
    </row>
    <row r="89" spans="1:732" s="23" customFormat="1" ht="15" hidden="1" customHeight="1" outlineLevel="1">
      <c r="A89" s="557"/>
      <c r="B89" s="731" t="s">
        <v>356</v>
      </c>
      <c r="C89" s="706" t="s">
        <v>174</v>
      </c>
      <c r="D89" s="308" t="s">
        <v>358</v>
      </c>
      <c r="E89" s="368">
        <f t="shared" ref="E89" si="747">NETWORKDAYS(G89,H89,S.DDL_DEQClosed)</f>
        <v>1</v>
      </c>
      <c r="F89" s="491">
        <f t="shared" ref="F89" ca="1" si="748">NETWORKDAYS(TODAY(),H89)</f>
        <v>-5</v>
      </c>
      <c r="G89" s="383">
        <f t="shared" ref="G89" si="749">AAG89</f>
        <v>41478</v>
      </c>
      <c r="H89" s="369">
        <f t="shared" ref="H89" si="750">AAH89</f>
        <v>41478</v>
      </c>
      <c r="I89" s="587"/>
      <c r="J89" s="47"/>
      <c r="K89" s="590"/>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7"/>
      <c r="AAB89"/>
      <c r="AAC89"/>
      <c r="AAD89" s="112"/>
      <c r="AAE89" s="551">
        <f t="shared" si="741"/>
        <v>1</v>
      </c>
      <c r="AAF89" s="112" t="s">
        <v>0</v>
      </c>
      <c r="AAG89" s="78">
        <f>H104</f>
        <v>41478</v>
      </c>
      <c r="AAH89" s="78">
        <f>G89</f>
        <v>41478</v>
      </c>
      <c r="AAI89" s="63"/>
      <c r="AAJ89" s="56"/>
      <c r="AAK89" s="56"/>
      <c r="AAL89" s="39"/>
      <c r="AAM89" s="112"/>
      <c r="AAU89" s="44"/>
      <c r="AAV89"/>
      <c r="AAW89"/>
      <c r="AAX89"/>
      <c r="AAY89"/>
      <c r="AAZ89"/>
      <c r="ABA89"/>
      <c r="ABB89"/>
      <c r="ABC89"/>
      <c r="ABD89"/>
    </row>
    <row r="90" spans="1:732" ht="15.75" hidden="1" customHeight="1" outlineLevel="1">
      <c r="A90" s="557"/>
      <c r="B90" s="374" t="s">
        <v>349</v>
      </c>
      <c r="C90"/>
      <c r="D90" s="308" t="s">
        <v>358</v>
      </c>
      <c r="E90" s="368">
        <f t="shared" si="742"/>
        <v>1</v>
      </c>
      <c r="F90" s="491">
        <f t="shared" ca="1" si="743"/>
        <v>-5</v>
      </c>
      <c r="G90" s="383">
        <f t="shared" si="744"/>
        <v>41478</v>
      </c>
      <c r="H90" s="369">
        <f t="shared" si="744"/>
        <v>41478</v>
      </c>
      <c r="I90" s="587"/>
      <c r="J90" s="47"/>
      <c r="K90" s="590"/>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7"/>
      <c r="AAD90" s="112"/>
      <c r="AAE90" s="551">
        <f t="shared" si="741"/>
        <v>1</v>
      </c>
      <c r="AAF90" s="112" t="s">
        <v>0</v>
      </c>
      <c r="AAG90" s="78">
        <f>H85</f>
        <v>41478</v>
      </c>
      <c r="AAH90" s="78">
        <f t="shared" ref="AAH90:AAH97" si="751">G90</f>
        <v>41478</v>
      </c>
      <c r="AAI90" s="77"/>
      <c r="AAJ90" s="77"/>
      <c r="AAK90" s="77"/>
      <c r="AAL90" s="65"/>
      <c r="AAM90" s="112"/>
      <c r="AAN90"/>
      <c r="AAT90" s="23"/>
      <c r="AAU90" s="44"/>
    </row>
    <row r="91" spans="1:732" ht="15.75" hidden="1" customHeight="1" outlineLevel="1">
      <c r="A91" s="557"/>
      <c r="B91" s="375" t="s">
        <v>67</v>
      </c>
      <c r="C91" s="168"/>
      <c r="D91" s="308" t="s">
        <v>157</v>
      </c>
      <c r="E91" s="368">
        <f t="shared" si="742"/>
        <v>1</v>
      </c>
      <c r="F91" s="491">
        <f t="shared" ca="1" si="743"/>
        <v>-5</v>
      </c>
      <c r="G91" s="383">
        <f t="shared" si="744"/>
        <v>41478</v>
      </c>
      <c r="H91" s="369">
        <f t="shared" si="744"/>
        <v>41478</v>
      </c>
      <c r="I91" s="587"/>
      <c r="J91" s="47"/>
      <c r="K91" s="590"/>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7"/>
      <c r="AAD91" s="112"/>
      <c r="AAE91" s="551">
        <f t="shared" si="741"/>
        <v>1</v>
      </c>
      <c r="AAF91" s="112" t="s">
        <v>0</v>
      </c>
      <c r="AAG91" s="78">
        <f t="shared" ref="AAG91:AAG97" si="752">H90</f>
        <v>41478</v>
      </c>
      <c r="AAH91" s="78">
        <f t="shared" si="751"/>
        <v>41478</v>
      </c>
      <c r="AAI91" s="77"/>
      <c r="AAJ91" s="77"/>
      <c r="AAK91" s="77"/>
      <c r="AAL91" s="65"/>
      <c r="AAM91" s="112"/>
      <c r="AAN91"/>
      <c r="AAT91" s="23"/>
      <c r="AAU91" s="44"/>
    </row>
    <row r="92" spans="1:732" ht="15.75" hidden="1" customHeight="1" outlineLevel="1">
      <c r="A92" s="557"/>
      <c r="B92" s="680" t="s">
        <v>350</v>
      </c>
      <c r="C92" s="239"/>
      <c r="D92" s="308" t="s">
        <v>358</v>
      </c>
      <c r="E92" s="368">
        <f>NETWORKDAYS(G92,H92,S.DDL_DEQClosed)</f>
        <v>1</v>
      </c>
      <c r="F92" s="491">
        <f ca="1">NETWORKDAYS(TODAY(),H92)</f>
        <v>-5</v>
      </c>
      <c r="G92" s="383">
        <f>AAG92</f>
        <v>41478</v>
      </c>
      <c r="H92" s="369">
        <f>AAH92</f>
        <v>41478</v>
      </c>
      <c r="I92" s="587"/>
      <c r="J92" s="47"/>
      <c r="K92" s="590"/>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7"/>
      <c r="AAD92" s="112"/>
      <c r="AAE92" s="551">
        <f t="shared" si="741"/>
        <v>1</v>
      </c>
      <c r="AAF92" s="112" t="s">
        <v>0</v>
      </c>
      <c r="AAG92" s="78">
        <f>H91</f>
        <v>41478</v>
      </c>
      <c r="AAH92" s="78">
        <f>G92</f>
        <v>41478</v>
      </c>
      <c r="AAI92" s="77"/>
      <c r="AAJ92" s="77"/>
      <c r="AAK92" s="77"/>
      <c r="AAL92" s="65"/>
      <c r="AAM92" s="112"/>
      <c r="AAN92"/>
      <c r="AAT92" s="23"/>
      <c r="AAU92" s="44"/>
    </row>
    <row r="93" spans="1:732" ht="15.75" hidden="1" customHeight="1" outlineLevel="1">
      <c r="A93" s="557"/>
      <c r="B93" s="376" t="s">
        <v>61</v>
      </c>
      <c r="C93" s="166"/>
      <c r="D93" s="386"/>
      <c r="E93" s="122"/>
      <c r="F93" s="504"/>
      <c r="G93" s="122"/>
      <c r="H93" s="122"/>
      <c r="I93" s="587"/>
      <c r="J93" s="47"/>
      <c r="K93" s="590"/>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6"/>
      <c r="ZZ93" s="621"/>
      <c r="AAA93" s="587"/>
      <c r="AAD93" s="112"/>
      <c r="AAE93" s="551">
        <f t="shared" si="741"/>
        <v>1</v>
      </c>
      <c r="AAF93" s="582" t="s">
        <v>172</v>
      </c>
      <c r="AAG93" s="39"/>
      <c r="AAH93" s="39" t="s">
        <v>0</v>
      </c>
      <c r="AAI93" s="77"/>
      <c r="AAJ93" s="77"/>
      <c r="AAK93" s="77"/>
      <c r="AAL93" s="65"/>
      <c r="AAM93" s="112"/>
      <c r="AAN93"/>
      <c r="AAT93" s="23"/>
      <c r="AAU93" s="44"/>
    </row>
    <row r="94" spans="1:732" ht="15.75" hidden="1" customHeight="1" outlineLevel="1">
      <c r="A94" s="557"/>
      <c r="B94" s="377" t="s">
        <v>351</v>
      </c>
      <c r="C94" s="672" t="s">
        <v>70</v>
      </c>
      <c r="D94" s="308" t="s">
        <v>377</v>
      </c>
      <c r="E94" s="368">
        <f t="shared" si="742"/>
        <v>1</v>
      </c>
      <c r="F94" s="491">
        <f t="shared" ca="1" si="743"/>
        <v>-5</v>
      </c>
      <c r="G94" s="383">
        <f t="shared" si="744"/>
        <v>41478</v>
      </c>
      <c r="H94" s="369">
        <f t="shared" si="744"/>
        <v>41478</v>
      </c>
      <c r="I94" s="587"/>
      <c r="J94" s="47"/>
      <c r="K94" s="590"/>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7"/>
      <c r="AAD94" s="112"/>
      <c r="AAE94" s="551">
        <f t="shared" si="741"/>
        <v>1</v>
      </c>
      <c r="AAF94" s="112" t="s">
        <v>0</v>
      </c>
      <c r="AAG94" s="78">
        <f>H92</f>
        <v>41478</v>
      </c>
      <c r="AAH94" s="78">
        <f>G94</f>
        <v>41478</v>
      </c>
      <c r="AAI94" s="77"/>
      <c r="AAJ94" s="77"/>
      <c r="AAK94" s="77"/>
      <c r="AAL94" s="65"/>
      <c r="AAM94" s="112"/>
      <c r="AAN94"/>
      <c r="AAT94" s="23"/>
      <c r="AAU94" s="44"/>
    </row>
    <row r="95" spans="1:732" ht="15.75" hidden="1" customHeight="1" outlineLevel="1">
      <c r="A95" s="557"/>
      <c r="B95" s="377" t="s">
        <v>352</v>
      </c>
      <c r="C95" s="239"/>
      <c r="D95" s="308" t="s">
        <v>379</v>
      </c>
      <c r="E95" s="368">
        <f t="shared" si="742"/>
        <v>1</v>
      </c>
      <c r="F95" s="491">
        <f t="shared" ca="1" si="743"/>
        <v>-5</v>
      </c>
      <c r="G95" s="383">
        <f t="shared" si="744"/>
        <v>41478</v>
      </c>
      <c r="H95" s="369">
        <f t="shared" si="744"/>
        <v>41478</v>
      </c>
      <c r="I95" s="587"/>
      <c r="J95" s="47"/>
      <c r="K95" s="590"/>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7"/>
      <c r="AAD95" s="112"/>
      <c r="AAE95" s="551">
        <f t="shared" si="741"/>
        <v>1</v>
      </c>
      <c r="AAF95" s="112" t="s">
        <v>0</v>
      </c>
      <c r="AAG95" s="78">
        <f t="shared" si="752"/>
        <v>41478</v>
      </c>
      <c r="AAH95" s="78">
        <f t="shared" si="751"/>
        <v>41478</v>
      </c>
      <c r="AAI95" s="77"/>
      <c r="AAJ95" s="77"/>
      <c r="AAK95" s="77"/>
      <c r="AAL95" s="65"/>
      <c r="AAM95" s="112"/>
      <c r="AAN95"/>
      <c r="AAT95" s="23"/>
      <c r="AAU95" s="44"/>
    </row>
    <row r="96" spans="1:732" ht="15.75" hidden="1" customHeight="1" outlineLevel="1">
      <c r="A96" s="557"/>
      <c r="B96" s="377" t="s">
        <v>353</v>
      </c>
      <c r="C96" s="239"/>
      <c r="D96" s="308" t="s">
        <v>377</v>
      </c>
      <c r="E96" s="368">
        <f t="shared" si="742"/>
        <v>1</v>
      </c>
      <c r="F96" s="491">
        <f t="shared" ca="1" si="743"/>
        <v>-5</v>
      </c>
      <c r="G96" s="383">
        <f t="shared" si="744"/>
        <v>41478</v>
      </c>
      <c r="H96" s="369">
        <f t="shared" si="744"/>
        <v>41478</v>
      </c>
      <c r="I96" s="587"/>
      <c r="J96" s="47"/>
      <c r="K96" s="590"/>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7"/>
      <c r="AAD96" s="112"/>
      <c r="AAE96" s="551">
        <f t="shared" si="741"/>
        <v>1</v>
      </c>
      <c r="AAF96" s="112" t="s">
        <v>0</v>
      </c>
      <c r="AAG96" s="78">
        <f t="shared" si="752"/>
        <v>41478</v>
      </c>
      <c r="AAH96" s="78">
        <f t="shared" si="751"/>
        <v>41478</v>
      </c>
      <c r="AAI96" s="77"/>
      <c r="AAJ96" s="77"/>
      <c r="AAK96" s="77"/>
      <c r="AAL96" s="65"/>
      <c r="AAM96" s="112"/>
      <c r="AAN96"/>
      <c r="AAT96" s="23"/>
      <c r="AAU96" s="44"/>
    </row>
    <row r="97" spans="1:732" ht="15.75" hidden="1" customHeight="1" outlineLevel="1">
      <c r="A97" s="557"/>
      <c r="B97" s="378" t="s">
        <v>195</v>
      </c>
      <c r="C97" s="239"/>
      <c r="D97" s="308" t="s">
        <v>358</v>
      </c>
      <c r="E97" s="368">
        <f t="shared" si="742"/>
        <v>1</v>
      </c>
      <c r="F97" s="491">
        <f t="shared" ca="1" si="743"/>
        <v>-5</v>
      </c>
      <c r="G97" s="383">
        <f t="shared" si="744"/>
        <v>41478</v>
      </c>
      <c r="H97" s="369">
        <f t="shared" si="744"/>
        <v>41478</v>
      </c>
      <c r="I97" s="587"/>
      <c r="J97" s="47"/>
      <c r="K97" s="590"/>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7"/>
      <c r="AAD97" s="112"/>
      <c r="AAE97" s="551">
        <f t="shared" si="741"/>
        <v>1</v>
      </c>
      <c r="AAF97" s="112" t="s">
        <v>0</v>
      </c>
      <c r="AAG97" s="78">
        <f t="shared" si="752"/>
        <v>41478</v>
      </c>
      <c r="AAH97" s="78">
        <f t="shared" si="751"/>
        <v>41478</v>
      </c>
      <c r="AAI97" s="77"/>
      <c r="AAJ97" s="77"/>
      <c r="AAK97" s="77"/>
      <c r="AAL97" s="65"/>
      <c r="AAM97" s="112"/>
      <c r="AAN97"/>
      <c r="AAT97" s="23"/>
      <c r="AAU97" s="44"/>
    </row>
    <row r="98" spans="1:732" ht="81.75" hidden="1" customHeight="1" outlineLevel="1">
      <c r="A98" s="557"/>
      <c r="B98" s="774" t="s">
        <v>342</v>
      </c>
      <c r="C98" s="774"/>
      <c r="D98" s="774"/>
      <c r="E98" s="774"/>
      <c r="F98" s="774"/>
      <c r="G98" s="774"/>
      <c r="H98" s="774"/>
      <c r="I98" s="587"/>
      <c r="J98" s="50"/>
      <c r="K98" s="591"/>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7"/>
      <c r="ZZ98" s="36"/>
      <c r="AAA98" s="587"/>
      <c r="AAD98" s="112"/>
      <c r="AAE98" s="551">
        <f t="shared" si="741"/>
        <v>1</v>
      </c>
      <c r="AAF98" s="582" t="s">
        <v>172</v>
      </c>
      <c r="AAG98" s="76"/>
      <c r="AAH98" s="76"/>
      <c r="AAI98" s="76"/>
      <c r="AAJ98" s="57"/>
      <c r="AAK98" s="57"/>
      <c r="AAL98" s="40"/>
      <c r="AAM98" s="112"/>
      <c r="AAN98"/>
      <c r="AAT98" s="23"/>
      <c r="AAU98" s="44"/>
    </row>
    <row r="99" spans="1:732" ht="15.75" hidden="1" customHeight="1" outlineLevel="1">
      <c r="A99" s="557"/>
      <c r="B99" s="240" t="s">
        <v>21</v>
      </c>
      <c r="C99" s="705"/>
      <c r="D99" s="241"/>
      <c r="E99" s="242"/>
      <c r="F99" s="242"/>
      <c r="G99" s="241"/>
      <c r="H99" s="241"/>
      <c r="I99" s="587"/>
      <c r="J99" s="47"/>
      <c r="K99" s="590"/>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6"/>
      <c r="ZZ99" s="621"/>
      <c r="AAA99" s="587"/>
      <c r="AAD99" s="112"/>
      <c r="AAE99" s="551">
        <f t="shared" si="741"/>
        <v>1</v>
      </c>
      <c r="AAF99" s="582" t="s">
        <v>172</v>
      </c>
      <c r="AAG99" s="63"/>
      <c r="AAH99" s="63"/>
      <c r="AAI99" s="63"/>
      <c r="AAJ99" s="56"/>
      <c r="AAK99" s="56"/>
      <c r="AAL99" s="39"/>
      <c r="AAM99" s="112"/>
      <c r="AAN99"/>
      <c r="AAT99" s="23"/>
      <c r="AAU99" s="44"/>
    </row>
    <row r="100" spans="1:732" ht="15.75" hidden="1" customHeight="1" outlineLevel="1">
      <c r="A100" s="557"/>
      <c r="B100" s="387" t="s">
        <v>336</v>
      </c>
      <c r="C100" s="168"/>
      <c r="D100" s="308" t="s">
        <v>374</v>
      </c>
      <c r="E100" s="368">
        <f t="shared" ref="E100:E108" si="753">NETWORKDAYS(G100,H100,S.DDL_DEQClosed)</f>
        <v>1</v>
      </c>
      <c r="F100" s="491">
        <f t="shared" ref="F100:F108" ca="1" si="754">NETWORKDAYS(TODAY(),H100)</f>
        <v>-5</v>
      </c>
      <c r="G100" s="383">
        <f t="shared" si="744"/>
        <v>41478</v>
      </c>
      <c r="H100" s="369">
        <f t="shared" si="744"/>
        <v>41478</v>
      </c>
      <c r="I100" s="587"/>
      <c r="J100" s="47"/>
      <c r="K100" s="590"/>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7"/>
      <c r="AAD100" s="112"/>
      <c r="AAE100" s="551">
        <f t="shared" si="741"/>
        <v>1</v>
      </c>
      <c r="AAF100" s="112" t="s">
        <v>0</v>
      </c>
      <c r="AAG100" s="78">
        <f>H97</f>
        <v>41478</v>
      </c>
      <c r="AAH100" s="78">
        <f>G100</f>
        <v>41478</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7"/>
      <c r="B101" s="387" t="s">
        <v>315</v>
      </c>
      <c r="C101" s="168"/>
      <c r="D101" s="384" t="s">
        <v>375</v>
      </c>
      <c r="E101" s="368">
        <f t="shared" si="753"/>
        <v>1</v>
      </c>
      <c r="F101" s="491">
        <f t="shared" ca="1" si="754"/>
        <v>-5</v>
      </c>
      <c r="G101" s="383">
        <f t="shared" si="744"/>
        <v>41478</v>
      </c>
      <c r="H101" s="369">
        <f t="shared" si="744"/>
        <v>41478</v>
      </c>
      <c r="I101" s="587"/>
      <c r="J101" s="47"/>
      <c r="K101" s="590"/>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7"/>
      <c r="AAD101" s="112"/>
      <c r="AAE101" s="551">
        <f t="shared" si="741"/>
        <v>1</v>
      </c>
      <c r="AAF101" s="112" t="s">
        <v>0</v>
      </c>
      <c r="AAG101" s="78">
        <f>H100</f>
        <v>41478</v>
      </c>
      <c r="AAH101" s="78">
        <f>G101</f>
        <v>41478</v>
      </c>
      <c r="AAI101" s="63"/>
      <c r="AAJ101" s="56"/>
      <c r="AAK101" s="56"/>
      <c r="AAL101" s="39"/>
      <c r="AAM101" s="112"/>
      <c r="AAN101"/>
      <c r="AAT101" s="23"/>
      <c r="AAU101" s="44"/>
    </row>
    <row r="102" spans="1:732" s="23" customFormat="1" ht="15.75" hidden="1" customHeight="1" outlineLevel="1">
      <c r="A102" s="557"/>
      <c r="B102" s="387" t="s">
        <v>190</v>
      </c>
      <c r="C102" s="672" t="s">
        <v>70</v>
      </c>
      <c r="D102" s="308" t="s">
        <v>157</v>
      </c>
      <c r="E102" s="368"/>
      <c r="F102" s="491">
        <f t="shared" ref="F102" ca="1" si="755">NETWORKDAYS(TODAY(),H102)</f>
        <v>-5</v>
      </c>
      <c r="G102" s="383">
        <f>AAG102</f>
        <v>41478</v>
      </c>
      <c r="H102" s="369">
        <f>AAH102</f>
        <v>41478</v>
      </c>
      <c r="I102" s="587"/>
      <c r="J102" s="47"/>
      <c r="K102" s="590"/>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7"/>
      <c r="AAB102"/>
      <c r="AAC102"/>
      <c r="AAD102" s="112"/>
      <c r="AAE102" s="551">
        <f t="shared" si="741"/>
        <v>1</v>
      </c>
      <c r="AAF102" s="112" t="s">
        <v>0</v>
      </c>
      <c r="AAG102" s="78">
        <f>H101</f>
        <v>41478</v>
      </c>
      <c r="AAH102" s="78">
        <f t="shared" ref="AAH102:AAH106" si="756">G102</f>
        <v>41478</v>
      </c>
      <c r="AAI102" s="63"/>
      <c r="AAJ102" s="56"/>
      <c r="AAK102" s="56"/>
      <c r="AAL102" s="39"/>
      <c r="AAM102" s="112"/>
      <c r="AAU102" s="44"/>
      <c r="AAV102"/>
      <c r="AAW102"/>
      <c r="AAX102"/>
      <c r="AAY102"/>
      <c r="AAZ102"/>
      <c r="ABA102"/>
      <c r="ABB102"/>
      <c r="ABC102"/>
      <c r="ABD102"/>
    </row>
    <row r="103" spans="1:732" ht="15.75" hidden="1" customHeight="1" outlineLevel="1">
      <c r="A103" s="557"/>
      <c r="B103" s="387" t="s">
        <v>196</v>
      </c>
      <c r="C103" s="168"/>
      <c r="D103" s="384" t="s">
        <v>375</v>
      </c>
      <c r="E103" s="368">
        <f t="shared" si="753"/>
        <v>1</v>
      </c>
      <c r="F103" s="491">
        <f t="shared" ca="1" si="754"/>
        <v>-5</v>
      </c>
      <c r="G103" s="383">
        <f t="shared" si="744"/>
        <v>41478</v>
      </c>
      <c r="H103" s="369">
        <f t="shared" si="744"/>
        <v>41478</v>
      </c>
      <c r="I103" s="587"/>
      <c r="J103" s="47"/>
      <c r="K103" s="590"/>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7"/>
      <c r="AAD103" s="112"/>
      <c r="AAE103" s="551">
        <f t="shared" si="741"/>
        <v>1</v>
      </c>
      <c r="AAF103" s="112" t="s">
        <v>0</v>
      </c>
      <c r="AAG103" s="78">
        <f>H102</f>
        <v>41478</v>
      </c>
      <c r="AAH103" s="78">
        <f t="shared" si="756"/>
        <v>41478</v>
      </c>
      <c r="AAI103" s="63"/>
      <c r="AAJ103" s="56"/>
      <c r="AAK103" s="56"/>
      <c r="AAL103" s="65" t="s">
        <v>0</v>
      </c>
      <c r="AAM103" s="112"/>
      <c r="AAN103"/>
      <c r="AAT103" s="23"/>
      <c r="AAU103" s="44"/>
    </row>
    <row r="104" spans="1:732" ht="15" hidden="1" customHeight="1" outlineLevel="1">
      <c r="A104" s="557"/>
      <c r="B104" s="375" t="s">
        <v>125</v>
      </c>
      <c r="C104" s="675" t="s">
        <v>90</v>
      </c>
      <c r="D104" s="308" t="s">
        <v>358</v>
      </c>
      <c r="E104" s="368">
        <f>NETWORKDAYS(G104,H104,S.DDL_DEQClosed)</f>
        <v>1</v>
      </c>
      <c r="F104" s="491">
        <f ca="1">NETWORKDAYS(TODAY(),H104)</f>
        <v>-5</v>
      </c>
      <c r="G104" s="383">
        <f>AAG104</f>
        <v>41478</v>
      </c>
      <c r="H104" s="369">
        <f>AAH104</f>
        <v>41478</v>
      </c>
      <c r="I104" s="587"/>
      <c r="J104" s="47"/>
      <c r="K104" s="590"/>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7"/>
      <c r="AAD104" s="112"/>
      <c r="AAE104" s="551">
        <f t="shared" si="741"/>
        <v>1</v>
      </c>
      <c r="AAF104" s="112" t="s">
        <v>0</v>
      </c>
      <c r="AAG104" s="78">
        <f>H106</f>
        <v>41478</v>
      </c>
      <c r="AAH104" s="78">
        <f>G104</f>
        <v>41478</v>
      </c>
      <c r="AAI104" s="63"/>
      <c r="AAJ104" s="56"/>
      <c r="AAK104" s="56"/>
      <c r="AAL104" s="39"/>
      <c r="AAM104" s="112"/>
      <c r="AAN104"/>
      <c r="AAT104" s="23"/>
      <c r="AAU104" s="44"/>
    </row>
    <row r="105" spans="1:732" ht="15.75" hidden="1" customHeight="1" outlineLevel="1">
      <c r="A105" s="557"/>
      <c r="B105" s="375" t="s">
        <v>355</v>
      </c>
      <c r="C105" s="168"/>
      <c r="D105" s="308" t="s">
        <v>380</v>
      </c>
      <c r="E105" s="368">
        <f t="shared" si="753"/>
        <v>1</v>
      </c>
      <c r="F105" s="491">
        <f t="shared" ca="1" si="754"/>
        <v>-5</v>
      </c>
      <c r="G105" s="383">
        <f t="shared" si="744"/>
        <v>41478</v>
      </c>
      <c r="H105" s="369">
        <f t="shared" si="744"/>
        <v>41478</v>
      </c>
      <c r="I105" s="587"/>
      <c r="J105" s="47"/>
      <c r="K105" s="590"/>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7"/>
      <c r="AAD105" s="112"/>
      <c r="AAE105" s="551">
        <f t="shared" si="741"/>
        <v>1</v>
      </c>
      <c r="AAF105" s="112" t="s">
        <v>0</v>
      </c>
      <c r="AAG105" s="78">
        <f>H88</f>
        <v>41478</v>
      </c>
      <c r="AAH105" s="78">
        <f t="shared" si="756"/>
        <v>41478</v>
      </c>
      <c r="AAI105" s="63"/>
      <c r="AAJ105" s="56"/>
      <c r="AAK105" s="56"/>
      <c r="AAL105" s="39"/>
      <c r="AAM105" s="112"/>
      <c r="AAN105"/>
      <c r="AAT105" s="23"/>
      <c r="AAU105" s="44"/>
    </row>
    <row r="106" spans="1:732" ht="15" hidden="1" customHeight="1" outlineLevel="1">
      <c r="A106" s="557"/>
      <c r="B106" s="343" t="s">
        <v>191</v>
      </c>
      <c r="C106" s="168"/>
      <c r="D106" s="308" t="s">
        <v>157</v>
      </c>
      <c r="E106" s="368">
        <f t="shared" si="753"/>
        <v>1</v>
      </c>
      <c r="F106" s="491">
        <f t="shared" ca="1" si="754"/>
        <v>-5</v>
      </c>
      <c r="G106" s="383">
        <f t="shared" si="744"/>
        <v>41478</v>
      </c>
      <c r="H106" s="369">
        <f t="shared" si="744"/>
        <v>41478</v>
      </c>
      <c r="I106" s="587"/>
      <c r="J106" s="47"/>
      <c r="K106" s="590"/>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7"/>
      <c r="AAD106" s="112"/>
      <c r="AAE106" s="551">
        <f t="shared" si="741"/>
        <v>1</v>
      </c>
      <c r="AAF106" s="112" t="s">
        <v>0</v>
      </c>
      <c r="AAG106" s="78">
        <f t="shared" ref="AAG106" si="757">H105</f>
        <v>41478</v>
      </c>
      <c r="AAH106" s="78">
        <f t="shared" si="756"/>
        <v>41478</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7"/>
      <c r="B107" s="244" t="s">
        <v>60</v>
      </c>
      <c r="C107" s="168"/>
      <c r="D107" s="758"/>
      <c r="E107" s="758"/>
      <c r="F107" s="758"/>
      <c r="G107" s="399">
        <f ca="1">TODAY()</f>
        <v>41484</v>
      </c>
      <c r="H107" s="399" t="s">
        <v>189</v>
      </c>
      <c r="I107" s="587"/>
      <c r="J107" s="47"/>
      <c r="K107" s="590"/>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6"/>
      <c r="ZZ107" s="621"/>
      <c r="AAA107" s="587"/>
      <c r="AAD107" s="112"/>
      <c r="AAE107" s="551">
        <f t="shared" si="741"/>
        <v>1</v>
      </c>
      <c r="AAF107" s="582" t="s">
        <v>172</v>
      </c>
      <c r="AAG107" s="39" t="s">
        <v>0</v>
      </c>
      <c r="AAH107" s="39" t="s">
        <v>0</v>
      </c>
      <c r="AAI107" s="39"/>
      <c r="AAJ107" s="56"/>
      <c r="AAK107" s="56"/>
      <c r="AAL107" s="39"/>
      <c r="AAM107" s="112"/>
      <c r="AAN107"/>
      <c r="AAT107" s="23"/>
      <c r="AAU107" s="44"/>
    </row>
    <row r="108" spans="1:732" ht="15" hidden="1" customHeight="1" outlineLevel="2">
      <c r="A108" s="557"/>
      <c r="B108" s="375" t="s">
        <v>57</v>
      </c>
      <c r="C108" s="347"/>
      <c r="D108" s="308" t="s">
        <v>358</v>
      </c>
      <c r="E108" s="368">
        <f t="shared" si="753"/>
        <v>1</v>
      </c>
      <c r="F108" s="491">
        <f t="shared" ca="1" si="754"/>
        <v>-5</v>
      </c>
      <c r="G108" s="383">
        <f t="shared" si="744"/>
        <v>41478</v>
      </c>
      <c r="H108" s="369">
        <f t="shared" si="744"/>
        <v>41478</v>
      </c>
      <c r="I108" s="587"/>
      <c r="J108" s="47"/>
      <c r="K108" s="590"/>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7"/>
      <c r="AAD108" s="112"/>
      <c r="AAE108" s="551">
        <f t="shared" si="741"/>
        <v>1</v>
      </c>
      <c r="AAF108" s="112"/>
      <c r="AAG108" s="78">
        <f>H104</f>
        <v>41478</v>
      </c>
      <c r="AAH108" s="78">
        <f t="shared" ref="AAH108" si="758">G108</f>
        <v>41478</v>
      </c>
      <c r="AAI108" s="63"/>
      <c r="AAJ108" s="56"/>
      <c r="AAK108" s="56"/>
      <c r="AAL108" s="39"/>
      <c r="AAM108" s="112"/>
      <c r="AAN108"/>
      <c r="AAT108" s="23"/>
      <c r="AAU108" s="44"/>
    </row>
    <row r="109" spans="1:732" ht="15" hidden="1" customHeight="1" outlineLevel="2">
      <c r="A109" s="557"/>
      <c r="B109" s="376" t="s">
        <v>56</v>
      </c>
      <c r="C109" s="389"/>
      <c r="D109" s="397"/>
      <c r="E109" s="400"/>
      <c r="F109" s="400"/>
      <c r="G109" s="356"/>
      <c r="H109" s="401"/>
      <c r="I109" s="587"/>
      <c r="J109" s="47"/>
      <c r="K109" s="590"/>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6"/>
      <c r="ZZ109" s="621"/>
      <c r="AAA109" s="587"/>
      <c r="AAD109" s="112"/>
      <c r="AAE109" s="551">
        <f t="shared" si="741"/>
        <v>1</v>
      </c>
      <c r="AAF109" s="582" t="s">
        <v>172</v>
      </c>
      <c r="AAG109" s="63"/>
      <c r="AAH109" s="76"/>
      <c r="AAI109" s="76"/>
      <c r="AAJ109" s="56"/>
      <c r="AAK109" s="56"/>
      <c r="AAL109" s="39"/>
      <c r="AAM109" s="112"/>
      <c r="AAN109"/>
      <c r="AAT109" s="23"/>
      <c r="AAU109" s="44"/>
    </row>
    <row r="110" spans="1:732" ht="15" hidden="1" customHeight="1" outlineLevel="2">
      <c r="A110" s="557"/>
      <c r="B110" s="377" t="str">
        <f ca="1">"Draft AGENDA."&amp;TEXT($G$107,"mm.dd.yy")&amp;""</f>
        <v>Draft AGENDA.07.29.13</v>
      </c>
      <c r="C110" s="231" t="s">
        <v>70</v>
      </c>
      <c r="D110" s="308" t="s">
        <v>55</v>
      </c>
      <c r="E110" s="368">
        <f t="shared" ref="E110:E121" si="759">NETWORKDAYS(G110,H110,S.DDL_DEQClosed)</f>
        <v>1</v>
      </c>
      <c r="F110" s="491">
        <f t="shared" ref="F110:F121" ca="1" si="760">NETWORKDAYS(TODAY(),H110)</f>
        <v>-5</v>
      </c>
      <c r="G110" s="383">
        <f t="shared" si="744"/>
        <v>41478</v>
      </c>
      <c r="H110" s="369">
        <f t="shared" si="744"/>
        <v>41478</v>
      </c>
      <c r="I110" s="587"/>
      <c r="J110" s="47"/>
      <c r="K110" s="590"/>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7"/>
      <c r="AAD110" s="112"/>
      <c r="AAE110" s="551">
        <f t="shared" si="741"/>
        <v>1</v>
      </c>
      <c r="AAF110" s="112" t="s">
        <v>0</v>
      </c>
      <c r="AAG110" s="78">
        <f>H108</f>
        <v>41478</v>
      </c>
      <c r="AAH110" s="78">
        <f>G110</f>
        <v>41478</v>
      </c>
      <c r="AAI110" s="77"/>
      <c r="AAJ110" s="79"/>
      <c r="AAK110" s="79"/>
      <c r="AAL110" s="89" t="str">
        <f>"Draft "&amp;S.CodeName&amp;"AGENDA.mm.dd.yyyy.2.00"</f>
        <v>Draft AGENDA.mm.dd.yyyy.2.00</v>
      </c>
      <c r="AAM110" s="112"/>
      <c r="AAN110"/>
      <c r="AAT110" s="23"/>
      <c r="AAU110" s="44"/>
    </row>
    <row r="111" spans="1:732" ht="15" hidden="1" customHeight="1" outlineLevel="2">
      <c r="A111" s="557"/>
      <c r="B111" s="391" t="s">
        <v>194</v>
      </c>
      <c r="C111" s="390"/>
      <c r="D111" s="308" t="s">
        <v>55</v>
      </c>
      <c r="E111" s="368">
        <f t="shared" si="759"/>
        <v>1</v>
      </c>
      <c r="F111" s="491">
        <f t="shared" ca="1" si="760"/>
        <v>-5</v>
      </c>
      <c r="G111" s="383">
        <f t="shared" si="744"/>
        <v>41478</v>
      </c>
      <c r="H111" s="369">
        <f t="shared" si="744"/>
        <v>41478</v>
      </c>
      <c r="I111" s="587"/>
      <c r="J111" s="47"/>
      <c r="K111" s="590"/>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7"/>
      <c r="AAD111" s="112"/>
      <c r="AAE111" s="551">
        <f t="shared" si="741"/>
        <v>1</v>
      </c>
      <c r="AAF111" s="112" t="s">
        <v>0</v>
      </c>
      <c r="AAG111" s="78">
        <f>H110</f>
        <v>41478</v>
      </c>
      <c r="AAH111" s="78">
        <f t="shared" ref="AAH111:AAH121" si="761">G111</f>
        <v>41478</v>
      </c>
      <c r="AAI111" s="63"/>
      <c r="AAJ111" s="56"/>
      <c r="AAK111" s="56"/>
      <c r="AAL111" s="56"/>
      <c r="AAM111" s="112"/>
      <c r="AAN111"/>
      <c r="AAT111" s="23"/>
      <c r="AAU111" s="44"/>
    </row>
    <row r="112" spans="1:732" ht="15" hidden="1" customHeight="1" outlineLevel="2">
      <c r="A112" s="557"/>
      <c r="B112" s="391" t="s">
        <v>194</v>
      </c>
      <c r="C112" s="390"/>
      <c r="D112" s="308" t="s">
        <v>55</v>
      </c>
      <c r="E112" s="368">
        <f t="shared" si="759"/>
        <v>1</v>
      </c>
      <c r="F112" s="491">
        <f t="shared" ca="1" si="760"/>
        <v>-5</v>
      </c>
      <c r="G112" s="383">
        <f t="shared" si="744"/>
        <v>41478</v>
      </c>
      <c r="H112" s="369">
        <f t="shared" si="744"/>
        <v>41478</v>
      </c>
      <c r="I112" s="587"/>
      <c r="J112" s="47"/>
      <c r="K112" s="590"/>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7"/>
      <c r="AAD112" s="112"/>
      <c r="AAE112" s="551">
        <f t="shared" si="741"/>
        <v>1</v>
      </c>
      <c r="AAF112" s="112" t="s">
        <v>0</v>
      </c>
      <c r="AAG112" s="78">
        <f>H111</f>
        <v>41478</v>
      </c>
      <c r="AAH112" s="78">
        <f t="shared" si="761"/>
        <v>41478</v>
      </c>
      <c r="AAI112" s="63"/>
      <c r="AAJ112" s="56"/>
      <c r="AAK112" s="56"/>
      <c r="AAL112" s="56"/>
      <c r="AAM112" s="112"/>
      <c r="AAN112"/>
      <c r="AAT112" s="23"/>
      <c r="AAU112" s="44"/>
    </row>
    <row r="113" spans="1:732" ht="15" hidden="1" customHeight="1" outlineLevel="2">
      <c r="A113" s="557"/>
      <c r="B113" s="391" t="s">
        <v>194</v>
      </c>
      <c r="C113" s="390"/>
      <c r="D113" s="308" t="s">
        <v>55</v>
      </c>
      <c r="E113" s="368">
        <f t="shared" si="759"/>
        <v>1</v>
      </c>
      <c r="F113" s="491">
        <f t="shared" ca="1" si="760"/>
        <v>-5</v>
      </c>
      <c r="G113" s="383">
        <f t="shared" si="744"/>
        <v>41478</v>
      </c>
      <c r="H113" s="369">
        <f t="shared" si="744"/>
        <v>41478</v>
      </c>
      <c r="I113" s="587"/>
      <c r="J113" s="47"/>
      <c r="K113" s="590"/>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7"/>
      <c r="AAD113" s="112"/>
      <c r="AAE113" s="551">
        <f t="shared" si="741"/>
        <v>1</v>
      </c>
      <c r="AAF113" s="112" t="s">
        <v>0</v>
      </c>
      <c r="AAG113" s="78">
        <f>H112</f>
        <v>41478</v>
      </c>
      <c r="AAH113" s="78">
        <f t="shared" si="761"/>
        <v>41478</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7"/>
      <c r="B114" s="391" t="s">
        <v>194</v>
      </c>
      <c r="C114" s="390"/>
      <c r="D114" s="308" t="s">
        <v>55</v>
      </c>
      <c r="E114" s="368">
        <f t="shared" si="759"/>
        <v>1</v>
      </c>
      <c r="F114" s="491">
        <f t="shared" ca="1" si="760"/>
        <v>-5</v>
      </c>
      <c r="G114" s="383">
        <f t="shared" si="744"/>
        <v>41478</v>
      </c>
      <c r="H114" s="369">
        <f t="shared" si="744"/>
        <v>41478</v>
      </c>
      <c r="I114" s="587"/>
      <c r="J114" s="47"/>
      <c r="K114" s="590"/>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7"/>
      <c r="AAD114" s="112"/>
      <c r="AAE114" s="551">
        <f t="shared" si="741"/>
        <v>1</v>
      </c>
      <c r="AAF114" s="112" t="s">
        <v>0</v>
      </c>
      <c r="AAG114" s="78">
        <f t="shared" ref="AAG114:AAG119" si="762">H113</f>
        <v>41478</v>
      </c>
      <c r="AAH114" s="78">
        <f t="shared" si="761"/>
        <v>41478</v>
      </c>
      <c r="AAI114" s="63"/>
      <c r="AAJ114" s="56"/>
      <c r="AAK114" s="56"/>
      <c r="AAL114" s="56"/>
      <c r="AAM114" s="112"/>
      <c r="AAN114"/>
      <c r="AAT114" s="23"/>
      <c r="AAU114" s="44"/>
    </row>
    <row r="115" spans="1:732" s="23" customFormat="1" ht="15" hidden="1" customHeight="1" outlineLevel="2">
      <c r="A115" s="557"/>
      <c r="B115" s="392" t="s">
        <v>187</v>
      </c>
      <c r="C115" s="707"/>
      <c r="D115" s="398"/>
      <c r="E115" s="402"/>
      <c r="F115" s="402"/>
      <c r="G115" s="402"/>
      <c r="H115" s="402"/>
      <c r="I115" s="587"/>
      <c r="J115" s="47"/>
      <c r="K115" s="590"/>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6"/>
      <c r="ZZ115" s="621"/>
      <c r="AAA115" s="587"/>
      <c r="AAB115"/>
      <c r="AAC115"/>
      <c r="AAD115" s="112"/>
      <c r="AAE115" s="551">
        <f t="shared" si="741"/>
        <v>1</v>
      </c>
      <c r="AAF115" s="582" t="s">
        <v>172</v>
      </c>
      <c r="AAG115" s="39"/>
      <c r="AAH115" s="39"/>
      <c r="AAI115" s="39"/>
      <c r="AAJ115" s="56"/>
      <c r="AAK115" s="56"/>
      <c r="AAL115" s="56"/>
      <c r="AAM115" s="112"/>
      <c r="AAU115" s="44"/>
    </row>
    <row r="116" spans="1:732" ht="15" hidden="1" customHeight="1" outlineLevel="2">
      <c r="A116" s="557"/>
      <c r="B116" s="393" t="str">
        <f ca="1">"Draft optional PRESENTATION."&amp;TEXT($G$107,"mm.dd.yy")&amp;""</f>
        <v>Draft optional PRESENTATION.07.29.13</v>
      </c>
      <c r="C116" s="231" t="s">
        <v>70</v>
      </c>
      <c r="D116" s="308" t="s">
        <v>55</v>
      </c>
      <c r="E116" s="368">
        <f t="shared" si="759"/>
        <v>1</v>
      </c>
      <c r="F116" s="491">
        <f t="shared" ca="1" si="760"/>
        <v>-5</v>
      </c>
      <c r="G116" s="383">
        <f t="shared" si="744"/>
        <v>41478</v>
      </c>
      <c r="H116" s="369">
        <f t="shared" si="744"/>
        <v>41478</v>
      </c>
      <c r="I116" s="587"/>
      <c r="J116" s="47"/>
      <c r="K116" s="590"/>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7"/>
      <c r="AAD116" s="112"/>
      <c r="AAE116" s="551">
        <f t="shared" si="741"/>
        <v>1</v>
      </c>
      <c r="AAF116" s="112" t="s">
        <v>0</v>
      </c>
      <c r="AAG116" s="78">
        <f>H114</f>
        <v>41478</v>
      </c>
      <c r="AAH116" s="78">
        <f t="shared" si="761"/>
        <v>41478</v>
      </c>
      <c r="AAI116" s="63"/>
      <c r="AAJ116" s="56"/>
      <c r="AAK116" s="56"/>
      <c r="AAL116" s="56"/>
      <c r="AAM116" s="112"/>
      <c r="AAN116"/>
      <c r="AAT116" s="23"/>
      <c r="AAU116" s="44"/>
    </row>
    <row r="117" spans="1:732" s="23" customFormat="1" ht="15" hidden="1" customHeight="1" outlineLevel="2">
      <c r="A117" s="557"/>
      <c r="B117" s="393" t="s">
        <v>198</v>
      </c>
      <c r="C117" s="390"/>
      <c r="D117" s="308" t="s">
        <v>55</v>
      </c>
      <c r="E117" s="368">
        <f t="shared" ref="E117" si="763">NETWORKDAYS(G117,H117,S.DDL_DEQClosed)</f>
        <v>1</v>
      </c>
      <c r="F117" s="491">
        <f t="shared" ref="F117" ca="1" si="764">NETWORKDAYS(TODAY(),H117)</f>
        <v>-5</v>
      </c>
      <c r="G117" s="383">
        <f t="shared" ref="G117" si="765">AAG117</f>
        <v>41478</v>
      </c>
      <c r="H117" s="369">
        <f t="shared" ref="H117" si="766">AAH117</f>
        <v>41478</v>
      </c>
      <c r="I117" s="587"/>
      <c r="J117" s="47"/>
      <c r="K117" s="590"/>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7"/>
      <c r="AAB117"/>
      <c r="AAC117"/>
      <c r="AAD117" s="112"/>
      <c r="AAE117" s="551">
        <f t="shared" ref="AAE117:AAE148" si="767">IF(S.InvolveCommittee=TRUE,1,0)</f>
        <v>1</v>
      </c>
      <c r="AAF117" s="112" t="s">
        <v>0</v>
      </c>
      <c r="AAG117" s="78">
        <f t="shared" ref="AAG117" si="768">H116</f>
        <v>41478</v>
      </c>
      <c r="AAH117" s="78">
        <f t="shared" ref="AAH117" si="769">G117</f>
        <v>41478</v>
      </c>
      <c r="AAI117" s="63"/>
      <c r="AAJ117" s="56"/>
      <c r="AAK117" s="56"/>
      <c r="AAL117" s="56"/>
      <c r="AAM117" s="112"/>
      <c r="AAU117" s="44"/>
      <c r="AAV117"/>
      <c r="AAW117"/>
      <c r="AAX117"/>
      <c r="AAY117"/>
      <c r="AAZ117"/>
      <c r="ABA117"/>
      <c r="ABB117"/>
      <c r="ABC117"/>
      <c r="ABD117"/>
    </row>
    <row r="118" spans="1:732" ht="15" hidden="1" customHeight="1" outlineLevel="2">
      <c r="A118" s="557"/>
      <c r="B118" s="393" t="s">
        <v>192</v>
      </c>
      <c r="C118" s="390"/>
      <c r="D118" s="308" t="s">
        <v>55</v>
      </c>
      <c r="E118" s="368">
        <f t="shared" si="759"/>
        <v>1</v>
      </c>
      <c r="F118" s="491">
        <f t="shared" ca="1" si="760"/>
        <v>-5</v>
      </c>
      <c r="G118" s="383">
        <f t="shared" si="744"/>
        <v>41478</v>
      </c>
      <c r="H118" s="369">
        <f t="shared" si="744"/>
        <v>41478</v>
      </c>
      <c r="I118" s="587"/>
      <c r="J118" s="47"/>
      <c r="K118" s="590"/>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7"/>
      <c r="AAD118" s="112"/>
      <c r="AAE118" s="551">
        <f t="shared" si="767"/>
        <v>1</v>
      </c>
      <c r="AAF118" s="112" t="s">
        <v>0</v>
      </c>
      <c r="AAG118" s="78">
        <f>H117</f>
        <v>41478</v>
      </c>
      <c r="AAH118" s="78">
        <f t="shared" si="761"/>
        <v>41478</v>
      </c>
      <c r="AAI118" s="63"/>
      <c r="AAJ118" s="56"/>
      <c r="AAK118" s="56"/>
      <c r="AAL118" s="56"/>
      <c r="AAM118" s="112"/>
      <c r="AAN118"/>
      <c r="AAT118" s="23"/>
      <c r="AAU118" s="44"/>
    </row>
    <row r="119" spans="1:732" ht="15" hidden="1" customHeight="1" outlineLevel="2">
      <c r="A119" s="557"/>
      <c r="B119" s="393" t="s">
        <v>193</v>
      </c>
      <c r="C119" s="390"/>
      <c r="D119" s="308" t="s">
        <v>55</v>
      </c>
      <c r="E119" s="368">
        <f t="shared" si="759"/>
        <v>1</v>
      </c>
      <c r="F119" s="491">
        <f t="shared" ca="1" si="760"/>
        <v>-5</v>
      </c>
      <c r="G119" s="383">
        <f t="shared" si="744"/>
        <v>41478</v>
      </c>
      <c r="H119" s="369">
        <f t="shared" si="744"/>
        <v>41478</v>
      </c>
      <c r="I119" s="587"/>
      <c r="J119" s="47"/>
      <c r="K119" s="590"/>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7"/>
      <c r="AAD119" s="112"/>
      <c r="AAE119" s="551">
        <f t="shared" si="767"/>
        <v>1</v>
      </c>
      <c r="AAF119" s="112" t="s">
        <v>0</v>
      </c>
      <c r="AAG119" s="78">
        <f t="shared" si="762"/>
        <v>41478</v>
      </c>
      <c r="AAH119" s="78">
        <f t="shared" si="761"/>
        <v>41478</v>
      </c>
      <c r="AAI119" s="63"/>
      <c r="AAJ119" s="56"/>
      <c r="AAK119" s="56"/>
      <c r="AAL119" s="56"/>
      <c r="AAM119" s="112"/>
      <c r="AAN119"/>
      <c r="AAT119" s="23"/>
      <c r="AAU119" s="44"/>
    </row>
    <row r="120" spans="1:732" ht="15" hidden="1" customHeight="1" outlineLevel="2">
      <c r="A120" s="557"/>
      <c r="B120" s="394" t="s">
        <v>188</v>
      </c>
      <c r="C120" s="708"/>
      <c r="D120" s="386"/>
      <c r="E120" s="127"/>
      <c r="F120" s="127"/>
      <c r="G120" s="127"/>
      <c r="H120" s="127"/>
      <c r="I120" s="587"/>
      <c r="J120" s="47"/>
      <c r="K120" s="590"/>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6"/>
      <c r="ZZ120" s="621"/>
      <c r="AAA120" s="587"/>
      <c r="AAD120" s="112"/>
      <c r="AAE120" s="551">
        <f t="shared" si="767"/>
        <v>1</v>
      </c>
      <c r="AAF120" s="582" t="s">
        <v>172</v>
      </c>
      <c r="AAG120" s="39"/>
      <c r="AAH120" s="39"/>
      <c r="AAI120" s="39"/>
      <c r="AAJ120" s="56"/>
      <c r="AAK120" s="56"/>
      <c r="AAL120" s="56"/>
      <c r="AAM120" s="112"/>
      <c r="AAN120"/>
      <c r="AAT120" s="23"/>
      <c r="AAU120" s="44"/>
    </row>
    <row r="121" spans="1:732" ht="15" hidden="1" customHeight="1" outlineLevel="2">
      <c r="A121" s="557"/>
      <c r="B121" s="377" t="str">
        <f ca="1">"Draft COMMITTEE.NOTICE."&amp;TEXT($G$107,"mm.dd.yy")&amp;""</f>
        <v>Draft COMMITTEE.NOTICE.07.29.13</v>
      </c>
      <c r="C121" s="390"/>
      <c r="D121" s="308" t="s">
        <v>377</v>
      </c>
      <c r="E121" s="368">
        <f t="shared" si="759"/>
        <v>1</v>
      </c>
      <c r="F121" s="491">
        <f t="shared" ca="1" si="760"/>
        <v>-5</v>
      </c>
      <c r="G121" s="383">
        <f t="shared" si="744"/>
        <v>41478</v>
      </c>
      <c r="H121" s="369">
        <f t="shared" si="744"/>
        <v>41478</v>
      </c>
      <c r="I121" s="587"/>
      <c r="J121" s="47"/>
      <c r="K121" s="590"/>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7"/>
      <c r="AAD121" s="112"/>
      <c r="AAE121" s="551">
        <f t="shared" si="767"/>
        <v>1</v>
      </c>
      <c r="AAF121" s="112" t="s">
        <v>0</v>
      </c>
      <c r="AAG121" s="78">
        <f>H119</f>
        <v>41478</v>
      </c>
      <c r="AAH121" s="78">
        <f t="shared" si="761"/>
        <v>41478</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7"/>
      <c r="B122" s="395" t="s">
        <v>21</v>
      </c>
      <c r="C122" s="396"/>
      <c r="D122" s="197"/>
      <c r="E122" s="345"/>
      <c r="F122" s="366"/>
      <c r="G122" s="403" t="s">
        <v>0</v>
      </c>
      <c r="H122" s="401"/>
      <c r="I122" s="587"/>
      <c r="J122" s="47"/>
      <c r="K122" s="590"/>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6"/>
      <c r="ZZ122" s="621"/>
      <c r="AAA122" s="587"/>
      <c r="AAD122" s="112"/>
      <c r="AAE122" s="551">
        <f t="shared" si="767"/>
        <v>1</v>
      </c>
      <c r="AAF122" s="582" t="s">
        <v>172</v>
      </c>
      <c r="AAG122" s="63"/>
      <c r="AAH122" s="76" t="s">
        <v>0</v>
      </c>
      <c r="AAI122" s="77"/>
      <c r="AAJ122" s="77"/>
      <c r="AAK122" s="77"/>
      <c r="AAL122" s="56"/>
      <c r="AAM122" s="112"/>
      <c r="AAN122"/>
      <c r="AAT122" s="23"/>
      <c r="AAU122" s="44"/>
    </row>
    <row r="123" spans="1:732" ht="15" hidden="1" customHeight="1" outlineLevel="2">
      <c r="A123" s="557"/>
      <c r="B123" s="387" t="s">
        <v>197</v>
      </c>
      <c r="C123" s="347"/>
      <c r="D123" s="308" t="s">
        <v>157</v>
      </c>
      <c r="E123" s="368">
        <f>NETWORKDAYS(G123,H123,S.DDL_DEQClosed)</f>
        <v>1</v>
      </c>
      <c r="F123" s="491">
        <f ca="1">NETWORKDAYS(TODAY(),H123)</f>
        <v>-5</v>
      </c>
      <c r="G123" s="383">
        <f>AAG123</f>
        <v>41478</v>
      </c>
      <c r="H123" s="369">
        <f>AAH123</f>
        <v>41478</v>
      </c>
      <c r="I123" s="587"/>
      <c r="J123" s="47"/>
      <c r="K123" s="590"/>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7"/>
      <c r="AAD123" s="112"/>
      <c r="AAE123" s="551">
        <f t="shared" si="767"/>
        <v>1</v>
      </c>
      <c r="AAF123" s="112"/>
      <c r="AAG123" s="78">
        <f>H121</f>
        <v>41478</v>
      </c>
      <c r="AAH123" s="78">
        <f>G123</f>
        <v>41478</v>
      </c>
      <c r="AAI123" s="77"/>
      <c r="AAJ123" s="77"/>
      <c r="AAK123" s="77"/>
      <c r="AAL123" s="56"/>
      <c r="AAM123" s="112"/>
      <c r="AAN123"/>
      <c r="AAT123" s="23"/>
      <c r="AAU123" s="44"/>
    </row>
    <row r="124" spans="1:732" ht="15" hidden="1" customHeight="1" outlineLevel="2">
      <c r="A124" s="557"/>
      <c r="B124" s="243" t="s">
        <v>54</v>
      </c>
      <c r="C124" s="168"/>
      <c r="D124" s="308" t="s">
        <v>358</v>
      </c>
      <c r="E124" s="368">
        <f t="shared" ref="E124:E126" si="770">NETWORKDAYS(G124,H124,S.DDL_DEQClosed)</f>
        <v>1</v>
      </c>
      <c r="F124" s="491">
        <f t="shared" ref="F124:F126" ca="1" si="771">NETWORKDAYS(TODAY(),H124)</f>
        <v>-5</v>
      </c>
      <c r="G124" s="383">
        <f t="shared" si="744"/>
        <v>41478</v>
      </c>
      <c r="H124" s="369">
        <f t="shared" si="744"/>
        <v>41478</v>
      </c>
      <c r="I124" s="587"/>
      <c r="J124" s="47"/>
      <c r="K124" s="590"/>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7"/>
      <c r="AAD124" s="112"/>
      <c r="AAE124" s="551">
        <f t="shared" si="767"/>
        <v>1</v>
      </c>
      <c r="AAF124" s="112"/>
      <c r="AAG124" s="78">
        <f>H123</f>
        <v>41478</v>
      </c>
      <c r="AAH124" s="78">
        <f t="shared" ref="AAH124:AAH126" si="772">G124</f>
        <v>41478</v>
      </c>
      <c r="AAI124" s="77"/>
      <c r="AAJ124" s="77"/>
      <c r="AAK124" s="77"/>
      <c r="AAL124" s="56"/>
      <c r="AAM124" s="112"/>
      <c r="AAN124"/>
      <c r="AAT124" s="23"/>
      <c r="AAU124" s="44"/>
    </row>
    <row r="125" spans="1:732" ht="15" hidden="1" customHeight="1" outlineLevel="2">
      <c r="A125" s="557"/>
      <c r="B125" s="247" t="str">
        <f ca="1">"Draft MINUTES."&amp;TEXT($G$107,"mm.dd.yy")&amp;""</f>
        <v>Draft MINUTES.07.29.13</v>
      </c>
      <c r="C125" s="231" t="s">
        <v>70</v>
      </c>
      <c r="D125" s="278" t="s">
        <v>377</v>
      </c>
      <c r="E125" s="368">
        <f t="shared" si="770"/>
        <v>1</v>
      </c>
      <c r="F125" s="491">
        <f t="shared" ca="1" si="771"/>
        <v>-5</v>
      </c>
      <c r="G125" s="383">
        <f t="shared" si="744"/>
        <v>41478</v>
      </c>
      <c r="H125" s="369">
        <f t="shared" si="744"/>
        <v>41478</v>
      </c>
      <c r="I125" s="587"/>
      <c r="J125" s="47"/>
      <c r="K125" s="590"/>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7"/>
      <c r="AAD125" s="112"/>
      <c r="AAE125" s="551">
        <f t="shared" si="767"/>
        <v>1</v>
      </c>
      <c r="AAF125" s="112"/>
      <c r="AAG125" s="78">
        <f t="shared" ref="AAG125:AAG126" si="773">H124</f>
        <v>41478</v>
      </c>
      <c r="AAH125" s="78">
        <f t="shared" si="772"/>
        <v>41478</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7"/>
      <c r="B126" s="243" t="s">
        <v>53</v>
      </c>
      <c r="C126" s="168"/>
      <c r="D126" s="308" t="s">
        <v>358</v>
      </c>
      <c r="E126" s="368">
        <f t="shared" si="770"/>
        <v>1</v>
      </c>
      <c r="F126" s="491">
        <f t="shared" ca="1" si="771"/>
        <v>-5</v>
      </c>
      <c r="G126" s="383">
        <f t="shared" si="744"/>
        <v>41478</v>
      </c>
      <c r="H126" s="369">
        <f t="shared" si="744"/>
        <v>41478</v>
      </c>
      <c r="I126" s="587"/>
      <c r="J126" s="47"/>
      <c r="K126" s="590"/>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7"/>
      <c r="AAD126" s="112"/>
      <c r="AAE126" s="551">
        <f t="shared" si="767"/>
        <v>1</v>
      </c>
      <c r="AAF126" s="112"/>
      <c r="AAG126" s="78">
        <f t="shared" si="773"/>
        <v>41478</v>
      </c>
      <c r="AAH126" s="78">
        <f t="shared" si="772"/>
        <v>41478</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7"/>
      <c r="B127" s="244" t="s">
        <v>59</v>
      </c>
      <c r="C127" s="168"/>
      <c r="D127" s="758"/>
      <c r="E127" s="758"/>
      <c r="F127" s="758"/>
      <c r="G127" s="399">
        <f ca="1">TODAY()</f>
        <v>41484</v>
      </c>
      <c r="H127" s="399" t="s">
        <v>189</v>
      </c>
      <c r="I127" s="587"/>
      <c r="J127" s="47"/>
      <c r="K127" s="590"/>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6"/>
      <c r="ZZ127" s="621"/>
      <c r="AAA127" s="587"/>
      <c r="AAB127"/>
      <c r="AAC127"/>
      <c r="AAD127" s="112"/>
      <c r="AAE127" s="551">
        <f t="shared" si="767"/>
        <v>1</v>
      </c>
      <c r="AAF127" s="582" t="s">
        <v>172</v>
      </c>
      <c r="AAG127" s="39" t="s">
        <v>0</v>
      </c>
      <c r="AAH127" s="39" t="s">
        <v>0</v>
      </c>
      <c r="AAI127" s="39"/>
      <c r="AAJ127" s="56"/>
      <c r="AAK127" s="56"/>
      <c r="AAL127" s="56"/>
      <c r="AAM127" s="112"/>
      <c r="AAU127" s="44"/>
    </row>
    <row r="128" spans="1:732" s="23" customFormat="1" ht="15" hidden="1" customHeight="1" outlineLevel="2">
      <c r="A128" s="557"/>
      <c r="B128" s="375" t="s">
        <v>57</v>
      </c>
      <c r="C128" s="168"/>
      <c r="D128" s="308" t="s">
        <v>358</v>
      </c>
      <c r="E128" s="368">
        <f t="shared" ref="E128" si="774">NETWORKDAYS(G128,H128,S.DDL_DEQClosed)</f>
        <v>1</v>
      </c>
      <c r="F128" s="491">
        <f t="shared" ref="F128" ca="1" si="775">NETWORKDAYS(TODAY(),H128)</f>
        <v>-5</v>
      </c>
      <c r="G128" s="383">
        <f t="shared" ref="G128" si="776">AAG128</f>
        <v>41478</v>
      </c>
      <c r="H128" s="369">
        <f t="shared" ref="H128" si="777">AAH128</f>
        <v>41478</v>
      </c>
      <c r="I128" s="587"/>
      <c r="J128" s="47"/>
      <c r="K128" s="590"/>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7"/>
      <c r="AAB128"/>
      <c r="AAC128"/>
      <c r="AAD128" s="112"/>
      <c r="AAE128" s="551">
        <f t="shared" si="767"/>
        <v>1</v>
      </c>
      <c r="AAF128" s="112"/>
      <c r="AAG128" s="78">
        <f>H125</f>
        <v>41478</v>
      </c>
      <c r="AAH128" s="78">
        <f t="shared" ref="AAH128" si="778">G128</f>
        <v>41478</v>
      </c>
      <c r="AAI128" s="77"/>
      <c r="AAJ128" s="77"/>
      <c r="AAK128" s="77"/>
      <c r="AAL128" s="56"/>
      <c r="AAM128" s="112"/>
      <c r="AAU128" s="44"/>
    </row>
    <row r="129" spans="1:723" s="23" customFormat="1" ht="15" hidden="1" customHeight="1" outlineLevel="2">
      <c r="A129" s="557"/>
      <c r="B129" s="376" t="s">
        <v>56</v>
      </c>
      <c r="C129" s="166"/>
      <c r="D129" s="397"/>
      <c r="E129" s="502"/>
      <c r="F129" s="502"/>
      <c r="G129" s="501"/>
      <c r="H129" s="503"/>
      <c r="I129" s="587"/>
      <c r="J129" s="47"/>
      <c r="K129" s="590"/>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6"/>
      <c r="ZZ129" s="621"/>
      <c r="AAA129" s="587"/>
      <c r="AAB129"/>
      <c r="AAC129"/>
      <c r="AAD129" s="112"/>
      <c r="AAE129" s="551">
        <f t="shared" si="767"/>
        <v>1</v>
      </c>
      <c r="AAF129" s="582" t="s">
        <v>172</v>
      </c>
      <c r="AAG129" s="63"/>
      <c r="AAH129" s="76"/>
      <c r="AAI129" s="77"/>
      <c r="AAJ129" s="77"/>
      <c r="AAK129" s="77"/>
      <c r="AAL129" s="56"/>
      <c r="AAM129" s="112"/>
      <c r="AAU129" s="44"/>
    </row>
    <row r="130" spans="1:723" s="23" customFormat="1" ht="15" hidden="1" customHeight="1" outlineLevel="2">
      <c r="A130" s="557"/>
      <c r="B130" s="377" t="str">
        <f ca="1">"Draft AGENDA."&amp;TEXT($G$127,"mm.dd.yy")&amp;""</f>
        <v>Draft AGENDA.07.29.13</v>
      </c>
      <c r="C130" s="231" t="s">
        <v>70</v>
      </c>
      <c r="D130" s="308" t="s">
        <v>55</v>
      </c>
      <c r="E130" s="368">
        <f t="shared" ref="E130:E134" si="779">NETWORKDAYS(G130,H130,S.DDL_DEQClosed)</f>
        <v>1</v>
      </c>
      <c r="F130" s="491">
        <f t="shared" ref="F130:F134" ca="1" si="780">NETWORKDAYS(TODAY(),H130)</f>
        <v>-5</v>
      </c>
      <c r="G130" s="383">
        <f t="shared" ref="G130:G134" si="781">AAG130</f>
        <v>41478</v>
      </c>
      <c r="H130" s="369">
        <f t="shared" ref="H130:H134" si="782">AAH130</f>
        <v>41478</v>
      </c>
      <c r="I130" s="587"/>
      <c r="J130" s="47"/>
      <c r="K130" s="590"/>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7"/>
      <c r="AAB130"/>
      <c r="AAC130"/>
      <c r="AAD130" s="112"/>
      <c r="AAE130" s="551">
        <f t="shared" si="767"/>
        <v>1</v>
      </c>
      <c r="AAF130" s="112" t="s">
        <v>0</v>
      </c>
      <c r="AAG130" s="78">
        <f>H128</f>
        <v>41478</v>
      </c>
      <c r="AAH130" s="78">
        <f>G130</f>
        <v>41478</v>
      </c>
      <c r="AAI130" s="77"/>
      <c r="AAJ130" s="77"/>
      <c r="AAK130" s="77"/>
      <c r="AAL130" s="89" t="str">
        <f>"Draft "&amp;S.CodeName&amp;"AGENDA.mm.dd.yyyy.2.00"</f>
        <v>Draft AGENDA.mm.dd.yyyy.2.00</v>
      </c>
      <c r="AAM130" s="112"/>
      <c r="AAU130" s="44"/>
    </row>
    <row r="131" spans="1:723" s="23" customFormat="1" ht="15" hidden="1" customHeight="1" outlineLevel="2">
      <c r="A131" s="557"/>
      <c r="B131" s="391" t="s">
        <v>194</v>
      </c>
      <c r="C131" s="239"/>
      <c r="D131" s="308" t="s">
        <v>55</v>
      </c>
      <c r="E131" s="368">
        <f t="shared" si="779"/>
        <v>1</v>
      </c>
      <c r="F131" s="491">
        <f t="shared" ca="1" si="780"/>
        <v>-5</v>
      </c>
      <c r="G131" s="383">
        <f t="shared" si="781"/>
        <v>41478</v>
      </c>
      <c r="H131" s="369">
        <f t="shared" si="782"/>
        <v>41478</v>
      </c>
      <c r="I131" s="587"/>
      <c r="J131" s="47"/>
      <c r="K131" s="590"/>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7"/>
      <c r="AAB131"/>
      <c r="AAC131"/>
      <c r="AAD131" s="112"/>
      <c r="AAE131" s="551">
        <f t="shared" si="767"/>
        <v>1</v>
      </c>
      <c r="AAF131" s="112" t="s">
        <v>0</v>
      </c>
      <c r="AAG131" s="78">
        <f>H130</f>
        <v>41478</v>
      </c>
      <c r="AAH131" s="78">
        <f t="shared" ref="AAH131:AAH134" si="783">G131</f>
        <v>41478</v>
      </c>
      <c r="AAI131" s="77"/>
      <c r="AAJ131" s="77"/>
      <c r="AAK131" s="77"/>
      <c r="AAL131" s="56"/>
      <c r="AAM131" s="112"/>
      <c r="AAU131" s="44"/>
    </row>
    <row r="132" spans="1:723" s="23" customFormat="1" ht="15" hidden="1" customHeight="1" outlineLevel="2">
      <c r="A132" s="557"/>
      <c r="B132" s="391" t="s">
        <v>194</v>
      </c>
      <c r="C132" s="239"/>
      <c r="D132" s="308" t="s">
        <v>55</v>
      </c>
      <c r="E132" s="368">
        <f t="shared" si="779"/>
        <v>1</v>
      </c>
      <c r="F132" s="491">
        <f t="shared" ca="1" si="780"/>
        <v>-5</v>
      </c>
      <c r="G132" s="383">
        <f t="shared" si="781"/>
        <v>41478</v>
      </c>
      <c r="H132" s="369">
        <f t="shared" si="782"/>
        <v>41478</v>
      </c>
      <c r="I132" s="587"/>
      <c r="J132" s="47"/>
      <c r="K132" s="590"/>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7"/>
      <c r="AAB132"/>
      <c r="AAC132"/>
      <c r="AAD132" s="112"/>
      <c r="AAE132" s="551">
        <f t="shared" si="767"/>
        <v>1</v>
      </c>
      <c r="AAF132" s="112" t="s">
        <v>0</v>
      </c>
      <c r="AAG132" s="78">
        <f>H131</f>
        <v>41478</v>
      </c>
      <c r="AAH132" s="78">
        <f t="shared" si="783"/>
        <v>41478</v>
      </c>
      <c r="AAI132" s="77"/>
      <c r="AAJ132" s="77"/>
      <c r="AAK132" s="77"/>
      <c r="AAL132" s="56"/>
      <c r="AAM132" s="112"/>
      <c r="AAU132" s="44"/>
    </row>
    <row r="133" spans="1:723" s="23" customFormat="1" ht="15" hidden="1" customHeight="1" outlineLevel="2">
      <c r="A133" s="557"/>
      <c r="B133" s="391" t="s">
        <v>194</v>
      </c>
      <c r="C133" s="239"/>
      <c r="D133" s="308" t="s">
        <v>55</v>
      </c>
      <c r="E133" s="368">
        <f t="shared" si="779"/>
        <v>1</v>
      </c>
      <c r="F133" s="491">
        <f t="shared" ca="1" si="780"/>
        <v>-5</v>
      </c>
      <c r="G133" s="383">
        <f t="shared" si="781"/>
        <v>41478</v>
      </c>
      <c r="H133" s="369">
        <f t="shared" si="782"/>
        <v>41478</v>
      </c>
      <c r="I133" s="587"/>
      <c r="J133" s="47"/>
      <c r="K133" s="590"/>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7"/>
      <c r="AAB133"/>
      <c r="AAC133"/>
      <c r="AAD133" s="112"/>
      <c r="AAE133" s="551">
        <f t="shared" si="767"/>
        <v>1</v>
      </c>
      <c r="AAF133" s="112" t="s">
        <v>0</v>
      </c>
      <c r="AAG133" s="78">
        <f>H132</f>
        <v>41478</v>
      </c>
      <c r="AAH133" s="78">
        <f t="shared" si="783"/>
        <v>41478</v>
      </c>
      <c r="AAI133" s="77"/>
      <c r="AAJ133" s="77"/>
      <c r="AAK133" s="77"/>
      <c r="AAL133" s="56"/>
      <c r="AAM133" s="112"/>
      <c r="AAU133" s="44"/>
    </row>
    <row r="134" spans="1:723" s="23" customFormat="1" ht="15" hidden="1" customHeight="1" outlineLevel="2">
      <c r="A134" s="557"/>
      <c r="B134" s="391" t="s">
        <v>194</v>
      </c>
      <c r="C134" s="239"/>
      <c r="D134" s="308" t="s">
        <v>55</v>
      </c>
      <c r="E134" s="368">
        <f t="shared" si="779"/>
        <v>1</v>
      </c>
      <c r="F134" s="491">
        <f t="shared" ca="1" si="780"/>
        <v>-5</v>
      </c>
      <c r="G134" s="383">
        <f t="shared" si="781"/>
        <v>41478</v>
      </c>
      <c r="H134" s="369">
        <f t="shared" si="782"/>
        <v>41478</v>
      </c>
      <c r="I134" s="587"/>
      <c r="J134" s="47"/>
      <c r="K134" s="590"/>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7"/>
      <c r="AAB134"/>
      <c r="AAC134"/>
      <c r="AAD134" s="112"/>
      <c r="AAE134" s="551">
        <f t="shared" si="767"/>
        <v>1</v>
      </c>
      <c r="AAF134" s="112" t="s">
        <v>0</v>
      </c>
      <c r="AAG134" s="78">
        <f t="shared" ref="AAG134" si="784">H133</f>
        <v>41478</v>
      </c>
      <c r="AAH134" s="78">
        <f t="shared" si="783"/>
        <v>41478</v>
      </c>
      <c r="AAI134" s="77"/>
      <c r="AAJ134" s="77"/>
      <c r="AAK134" s="77"/>
      <c r="AAL134" s="56"/>
      <c r="AAM134" s="112"/>
      <c r="AAU134" s="44"/>
    </row>
    <row r="135" spans="1:723" s="23" customFormat="1" ht="15" hidden="1" customHeight="1" outlineLevel="2">
      <c r="A135" s="557"/>
      <c r="B135" s="392" t="s">
        <v>187</v>
      </c>
      <c r="C135" s="709"/>
      <c r="D135" s="398"/>
      <c r="E135" s="402"/>
      <c r="F135" s="402"/>
      <c r="G135" s="402"/>
      <c r="H135" s="402"/>
      <c r="I135" s="587"/>
      <c r="J135" s="47"/>
      <c r="K135" s="590"/>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6"/>
      <c r="ZZ135" s="621"/>
      <c r="AAA135" s="587"/>
      <c r="AAB135"/>
      <c r="AAC135"/>
      <c r="AAD135" s="112"/>
      <c r="AAE135" s="551">
        <f t="shared" si="767"/>
        <v>1</v>
      </c>
      <c r="AAF135" s="582" t="s">
        <v>172</v>
      </c>
      <c r="AAG135" s="39"/>
      <c r="AAH135" s="39"/>
      <c r="AAI135" s="77"/>
      <c r="AAJ135" s="77"/>
      <c r="AAK135" s="77"/>
      <c r="AAL135" s="56"/>
      <c r="AAM135" s="112"/>
      <c r="AAU135" s="44"/>
    </row>
    <row r="136" spans="1:723" s="23" customFormat="1" ht="15" hidden="1" customHeight="1" outlineLevel="2">
      <c r="A136" s="557"/>
      <c r="B136" s="393" t="str">
        <f ca="1">"Draft optional PRESENTATION."&amp;TEXT($G$127,"mm.dd.yy")&amp;""</f>
        <v>Draft optional PRESENTATION.07.29.13</v>
      </c>
      <c r="C136" s="231" t="s">
        <v>70</v>
      </c>
      <c r="D136" s="308" t="s">
        <v>55</v>
      </c>
      <c r="E136" s="368">
        <f t="shared" ref="E136:E139" si="785">NETWORKDAYS(G136,H136,S.DDL_DEQClosed)</f>
        <v>1</v>
      </c>
      <c r="F136" s="491">
        <f t="shared" ref="F136:F139" ca="1" si="786">NETWORKDAYS(TODAY(),H136)</f>
        <v>-5</v>
      </c>
      <c r="G136" s="383">
        <f t="shared" ref="G136:G139" si="787">AAG136</f>
        <v>41478</v>
      </c>
      <c r="H136" s="369">
        <f t="shared" ref="H136:H139" si="788">AAH136</f>
        <v>41478</v>
      </c>
      <c r="I136" s="587"/>
      <c r="J136" s="47"/>
      <c r="K136" s="590"/>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7"/>
      <c r="AAB136"/>
      <c r="AAC136"/>
      <c r="AAD136" s="112"/>
      <c r="AAE136" s="551">
        <f t="shared" si="767"/>
        <v>1</v>
      </c>
      <c r="AAF136" s="112" t="s">
        <v>0</v>
      </c>
      <c r="AAG136" s="78">
        <f>H134</f>
        <v>41478</v>
      </c>
      <c r="AAH136" s="78">
        <f t="shared" ref="AAH136:AAH139" si="789">G136</f>
        <v>41478</v>
      </c>
      <c r="AAI136" s="77"/>
      <c r="AAJ136" s="77"/>
      <c r="AAK136" s="77"/>
      <c r="AAL136" s="56"/>
      <c r="AAM136" s="112"/>
      <c r="AAU136" s="44"/>
    </row>
    <row r="137" spans="1:723" s="23" customFormat="1" ht="15" hidden="1" customHeight="1" outlineLevel="2">
      <c r="A137" s="557"/>
      <c r="B137" s="393" t="s">
        <v>198</v>
      </c>
      <c r="C137" s="239"/>
      <c r="D137" s="308" t="s">
        <v>55</v>
      </c>
      <c r="E137" s="368">
        <f t="shared" si="785"/>
        <v>1</v>
      </c>
      <c r="F137" s="491">
        <f t="shared" ca="1" si="786"/>
        <v>-5</v>
      </c>
      <c r="G137" s="383">
        <f t="shared" si="787"/>
        <v>41478</v>
      </c>
      <c r="H137" s="369">
        <f t="shared" si="788"/>
        <v>41478</v>
      </c>
      <c r="I137" s="587"/>
      <c r="J137" s="47"/>
      <c r="K137" s="590"/>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7"/>
      <c r="AAB137"/>
      <c r="AAC137"/>
      <c r="AAD137" s="112"/>
      <c r="AAE137" s="551">
        <f t="shared" si="767"/>
        <v>1</v>
      </c>
      <c r="AAF137" s="112" t="s">
        <v>0</v>
      </c>
      <c r="AAG137" s="78">
        <f t="shared" ref="AAG137" si="790">H136</f>
        <v>41478</v>
      </c>
      <c r="AAH137" s="78">
        <f t="shared" si="789"/>
        <v>41478</v>
      </c>
      <c r="AAI137" s="77"/>
      <c r="AAJ137" s="77"/>
      <c r="AAK137" s="77"/>
      <c r="AAL137" s="56"/>
      <c r="AAM137" s="112"/>
      <c r="AAU137" s="44"/>
    </row>
    <row r="138" spans="1:723" s="23" customFormat="1" ht="15" hidden="1" customHeight="1" outlineLevel="2">
      <c r="A138" s="557"/>
      <c r="B138" s="393" t="s">
        <v>192</v>
      </c>
      <c r="C138" s="239"/>
      <c r="D138" s="308" t="s">
        <v>55</v>
      </c>
      <c r="E138" s="368">
        <f t="shared" si="785"/>
        <v>1</v>
      </c>
      <c r="F138" s="491">
        <f t="shared" ca="1" si="786"/>
        <v>-5</v>
      </c>
      <c r="G138" s="383">
        <f t="shared" si="787"/>
        <v>41478</v>
      </c>
      <c r="H138" s="369">
        <f t="shared" si="788"/>
        <v>41478</v>
      </c>
      <c r="I138" s="587"/>
      <c r="J138" s="47"/>
      <c r="K138" s="590"/>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7"/>
      <c r="AAB138"/>
      <c r="AAC138"/>
      <c r="AAD138" s="112"/>
      <c r="AAE138" s="551">
        <f t="shared" si="767"/>
        <v>1</v>
      </c>
      <c r="AAF138" s="112" t="s">
        <v>0</v>
      </c>
      <c r="AAG138" s="78">
        <f>H137</f>
        <v>41478</v>
      </c>
      <c r="AAH138" s="78">
        <f t="shared" si="789"/>
        <v>41478</v>
      </c>
      <c r="AAI138" s="77"/>
      <c r="AAJ138" s="77"/>
      <c r="AAK138" s="77"/>
      <c r="AAL138" s="56"/>
      <c r="AAM138" s="112"/>
      <c r="AAU138" s="44"/>
    </row>
    <row r="139" spans="1:723" s="23" customFormat="1" ht="15" hidden="1" customHeight="1" outlineLevel="2">
      <c r="A139" s="557"/>
      <c r="B139" s="393" t="s">
        <v>193</v>
      </c>
      <c r="C139" s="239"/>
      <c r="D139" s="308" t="s">
        <v>55</v>
      </c>
      <c r="E139" s="368">
        <f t="shared" si="785"/>
        <v>1</v>
      </c>
      <c r="F139" s="491">
        <f t="shared" ca="1" si="786"/>
        <v>-5</v>
      </c>
      <c r="G139" s="383">
        <f t="shared" si="787"/>
        <v>41478</v>
      </c>
      <c r="H139" s="369">
        <f t="shared" si="788"/>
        <v>41478</v>
      </c>
      <c r="I139" s="587"/>
      <c r="J139" s="47"/>
      <c r="K139" s="590"/>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7"/>
      <c r="AAB139"/>
      <c r="AAC139"/>
      <c r="AAD139" s="112"/>
      <c r="AAE139" s="551">
        <f t="shared" si="767"/>
        <v>1</v>
      </c>
      <c r="AAF139" s="112" t="s">
        <v>0</v>
      </c>
      <c r="AAG139" s="78">
        <f t="shared" ref="AAG139" si="791">H138</f>
        <v>41478</v>
      </c>
      <c r="AAH139" s="78">
        <f t="shared" si="789"/>
        <v>41478</v>
      </c>
      <c r="AAI139" s="77"/>
      <c r="AAJ139" s="77"/>
      <c r="AAK139" s="77"/>
      <c r="AAL139" s="56"/>
      <c r="AAM139" s="112"/>
      <c r="AAU139" s="44"/>
    </row>
    <row r="140" spans="1:723" s="23" customFormat="1" ht="15" hidden="1" customHeight="1" outlineLevel="2">
      <c r="A140" s="557"/>
      <c r="B140" s="394" t="s">
        <v>188</v>
      </c>
      <c r="C140" s="710"/>
      <c r="D140" s="386"/>
      <c r="E140" s="127"/>
      <c r="F140" s="127"/>
      <c r="G140" s="127"/>
      <c r="H140" s="127"/>
      <c r="I140" s="587"/>
      <c r="J140" s="47"/>
      <c r="K140" s="590"/>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6"/>
      <c r="ZZ140" s="621"/>
      <c r="AAA140" s="587"/>
      <c r="AAB140"/>
      <c r="AAC140"/>
      <c r="AAD140" s="112"/>
      <c r="AAE140" s="551">
        <f t="shared" si="767"/>
        <v>1</v>
      </c>
      <c r="AAF140" s="582" t="s">
        <v>172</v>
      </c>
      <c r="AAG140" s="39"/>
      <c r="AAH140" s="39"/>
      <c r="AAI140" s="39"/>
      <c r="AAJ140" s="56"/>
      <c r="AAK140" s="56"/>
      <c r="AAL140" s="56"/>
      <c r="AAM140" s="112"/>
      <c r="AAU140" s="44"/>
    </row>
    <row r="141" spans="1:723" s="23" customFormat="1" ht="15" hidden="1" customHeight="1" outlineLevel="2">
      <c r="A141" s="557"/>
      <c r="B141" s="377" t="str">
        <f ca="1">"Draft COMMITTEE.NOTICE."&amp;TEXT($G$127,"mm.dd.yy")&amp;""</f>
        <v>Draft COMMITTEE.NOTICE.07.29.13</v>
      </c>
      <c r="C141" s="239"/>
      <c r="D141" s="308" t="s">
        <v>377</v>
      </c>
      <c r="E141" s="368">
        <f t="shared" ref="E141" si="792">NETWORKDAYS(G141,H141,S.DDL_DEQClosed)</f>
        <v>1</v>
      </c>
      <c r="F141" s="491">
        <f t="shared" ref="F141" ca="1" si="793">NETWORKDAYS(TODAY(),H141)</f>
        <v>-5</v>
      </c>
      <c r="G141" s="383">
        <f t="shared" ref="G141" si="794">AAG141</f>
        <v>41478</v>
      </c>
      <c r="H141" s="369">
        <f t="shared" ref="H141" si="795">AAH141</f>
        <v>41478</v>
      </c>
      <c r="I141" s="587"/>
      <c r="J141" s="47"/>
      <c r="K141" s="590"/>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7"/>
      <c r="AAB141"/>
      <c r="AAC141"/>
      <c r="AAD141" s="112"/>
      <c r="AAE141" s="551">
        <f t="shared" si="767"/>
        <v>1</v>
      </c>
      <c r="AAF141" s="112" t="s">
        <v>0</v>
      </c>
      <c r="AAG141" s="78">
        <f>H139</f>
        <v>41478</v>
      </c>
      <c r="AAH141" s="78">
        <f t="shared" ref="AAH141" si="796">G141</f>
        <v>41478</v>
      </c>
      <c r="AAI141" s="77"/>
      <c r="AAJ141" s="77"/>
      <c r="AAK141" s="77"/>
      <c r="AAL141" s="89" t="str">
        <f>"Draft "&amp;S.CodeName&amp;"COMMITTEE.NOTICE.mm.dd.yyyy.2.00"</f>
        <v>Draft COMMITTEE.NOTICE.mm.dd.yyyy.2.00</v>
      </c>
      <c r="AAM141" s="112"/>
      <c r="AAU141" s="44"/>
    </row>
    <row r="142" spans="1:723" s="23" customFormat="1" ht="15" hidden="1" customHeight="1" outlineLevel="2">
      <c r="A142" s="557"/>
      <c r="B142" s="395" t="s">
        <v>21</v>
      </c>
      <c r="C142" s="245"/>
      <c r="D142" s="197"/>
      <c r="E142" s="123"/>
      <c r="F142" s="124"/>
      <c r="G142" s="246" t="s">
        <v>0</v>
      </c>
      <c r="H142" s="145"/>
      <c r="I142" s="587"/>
      <c r="J142" s="47"/>
      <c r="K142" s="590"/>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6"/>
      <c r="ZZ142" s="621"/>
      <c r="AAA142" s="587"/>
      <c r="AAB142"/>
      <c r="AAC142"/>
      <c r="AAD142" s="112"/>
      <c r="AAE142" s="551">
        <f t="shared" si="767"/>
        <v>1</v>
      </c>
      <c r="AAF142" s="582" t="s">
        <v>172</v>
      </c>
      <c r="AAG142" s="63"/>
      <c r="AAH142" s="76" t="s">
        <v>0</v>
      </c>
      <c r="AAI142" s="77"/>
      <c r="AAJ142" s="77"/>
      <c r="AAK142" s="77"/>
      <c r="AAL142" s="56"/>
      <c r="AAM142" s="112"/>
      <c r="AAU142" s="44"/>
    </row>
    <row r="143" spans="1:723" s="23" customFormat="1" ht="15" hidden="1" customHeight="1" outlineLevel="2">
      <c r="A143" s="557"/>
      <c r="B143" s="387" t="s">
        <v>197</v>
      </c>
      <c r="C143" s="168"/>
      <c r="D143" s="308" t="s">
        <v>157</v>
      </c>
      <c r="E143" s="368">
        <f>NETWORKDAYS(G143,H143,S.DDL_DEQClosed)</f>
        <v>1</v>
      </c>
      <c r="F143" s="491">
        <f ca="1">NETWORKDAYS(TODAY(),H143)</f>
        <v>-5</v>
      </c>
      <c r="G143" s="383">
        <f>AAG143</f>
        <v>41478</v>
      </c>
      <c r="H143" s="369">
        <f>AAH143</f>
        <v>41478</v>
      </c>
      <c r="I143" s="587"/>
      <c r="J143" s="47"/>
      <c r="K143" s="590"/>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7"/>
      <c r="AAB143"/>
      <c r="AAC143"/>
      <c r="AAD143" s="112"/>
      <c r="AAE143" s="551">
        <f t="shared" si="767"/>
        <v>1</v>
      </c>
      <c r="AAF143" s="112"/>
      <c r="AAG143" s="78">
        <f>H141</f>
        <v>41478</v>
      </c>
      <c r="AAH143" s="78">
        <f>G143</f>
        <v>41478</v>
      </c>
      <c r="AAI143" s="77"/>
      <c r="AAJ143" s="77"/>
      <c r="AAK143" s="77"/>
      <c r="AAL143" s="56"/>
      <c r="AAM143" s="112"/>
      <c r="AAU143" s="44"/>
    </row>
    <row r="144" spans="1:723" s="23" customFormat="1" ht="15" hidden="1" customHeight="1" outlineLevel="2">
      <c r="A144" s="557"/>
      <c r="B144" s="387" t="s">
        <v>54</v>
      </c>
      <c r="C144" s="168"/>
      <c r="D144" s="308" t="s">
        <v>358</v>
      </c>
      <c r="E144" s="368">
        <f t="shared" ref="E144:E146" si="797">NETWORKDAYS(G144,H144,S.DDL_DEQClosed)</f>
        <v>1</v>
      </c>
      <c r="F144" s="491">
        <f t="shared" ref="F144:F146" ca="1" si="798">NETWORKDAYS(TODAY(),H144)</f>
        <v>-5</v>
      </c>
      <c r="G144" s="383">
        <f t="shared" ref="G144:G146" si="799">AAG144</f>
        <v>41478</v>
      </c>
      <c r="H144" s="369">
        <f t="shared" ref="H144:H146" si="800">AAH144</f>
        <v>41478</v>
      </c>
      <c r="I144" s="587"/>
      <c r="J144" s="47"/>
      <c r="K144" s="590"/>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7"/>
      <c r="AAB144"/>
      <c r="AAC144"/>
      <c r="AAD144" s="112"/>
      <c r="AAE144" s="551">
        <f t="shared" si="767"/>
        <v>1</v>
      </c>
      <c r="AAF144" s="112"/>
      <c r="AAG144" s="78">
        <f>H143</f>
        <v>41478</v>
      </c>
      <c r="AAH144" s="78">
        <f t="shared" ref="AAH144:AAH146" si="801">G144</f>
        <v>41478</v>
      </c>
      <c r="AAI144" s="77"/>
      <c r="AAJ144" s="77"/>
      <c r="AAK144" s="77"/>
      <c r="AAL144" s="56"/>
      <c r="AAM144" s="112"/>
      <c r="AAU144" s="44"/>
    </row>
    <row r="145" spans="1:723" s="23" customFormat="1" ht="15" hidden="1" customHeight="1" outlineLevel="2">
      <c r="A145" s="557"/>
      <c r="B145" s="404" t="str">
        <f ca="1">"Draft MINUTES."&amp;TEXT($G$127,"mm.dd.yy")&amp;""</f>
        <v>Draft MINUTES.07.29.13</v>
      </c>
      <c r="C145" s="231" t="s">
        <v>70</v>
      </c>
      <c r="D145" s="278" t="s">
        <v>377</v>
      </c>
      <c r="E145" s="368">
        <f t="shared" si="797"/>
        <v>1</v>
      </c>
      <c r="F145" s="491">
        <f t="shared" ca="1" si="798"/>
        <v>-5</v>
      </c>
      <c r="G145" s="383">
        <f t="shared" si="799"/>
        <v>41478</v>
      </c>
      <c r="H145" s="369">
        <f t="shared" si="800"/>
        <v>41478</v>
      </c>
      <c r="I145" s="587"/>
      <c r="J145" s="47"/>
      <c r="K145" s="590"/>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7"/>
      <c r="AAB145"/>
      <c r="AAC145"/>
      <c r="AAD145" s="112"/>
      <c r="AAE145" s="551">
        <f t="shared" si="767"/>
        <v>1</v>
      </c>
      <c r="AAF145" s="112"/>
      <c r="AAG145" s="78">
        <f t="shared" ref="AAG145:AAG146" si="802">H144</f>
        <v>41478</v>
      </c>
      <c r="AAH145" s="78">
        <f t="shared" si="801"/>
        <v>41478</v>
      </c>
      <c r="AAI145" s="77"/>
      <c r="AAJ145" s="77"/>
      <c r="AAK145" s="77"/>
      <c r="AAL145" s="89" t="str">
        <f>"Draft "&amp;S.CodeName&amp;"MINUTES.mm.dd.yyy.2.00"</f>
        <v>Draft MINUTES.mm.dd.yyy.2.00</v>
      </c>
      <c r="AAM145" s="112"/>
      <c r="AAU145" s="44"/>
    </row>
    <row r="146" spans="1:723" s="23" customFormat="1" ht="15" hidden="1" customHeight="1" outlineLevel="2">
      <c r="A146" s="557"/>
      <c r="B146" s="387" t="s">
        <v>53</v>
      </c>
      <c r="C146" s="168"/>
      <c r="D146" s="169" t="s">
        <v>358</v>
      </c>
      <c r="E146" s="368">
        <f t="shared" si="797"/>
        <v>1</v>
      </c>
      <c r="F146" s="491">
        <f t="shared" ca="1" si="798"/>
        <v>-5</v>
      </c>
      <c r="G146" s="383">
        <f t="shared" si="799"/>
        <v>41478</v>
      </c>
      <c r="H146" s="369">
        <f t="shared" si="800"/>
        <v>41478</v>
      </c>
      <c r="I146" s="587"/>
      <c r="J146" s="47"/>
      <c r="K146" s="590"/>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7"/>
      <c r="AAB146"/>
      <c r="AAC146"/>
      <c r="AAD146" s="112"/>
      <c r="AAE146" s="551">
        <f t="shared" si="767"/>
        <v>1</v>
      </c>
      <c r="AAF146" s="112"/>
      <c r="AAG146" s="78">
        <f t="shared" si="802"/>
        <v>41478</v>
      </c>
      <c r="AAH146" s="78">
        <f t="shared" si="801"/>
        <v>41478</v>
      </c>
      <c r="AAI146" s="77"/>
      <c r="AAJ146" s="77"/>
      <c r="AAK146" s="77"/>
      <c r="AAL146" s="56"/>
      <c r="AAM146" s="112"/>
      <c r="AAU146" s="44"/>
    </row>
    <row r="147" spans="1:723" s="23" customFormat="1" ht="18" hidden="1" customHeight="1" outlineLevel="1" collapsed="1">
      <c r="A147" s="557"/>
      <c r="B147" s="244" t="s">
        <v>58</v>
      </c>
      <c r="C147" s="168"/>
      <c r="D147" s="758"/>
      <c r="E147" s="758"/>
      <c r="F147" s="758"/>
      <c r="G147" s="388">
        <f ca="1">TODAY()</f>
        <v>41484</v>
      </c>
      <c r="H147" s="388" t="s">
        <v>189</v>
      </c>
      <c r="I147" s="587"/>
      <c r="J147" s="47"/>
      <c r="K147" s="590"/>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6"/>
      <c r="ZZ147" s="621"/>
      <c r="AAA147" s="587"/>
      <c r="AAB147"/>
      <c r="AAC147"/>
      <c r="AAD147" s="112"/>
      <c r="AAE147" s="551">
        <f t="shared" si="767"/>
        <v>1</v>
      </c>
      <c r="AAF147" s="582" t="s">
        <v>172</v>
      </c>
      <c r="AAG147" s="39" t="s">
        <v>0</v>
      </c>
      <c r="AAH147" s="39" t="s">
        <v>0</v>
      </c>
      <c r="AAI147" s="77"/>
      <c r="AAJ147" s="77"/>
      <c r="AAK147" s="77"/>
      <c r="AAL147" s="56"/>
      <c r="AAM147" s="112"/>
      <c r="AAU147" s="44"/>
    </row>
    <row r="148" spans="1:723" s="23" customFormat="1" ht="15" hidden="1" customHeight="1" outlineLevel="2">
      <c r="A148" s="557"/>
      <c r="B148" s="238" t="s">
        <v>57</v>
      </c>
      <c r="C148" s="168"/>
      <c r="D148" s="169" t="s">
        <v>358</v>
      </c>
      <c r="E148" s="379">
        <f t="shared" ref="E148" si="803">NETWORKDAYS(G148,H148,S.DDL_DEQClosed)</f>
        <v>1</v>
      </c>
      <c r="F148" s="491">
        <f t="shared" ref="F148" ca="1" si="804">NETWORKDAYS(TODAY(),H148)</f>
        <v>-5</v>
      </c>
      <c r="G148" s="381">
        <f t="shared" ref="G148" si="805">AAG148</f>
        <v>41478</v>
      </c>
      <c r="H148" s="382">
        <f t="shared" ref="H148" si="806">AAH148</f>
        <v>41478</v>
      </c>
      <c r="I148" s="587"/>
      <c r="J148" s="47"/>
      <c r="K148" s="590"/>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7"/>
      <c r="AAB148"/>
      <c r="AAC148"/>
      <c r="AAD148" s="112"/>
      <c r="AAE148" s="551">
        <f t="shared" si="767"/>
        <v>1</v>
      </c>
      <c r="AAF148" s="112"/>
      <c r="AAG148" s="78">
        <f>H145</f>
        <v>41478</v>
      </c>
      <c r="AAH148" s="78">
        <f t="shared" ref="AAH148" si="807">G148</f>
        <v>41478</v>
      </c>
      <c r="AAI148" s="77"/>
      <c r="AAJ148" s="77"/>
      <c r="AAK148" s="77"/>
      <c r="AAL148" s="56"/>
      <c r="AAM148" s="112"/>
      <c r="AAU148" s="44"/>
    </row>
    <row r="149" spans="1:723" s="23" customFormat="1" ht="15" hidden="1" customHeight="1" outlineLevel="2">
      <c r="A149" s="557"/>
      <c r="B149" s="376" t="s">
        <v>56</v>
      </c>
      <c r="C149" s="166"/>
      <c r="D149" s="175"/>
      <c r="E149" s="160"/>
      <c r="F149" s="160"/>
      <c r="G149" s="161"/>
      <c r="H149" s="145"/>
      <c r="I149" s="587"/>
      <c r="J149" s="47"/>
      <c r="K149" s="590"/>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6"/>
      <c r="ZZ149" s="621"/>
      <c r="AAA149" s="587"/>
      <c r="AAB149"/>
      <c r="AAC149"/>
      <c r="AAD149" s="112"/>
      <c r="AAE149" s="551">
        <f t="shared" ref="AAE149:AAE180" si="808">IF(S.InvolveCommittee=TRUE,1,0)</f>
        <v>1</v>
      </c>
      <c r="AAF149" s="582" t="s">
        <v>172</v>
      </c>
      <c r="AAG149" s="63"/>
      <c r="AAH149" s="76"/>
      <c r="AAI149" s="76"/>
      <c r="AAJ149" s="56"/>
      <c r="AAK149" s="56"/>
      <c r="AAL149" s="56"/>
      <c r="AAM149" s="112"/>
      <c r="AAU149" s="44"/>
    </row>
    <row r="150" spans="1:723" s="23" customFormat="1" ht="15" hidden="1" customHeight="1" outlineLevel="2">
      <c r="A150" s="557"/>
      <c r="B150" s="377" t="str">
        <f ca="1">"Draft AGENDA."&amp;TEXT($G$147,"mm.dd.yy")&amp;""</f>
        <v>Draft AGENDA.07.29.13</v>
      </c>
      <c r="C150" s="231" t="s">
        <v>70</v>
      </c>
      <c r="D150" s="169" t="s">
        <v>55</v>
      </c>
      <c r="E150" s="379">
        <f t="shared" ref="E150:E154" si="809">NETWORKDAYS(G150,H150,S.DDL_DEQClosed)</f>
        <v>1</v>
      </c>
      <c r="F150" s="491">
        <f t="shared" ref="F150:F154" ca="1" si="810">NETWORKDAYS(TODAY(),H150)</f>
        <v>-5</v>
      </c>
      <c r="G150" s="381">
        <f t="shared" ref="G150:G154" si="811">AAG150</f>
        <v>41478</v>
      </c>
      <c r="H150" s="382">
        <f t="shared" ref="H150:H154" si="812">AAH150</f>
        <v>41478</v>
      </c>
      <c r="I150" s="587"/>
      <c r="J150" s="47"/>
      <c r="K150" s="590"/>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7"/>
      <c r="AAB150"/>
      <c r="AAC150"/>
      <c r="AAD150" s="112"/>
      <c r="AAE150" s="551">
        <f t="shared" si="808"/>
        <v>1</v>
      </c>
      <c r="AAF150" s="112" t="s">
        <v>0</v>
      </c>
      <c r="AAG150" s="78">
        <f>H148</f>
        <v>41478</v>
      </c>
      <c r="AAH150" s="78">
        <f>G150</f>
        <v>41478</v>
      </c>
      <c r="AAI150" s="77"/>
      <c r="AAJ150" s="77"/>
      <c r="AAK150" s="77"/>
      <c r="AAL150" s="89" t="str">
        <f>"Draft "&amp;S.CodeName&amp;"AGENDA.mm.dd.yyyy.2.00"</f>
        <v>Draft AGENDA.mm.dd.yyyy.2.00</v>
      </c>
      <c r="AAM150" s="112"/>
      <c r="AAU150" s="44"/>
    </row>
    <row r="151" spans="1:723" s="23" customFormat="1" ht="15" hidden="1" customHeight="1" outlineLevel="2">
      <c r="A151" s="557"/>
      <c r="B151" s="391" t="s">
        <v>194</v>
      </c>
      <c r="C151" s="239"/>
      <c r="D151" s="169" t="s">
        <v>55</v>
      </c>
      <c r="E151" s="379">
        <f t="shared" si="809"/>
        <v>1</v>
      </c>
      <c r="F151" s="491">
        <f t="shared" ca="1" si="810"/>
        <v>-5</v>
      </c>
      <c r="G151" s="381">
        <f t="shared" si="811"/>
        <v>41478</v>
      </c>
      <c r="H151" s="382">
        <f t="shared" si="812"/>
        <v>41478</v>
      </c>
      <c r="I151" s="587"/>
      <c r="J151" s="47"/>
      <c r="K151" s="590"/>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7"/>
      <c r="AAB151"/>
      <c r="AAC151"/>
      <c r="AAD151" s="112"/>
      <c r="AAE151" s="551">
        <f t="shared" si="808"/>
        <v>1</v>
      </c>
      <c r="AAF151" s="112" t="s">
        <v>0</v>
      </c>
      <c r="AAG151" s="78">
        <f>H150</f>
        <v>41478</v>
      </c>
      <c r="AAH151" s="78">
        <f t="shared" ref="AAH151:AAH154" si="813">G151</f>
        <v>41478</v>
      </c>
      <c r="AAI151" s="77"/>
      <c r="AAJ151" s="77"/>
      <c r="AAK151" s="77"/>
      <c r="AAL151" s="56"/>
      <c r="AAM151" s="112"/>
      <c r="AAU151" s="44"/>
    </row>
    <row r="152" spans="1:723" s="23" customFormat="1" ht="15" hidden="1" customHeight="1" outlineLevel="2">
      <c r="A152" s="557"/>
      <c r="B152" s="391" t="s">
        <v>194</v>
      </c>
      <c r="C152" s="239"/>
      <c r="D152" s="169" t="s">
        <v>55</v>
      </c>
      <c r="E152" s="379">
        <f t="shared" si="809"/>
        <v>1</v>
      </c>
      <c r="F152" s="491">
        <f t="shared" ca="1" si="810"/>
        <v>-5</v>
      </c>
      <c r="G152" s="381">
        <f t="shared" si="811"/>
        <v>41478</v>
      </c>
      <c r="H152" s="382">
        <f t="shared" si="812"/>
        <v>41478</v>
      </c>
      <c r="I152" s="587"/>
      <c r="J152" s="47"/>
      <c r="K152" s="590"/>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7"/>
      <c r="AAB152"/>
      <c r="AAC152"/>
      <c r="AAD152" s="112"/>
      <c r="AAE152" s="551">
        <f t="shared" si="808"/>
        <v>1</v>
      </c>
      <c r="AAF152" s="112" t="s">
        <v>0</v>
      </c>
      <c r="AAG152" s="78">
        <f>H151</f>
        <v>41478</v>
      </c>
      <c r="AAH152" s="78">
        <f t="shared" si="813"/>
        <v>41478</v>
      </c>
      <c r="AAI152" s="77"/>
      <c r="AAJ152" s="77"/>
      <c r="AAK152" s="77"/>
      <c r="AAL152" s="56"/>
      <c r="AAM152" s="112"/>
      <c r="AAU152" s="44"/>
    </row>
    <row r="153" spans="1:723" s="23" customFormat="1" ht="15" hidden="1" customHeight="1" outlineLevel="2">
      <c r="A153" s="557"/>
      <c r="B153" s="391" t="s">
        <v>194</v>
      </c>
      <c r="C153" s="239"/>
      <c r="D153" s="169" t="s">
        <v>55</v>
      </c>
      <c r="E153" s="379">
        <f t="shared" si="809"/>
        <v>1</v>
      </c>
      <c r="F153" s="491">
        <f t="shared" ca="1" si="810"/>
        <v>-5</v>
      </c>
      <c r="G153" s="381">
        <f t="shared" si="811"/>
        <v>41478</v>
      </c>
      <c r="H153" s="382">
        <f t="shared" si="812"/>
        <v>41478</v>
      </c>
      <c r="I153" s="587"/>
      <c r="J153" s="47"/>
      <c r="K153" s="590"/>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7"/>
      <c r="AAB153"/>
      <c r="AAC153"/>
      <c r="AAD153" s="112"/>
      <c r="AAE153" s="551">
        <f t="shared" si="808"/>
        <v>1</v>
      </c>
      <c r="AAF153" s="112" t="s">
        <v>0</v>
      </c>
      <c r="AAG153" s="78">
        <f>H152</f>
        <v>41478</v>
      </c>
      <c r="AAH153" s="78">
        <f t="shared" si="813"/>
        <v>41478</v>
      </c>
      <c r="AAI153" s="77"/>
      <c r="AAJ153" s="77"/>
      <c r="AAK153" s="77"/>
      <c r="AAL153" s="56"/>
      <c r="AAM153" s="112"/>
      <c r="AAU153" s="44"/>
    </row>
    <row r="154" spans="1:723" s="23" customFormat="1" ht="15" hidden="1" customHeight="1" outlineLevel="2">
      <c r="A154" s="557"/>
      <c r="B154" s="391" t="s">
        <v>194</v>
      </c>
      <c r="C154" s="239"/>
      <c r="D154" s="169" t="s">
        <v>55</v>
      </c>
      <c r="E154" s="379">
        <f t="shared" si="809"/>
        <v>1</v>
      </c>
      <c r="F154" s="491">
        <f t="shared" ca="1" si="810"/>
        <v>-5</v>
      </c>
      <c r="G154" s="381">
        <f t="shared" si="811"/>
        <v>41478</v>
      </c>
      <c r="H154" s="382">
        <f t="shared" si="812"/>
        <v>41478</v>
      </c>
      <c r="I154" s="587"/>
      <c r="J154" s="47"/>
      <c r="K154" s="590"/>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7"/>
      <c r="AAB154"/>
      <c r="AAC154"/>
      <c r="AAD154" s="112"/>
      <c r="AAE154" s="551">
        <f t="shared" si="808"/>
        <v>1</v>
      </c>
      <c r="AAF154" s="112" t="s">
        <v>0</v>
      </c>
      <c r="AAG154" s="78">
        <f t="shared" ref="AAG154" si="814">H153</f>
        <v>41478</v>
      </c>
      <c r="AAH154" s="78">
        <f t="shared" si="813"/>
        <v>41478</v>
      </c>
      <c r="AAI154" s="77"/>
      <c r="AAJ154" s="77"/>
      <c r="AAK154" s="77"/>
      <c r="AAL154" s="56"/>
      <c r="AAM154" s="112"/>
      <c r="AAU154" s="44"/>
    </row>
    <row r="155" spans="1:723" s="23" customFormat="1" ht="15" hidden="1" customHeight="1" outlineLevel="2">
      <c r="A155" s="557"/>
      <c r="B155" s="392" t="s">
        <v>187</v>
      </c>
      <c r="C155" s="709"/>
      <c r="D155" s="167"/>
      <c r="E155" s="167"/>
      <c r="F155" s="167"/>
      <c r="G155" s="167"/>
      <c r="H155" s="167"/>
      <c r="I155" s="587"/>
      <c r="J155" s="47"/>
      <c r="K155" s="590"/>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6"/>
      <c r="ZZ155" s="621"/>
      <c r="AAA155" s="587"/>
      <c r="AAB155"/>
      <c r="AAC155"/>
      <c r="AAD155" s="112"/>
      <c r="AAE155" s="551">
        <f t="shared" si="808"/>
        <v>1</v>
      </c>
      <c r="AAF155" s="582" t="s">
        <v>172</v>
      </c>
      <c r="AAG155" s="39"/>
      <c r="AAH155" s="39"/>
      <c r="AAI155" s="39"/>
      <c r="AAJ155" s="56"/>
      <c r="AAK155" s="56"/>
      <c r="AAL155" s="56"/>
      <c r="AAM155" s="112"/>
      <c r="AAU155" s="44"/>
    </row>
    <row r="156" spans="1:723" s="23" customFormat="1" ht="15" hidden="1" customHeight="1" outlineLevel="2">
      <c r="A156" s="557"/>
      <c r="B156" s="393" t="str">
        <f ca="1">"Draft optional PRESENTATION."&amp;TEXT($G$147,"mm.dd.yy")&amp;""</f>
        <v>Draft optional PRESENTATION.07.29.13</v>
      </c>
      <c r="C156" s="231" t="s">
        <v>70</v>
      </c>
      <c r="D156" s="169" t="s">
        <v>55</v>
      </c>
      <c r="E156" s="379">
        <f t="shared" ref="E156:E159" si="815">NETWORKDAYS(G156,H156,S.DDL_DEQClosed)</f>
        <v>1</v>
      </c>
      <c r="F156" s="491">
        <f t="shared" ref="F156:F159" ca="1" si="816">NETWORKDAYS(TODAY(),H156)</f>
        <v>-5</v>
      </c>
      <c r="G156" s="381">
        <f t="shared" ref="G156:G159" si="817">AAG156</f>
        <v>41478</v>
      </c>
      <c r="H156" s="382">
        <f t="shared" ref="H156:H159" si="818">AAH156</f>
        <v>41478</v>
      </c>
      <c r="I156" s="587"/>
      <c r="J156" s="47"/>
      <c r="K156" s="590"/>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7"/>
      <c r="AAB156"/>
      <c r="AAC156"/>
      <c r="AAD156" s="112"/>
      <c r="AAE156" s="551">
        <f t="shared" si="808"/>
        <v>1</v>
      </c>
      <c r="AAF156" s="112" t="s">
        <v>0</v>
      </c>
      <c r="AAG156" s="78">
        <f>H154</f>
        <v>41478</v>
      </c>
      <c r="AAH156" s="78">
        <f t="shared" ref="AAH156:AAH159" si="819">G156</f>
        <v>41478</v>
      </c>
      <c r="AAI156" s="63"/>
      <c r="AAJ156" s="56"/>
      <c r="AAK156" s="56"/>
      <c r="AAL156" s="56"/>
      <c r="AAM156" s="112"/>
      <c r="AAU156" s="44"/>
    </row>
    <row r="157" spans="1:723" s="23" customFormat="1" ht="15" hidden="1" customHeight="1" outlineLevel="2">
      <c r="A157" s="557"/>
      <c r="B157" s="393" t="s">
        <v>198</v>
      </c>
      <c r="C157" s="239"/>
      <c r="D157" s="169" t="s">
        <v>55</v>
      </c>
      <c r="E157" s="379">
        <f t="shared" si="815"/>
        <v>1</v>
      </c>
      <c r="F157" s="491">
        <f t="shared" ca="1" si="816"/>
        <v>-5</v>
      </c>
      <c r="G157" s="381">
        <f t="shared" si="817"/>
        <v>41478</v>
      </c>
      <c r="H157" s="382">
        <f t="shared" si="818"/>
        <v>41478</v>
      </c>
      <c r="I157" s="587"/>
      <c r="J157" s="47"/>
      <c r="K157" s="590"/>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7"/>
      <c r="AAB157"/>
      <c r="AAC157"/>
      <c r="AAD157" s="112"/>
      <c r="AAE157" s="551">
        <f t="shared" si="808"/>
        <v>1</v>
      </c>
      <c r="AAF157" s="112" t="s">
        <v>0</v>
      </c>
      <c r="AAG157" s="78">
        <f t="shared" ref="AAG157" si="820">H156</f>
        <v>41478</v>
      </c>
      <c r="AAH157" s="78">
        <f t="shared" si="819"/>
        <v>41478</v>
      </c>
      <c r="AAI157" s="63"/>
      <c r="AAJ157" s="56"/>
      <c r="AAK157" s="56"/>
      <c r="AAL157" s="56"/>
      <c r="AAM157" s="112"/>
      <c r="AAU157" s="44"/>
    </row>
    <row r="158" spans="1:723" s="23" customFormat="1" ht="15" hidden="1" customHeight="1" outlineLevel="2">
      <c r="A158" s="557"/>
      <c r="B158" s="393" t="s">
        <v>192</v>
      </c>
      <c r="C158" s="239"/>
      <c r="D158" s="169" t="s">
        <v>55</v>
      </c>
      <c r="E158" s="379">
        <f t="shared" si="815"/>
        <v>1</v>
      </c>
      <c r="F158" s="491">
        <f t="shared" ca="1" si="816"/>
        <v>-5</v>
      </c>
      <c r="G158" s="381">
        <f t="shared" si="817"/>
        <v>41478</v>
      </c>
      <c r="H158" s="382">
        <f t="shared" si="818"/>
        <v>41478</v>
      </c>
      <c r="I158" s="587"/>
      <c r="J158" s="47"/>
      <c r="K158" s="590"/>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7"/>
      <c r="AAB158"/>
      <c r="AAC158"/>
      <c r="AAD158" s="112"/>
      <c r="AAE158" s="551">
        <f t="shared" si="808"/>
        <v>1</v>
      </c>
      <c r="AAF158" s="112" t="s">
        <v>0</v>
      </c>
      <c r="AAG158" s="78">
        <f>H157</f>
        <v>41478</v>
      </c>
      <c r="AAH158" s="78">
        <f t="shared" si="819"/>
        <v>41478</v>
      </c>
      <c r="AAI158" s="63"/>
      <c r="AAJ158" s="56"/>
      <c r="AAK158" s="56"/>
      <c r="AAL158" s="56"/>
      <c r="AAM158" s="112"/>
      <c r="AAU158" s="44"/>
    </row>
    <row r="159" spans="1:723" s="23" customFormat="1" ht="15" hidden="1" customHeight="1" outlineLevel="2">
      <c r="A159" s="557"/>
      <c r="B159" s="393" t="s">
        <v>193</v>
      </c>
      <c r="C159" s="239"/>
      <c r="D159" s="169" t="s">
        <v>55</v>
      </c>
      <c r="E159" s="379">
        <f t="shared" si="815"/>
        <v>1</v>
      </c>
      <c r="F159" s="491">
        <f t="shared" ca="1" si="816"/>
        <v>-5</v>
      </c>
      <c r="G159" s="381">
        <f t="shared" si="817"/>
        <v>41478</v>
      </c>
      <c r="H159" s="382">
        <f t="shared" si="818"/>
        <v>41478</v>
      </c>
      <c r="I159" s="587"/>
      <c r="J159" s="47"/>
      <c r="K159" s="590"/>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7"/>
      <c r="AAB159"/>
      <c r="AAC159"/>
      <c r="AAD159" s="112"/>
      <c r="AAE159" s="551">
        <f t="shared" si="808"/>
        <v>1</v>
      </c>
      <c r="AAF159" s="112" t="s">
        <v>0</v>
      </c>
      <c r="AAG159" s="78">
        <f t="shared" ref="AAG159" si="821">H158</f>
        <v>41478</v>
      </c>
      <c r="AAH159" s="78">
        <f t="shared" si="819"/>
        <v>41478</v>
      </c>
      <c r="AAI159" s="63"/>
      <c r="AAJ159" s="56"/>
      <c r="AAK159" s="56"/>
      <c r="AAL159" s="56"/>
      <c r="AAM159" s="112"/>
      <c r="AAU159" s="44"/>
    </row>
    <row r="160" spans="1:723" s="23" customFormat="1" ht="15" hidden="1" customHeight="1" outlineLevel="2">
      <c r="A160" s="557"/>
      <c r="B160" s="394" t="s">
        <v>188</v>
      </c>
      <c r="C160" s="710"/>
      <c r="D160" s="122"/>
      <c r="E160" s="122"/>
      <c r="F160" s="122"/>
      <c r="G160" s="122"/>
      <c r="H160" s="122"/>
      <c r="I160" s="587"/>
      <c r="J160" s="47"/>
      <c r="K160" s="590"/>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6"/>
      <c r="ZZ160" s="621"/>
      <c r="AAA160" s="587"/>
      <c r="AAB160"/>
      <c r="AAC160"/>
      <c r="AAD160" s="112"/>
      <c r="AAE160" s="551">
        <f t="shared" si="808"/>
        <v>1</v>
      </c>
      <c r="AAF160" s="582" t="s">
        <v>172</v>
      </c>
      <c r="AAG160" s="39"/>
      <c r="AAH160" s="39"/>
      <c r="AAI160" s="39"/>
      <c r="AAJ160" s="56"/>
      <c r="AAK160" s="56"/>
      <c r="AAL160" s="56"/>
      <c r="AAM160" s="112"/>
      <c r="AAU160" s="44"/>
    </row>
    <row r="161" spans="1:723" s="23" customFormat="1" ht="15" hidden="1" customHeight="1" outlineLevel="2">
      <c r="A161" s="557"/>
      <c r="B161" s="377" t="str">
        <f ca="1">"Draft COMMITTEE.NOTICE."&amp;TEXT($G$147,"mm.dd.yy")&amp;""</f>
        <v>Draft COMMITTEE.NOTICE.07.29.13</v>
      </c>
      <c r="C161" s="239"/>
      <c r="D161" s="169" t="s">
        <v>377</v>
      </c>
      <c r="E161" s="379">
        <f t="shared" ref="E161" si="822">NETWORKDAYS(G161,H161,S.DDL_DEQClosed)</f>
        <v>1</v>
      </c>
      <c r="F161" s="491">
        <f t="shared" ref="F161" ca="1" si="823">NETWORKDAYS(TODAY(),H161)</f>
        <v>-5</v>
      </c>
      <c r="G161" s="381">
        <f t="shared" ref="G161" si="824">AAG161</f>
        <v>41478</v>
      </c>
      <c r="H161" s="382">
        <f t="shared" ref="H161" si="825">AAH161</f>
        <v>41478</v>
      </c>
      <c r="I161" s="587"/>
      <c r="J161" s="47"/>
      <c r="K161" s="590"/>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7"/>
      <c r="AAB161"/>
      <c r="AAC161"/>
      <c r="AAD161" s="112"/>
      <c r="AAE161" s="551">
        <f t="shared" si="808"/>
        <v>1</v>
      </c>
      <c r="AAF161" s="112" t="s">
        <v>0</v>
      </c>
      <c r="AAG161" s="78">
        <f>H159</f>
        <v>41478</v>
      </c>
      <c r="AAH161" s="78">
        <f t="shared" ref="AAH161" si="826">G161</f>
        <v>41478</v>
      </c>
      <c r="AAI161" s="77"/>
      <c r="AAJ161" s="77"/>
      <c r="AAK161" s="77"/>
      <c r="AAL161" s="89" t="str">
        <f>"Draft "&amp;S.CodeName&amp;"COMMITTEE.NOTICE.mm.dd.yyyy.2.00"</f>
        <v>Draft COMMITTEE.NOTICE.mm.dd.yyyy.2.00</v>
      </c>
      <c r="AAM161" s="112"/>
      <c r="AAU161" s="44"/>
    </row>
    <row r="162" spans="1:723" s="23" customFormat="1" ht="15" hidden="1" customHeight="1" outlineLevel="2">
      <c r="A162" s="557"/>
      <c r="B162" s="395" t="s">
        <v>21</v>
      </c>
      <c r="C162" s="245"/>
      <c r="D162" s="196"/>
      <c r="E162" s="123"/>
      <c r="F162" s="124"/>
      <c r="G162" s="246" t="s">
        <v>0</v>
      </c>
      <c r="H162" s="145"/>
      <c r="I162" s="587"/>
      <c r="J162" s="47"/>
      <c r="K162" s="590"/>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6"/>
      <c r="ZZ162" s="621"/>
      <c r="AAA162" s="587"/>
      <c r="AAB162"/>
      <c r="AAC162"/>
      <c r="AAD162" s="112"/>
      <c r="AAE162" s="551">
        <f t="shared" si="808"/>
        <v>1</v>
      </c>
      <c r="AAF162" s="582" t="s">
        <v>172</v>
      </c>
      <c r="AAG162" s="63"/>
      <c r="AAH162" s="76" t="s">
        <v>0</v>
      </c>
      <c r="AAI162" s="77"/>
      <c r="AAJ162" s="77"/>
      <c r="AAK162" s="77"/>
      <c r="AAL162" s="56"/>
      <c r="AAM162" s="112"/>
      <c r="AAU162" s="44"/>
    </row>
    <row r="163" spans="1:723" s="23" customFormat="1" ht="15" hidden="1" customHeight="1" outlineLevel="2">
      <c r="A163" s="557"/>
      <c r="B163" s="387" t="s">
        <v>197</v>
      </c>
      <c r="C163" s="168"/>
      <c r="D163" s="169" t="s">
        <v>157</v>
      </c>
      <c r="E163" s="379">
        <f>NETWORKDAYS(G163,H163,S.DDL_DEQClosed)</f>
        <v>1</v>
      </c>
      <c r="F163" s="491">
        <f ca="1">NETWORKDAYS(TODAY(),H163)</f>
        <v>-5</v>
      </c>
      <c r="G163" s="381">
        <f>AAG163</f>
        <v>41478</v>
      </c>
      <c r="H163" s="382">
        <f>AAH163</f>
        <v>41478</v>
      </c>
      <c r="I163" s="587"/>
      <c r="J163" s="47"/>
      <c r="K163" s="590"/>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7"/>
      <c r="AAB163"/>
      <c r="AAC163"/>
      <c r="AAD163" s="112"/>
      <c r="AAE163" s="551">
        <f t="shared" si="808"/>
        <v>1</v>
      </c>
      <c r="AAF163" s="112"/>
      <c r="AAG163" s="78">
        <f>H161</f>
        <v>41478</v>
      </c>
      <c r="AAH163" s="78">
        <f>G163</f>
        <v>41478</v>
      </c>
      <c r="AAI163" s="77"/>
      <c r="AAJ163" s="77"/>
      <c r="AAK163" s="77"/>
      <c r="AAL163" s="56"/>
      <c r="AAM163" s="112"/>
      <c r="AAU163" s="44"/>
    </row>
    <row r="164" spans="1:723" s="23" customFormat="1" ht="15" hidden="1" customHeight="1" outlineLevel="2">
      <c r="A164" s="557"/>
      <c r="B164" s="387" t="s">
        <v>54</v>
      </c>
      <c r="C164" s="168"/>
      <c r="D164" s="169" t="s">
        <v>358</v>
      </c>
      <c r="E164" s="379">
        <f t="shared" ref="E164:E166" si="827">NETWORKDAYS(G164,H164,S.DDL_DEQClosed)</f>
        <v>1</v>
      </c>
      <c r="F164" s="491">
        <f t="shared" ref="F164:F166" ca="1" si="828">NETWORKDAYS(TODAY(),H164)</f>
        <v>-5</v>
      </c>
      <c r="G164" s="381">
        <f t="shared" ref="G164:G166" si="829">AAG164</f>
        <v>41478</v>
      </c>
      <c r="H164" s="382">
        <f t="shared" ref="H164:H166" si="830">AAH164</f>
        <v>41478</v>
      </c>
      <c r="I164" s="587"/>
      <c r="J164" s="47"/>
      <c r="K164" s="590"/>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7"/>
      <c r="AAB164"/>
      <c r="AAC164"/>
      <c r="AAD164" s="112"/>
      <c r="AAE164" s="551">
        <f t="shared" si="808"/>
        <v>1</v>
      </c>
      <c r="AAF164" s="112"/>
      <c r="AAG164" s="78">
        <f>H163</f>
        <v>41478</v>
      </c>
      <c r="AAH164" s="78">
        <f t="shared" ref="AAH164:AAH166" si="831">G164</f>
        <v>41478</v>
      </c>
      <c r="AAI164" s="77"/>
      <c r="AAJ164" s="77"/>
      <c r="AAK164" s="77"/>
      <c r="AAL164" s="56"/>
      <c r="AAM164" s="112"/>
      <c r="AAU164" s="44"/>
    </row>
    <row r="165" spans="1:723" s="23" customFormat="1" ht="15" hidden="1" customHeight="1" outlineLevel="2">
      <c r="A165" s="557"/>
      <c r="B165" s="404" t="str">
        <f ca="1">"Draft MINUTES."&amp;TEXT($G$147,"mm.dd.yy")&amp;""</f>
        <v>Draft MINUTES.07.29.13</v>
      </c>
      <c r="C165" s="231" t="s">
        <v>70</v>
      </c>
      <c r="D165" s="248" t="s">
        <v>377</v>
      </c>
      <c r="E165" s="379">
        <f t="shared" si="827"/>
        <v>1</v>
      </c>
      <c r="F165" s="491">
        <f t="shared" ca="1" si="828"/>
        <v>-5</v>
      </c>
      <c r="G165" s="381">
        <f t="shared" si="829"/>
        <v>41478</v>
      </c>
      <c r="H165" s="382">
        <f t="shared" si="830"/>
        <v>41478</v>
      </c>
      <c r="I165" s="587"/>
      <c r="J165" s="47"/>
      <c r="K165" s="590"/>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7"/>
      <c r="AAB165"/>
      <c r="AAC165"/>
      <c r="AAD165" s="112"/>
      <c r="AAE165" s="551">
        <f t="shared" si="808"/>
        <v>1</v>
      </c>
      <c r="AAF165" s="112"/>
      <c r="AAG165" s="78">
        <f t="shared" ref="AAG165:AAG166" si="832">H164</f>
        <v>41478</v>
      </c>
      <c r="AAH165" s="78">
        <f t="shared" si="831"/>
        <v>41478</v>
      </c>
      <c r="AAI165" s="77"/>
      <c r="AAJ165" s="77"/>
      <c r="AAK165" s="77"/>
      <c r="AAL165" s="89" t="str">
        <f>"Draft "&amp;S.CodeName&amp;"MINUTES.mm.dd.yyy.2.00"</f>
        <v>Draft MINUTES.mm.dd.yyy.2.00</v>
      </c>
      <c r="AAM165" s="112"/>
      <c r="AAU165" s="44"/>
    </row>
    <row r="166" spans="1:723" s="23" customFormat="1" ht="15" hidden="1" customHeight="1" outlineLevel="2">
      <c r="A166" s="557"/>
      <c r="B166" s="387" t="s">
        <v>53</v>
      </c>
      <c r="C166" s="168"/>
      <c r="D166" s="169" t="s">
        <v>358</v>
      </c>
      <c r="E166" s="379">
        <f t="shared" si="827"/>
        <v>1</v>
      </c>
      <c r="F166" s="491">
        <f t="shared" ca="1" si="828"/>
        <v>-5</v>
      </c>
      <c r="G166" s="381">
        <f t="shared" si="829"/>
        <v>41478</v>
      </c>
      <c r="H166" s="382">
        <f t="shared" si="830"/>
        <v>41478</v>
      </c>
      <c r="I166" s="587"/>
      <c r="J166" s="47"/>
      <c r="K166" s="590"/>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7"/>
      <c r="AAB166"/>
      <c r="AAC166"/>
      <c r="AAD166" s="112"/>
      <c r="AAE166" s="551">
        <f t="shared" si="808"/>
        <v>1</v>
      </c>
      <c r="AAF166" s="112"/>
      <c r="AAG166" s="78">
        <f t="shared" si="832"/>
        <v>41478</v>
      </c>
      <c r="AAH166" s="78">
        <f t="shared" si="831"/>
        <v>41478</v>
      </c>
      <c r="AAI166" s="77"/>
      <c r="AAJ166" s="77"/>
      <c r="AAK166" s="77"/>
      <c r="AAL166" s="56"/>
      <c r="AAM166" s="112"/>
      <c r="AAU166" s="44"/>
    </row>
    <row r="167" spans="1:723" s="23" customFormat="1" ht="18" hidden="1" customHeight="1" outlineLevel="1" collapsed="1">
      <c r="A167" s="557"/>
      <c r="B167" s="244" t="s">
        <v>91</v>
      </c>
      <c r="C167" s="168"/>
      <c r="D167" s="758"/>
      <c r="E167" s="758"/>
      <c r="F167" s="758"/>
      <c r="G167" s="406">
        <f ca="1">TODAY()</f>
        <v>41484</v>
      </c>
      <c r="H167" s="406" t="s">
        <v>189</v>
      </c>
      <c r="I167" s="587"/>
      <c r="J167" s="47"/>
      <c r="K167" s="590"/>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6"/>
      <c r="ZZ167" s="621"/>
      <c r="AAA167" s="587"/>
      <c r="AAB167"/>
      <c r="AAC167"/>
      <c r="AAD167" s="112"/>
      <c r="AAE167" s="551">
        <f t="shared" si="808"/>
        <v>1</v>
      </c>
      <c r="AAF167" s="582" t="s">
        <v>172</v>
      </c>
      <c r="AAG167" s="39" t="s">
        <v>0</v>
      </c>
      <c r="AAH167" s="39" t="s">
        <v>0</v>
      </c>
      <c r="AAI167" s="39"/>
      <c r="AAJ167" s="56"/>
      <c r="AAK167" s="56"/>
      <c r="AAL167" s="56"/>
      <c r="AAM167" s="112"/>
      <c r="AAU167" s="44"/>
    </row>
    <row r="168" spans="1:723" s="23" customFormat="1" ht="15" hidden="1" customHeight="1" outlineLevel="2">
      <c r="A168" s="557"/>
      <c r="B168" s="375" t="s">
        <v>57</v>
      </c>
      <c r="C168" s="168"/>
      <c r="D168" s="169" t="s">
        <v>358</v>
      </c>
      <c r="E168" s="368">
        <f t="shared" ref="E168" si="833">NETWORKDAYS(G168,H168,S.DDL_DEQClosed)</f>
        <v>1</v>
      </c>
      <c r="F168" s="491">
        <f t="shared" ref="F168" ca="1" si="834">NETWORKDAYS(TODAY(),H168)</f>
        <v>-5</v>
      </c>
      <c r="G168" s="383">
        <f t="shared" ref="G168" si="835">AAG168</f>
        <v>41478</v>
      </c>
      <c r="H168" s="369">
        <f t="shared" ref="H168" si="836">AAH168</f>
        <v>41478</v>
      </c>
      <c r="I168" s="587"/>
      <c r="J168" s="47"/>
      <c r="K168" s="590"/>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7"/>
      <c r="AAB168"/>
      <c r="AAC168"/>
      <c r="AAD168" s="112"/>
      <c r="AAE168" s="551">
        <f t="shared" si="808"/>
        <v>1</v>
      </c>
      <c r="AAF168" s="112"/>
      <c r="AAG168" s="78">
        <f>H165</f>
        <v>41478</v>
      </c>
      <c r="AAH168" s="78">
        <f t="shared" ref="AAH168" si="837">G168</f>
        <v>41478</v>
      </c>
      <c r="AAI168" s="63"/>
      <c r="AAJ168" s="56"/>
      <c r="AAK168" s="56"/>
      <c r="AAL168" s="56"/>
      <c r="AAM168" s="112"/>
      <c r="AAU168" s="44"/>
    </row>
    <row r="169" spans="1:723" s="23" customFormat="1" ht="15" hidden="1" customHeight="1" outlineLevel="2">
      <c r="A169" s="557"/>
      <c r="B169" s="376" t="s">
        <v>56</v>
      </c>
      <c r="C169" s="166"/>
      <c r="D169" s="175"/>
      <c r="E169" s="160"/>
      <c r="F169" s="160"/>
      <c r="G169" s="161"/>
      <c r="H169" s="145"/>
      <c r="I169" s="587"/>
      <c r="J169" s="47"/>
      <c r="K169" s="590"/>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6"/>
      <c r="ZZ169" s="621"/>
      <c r="AAA169" s="587"/>
      <c r="AAB169"/>
      <c r="AAC169"/>
      <c r="AAD169" s="112"/>
      <c r="AAE169" s="551">
        <f t="shared" si="808"/>
        <v>1</v>
      </c>
      <c r="AAF169" s="582" t="s">
        <v>172</v>
      </c>
      <c r="AAG169" s="63"/>
      <c r="AAH169" s="76"/>
      <c r="AAI169" s="76"/>
      <c r="AAJ169" s="56"/>
      <c r="AAK169" s="56"/>
      <c r="AAL169" s="56"/>
      <c r="AAM169" s="112"/>
      <c r="AAU169" s="44"/>
    </row>
    <row r="170" spans="1:723" s="23" customFormat="1" ht="15" hidden="1" customHeight="1" outlineLevel="2">
      <c r="A170" s="557"/>
      <c r="B170" s="377" t="str">
        <f ca="1">"Draft AGENDA."&amp;TEXT($G$167,"mm.dd.yy")&amp;""</f>
        <v>Draft AGENDA.07.29.13</v>
      </c>
      <c r="C170" s="231" t="s">
        <v>70</v>
      </c>
      <c r="D170" s="169" t="s">
        <v>55</v>
      </c>
      <c r="E170" s="368">
        <f t="shared" ref="E170:E174" si="838">NETWORKDAYS(G170,H170,S.DDL_DEQClosed)</f>
        <v>1</v>
      </c>
      <c r="F170" s="491">
        <f t="shared" ref="F170:F174" ca="1" si="839">NETWORKDAYS(TODAY(),H170)</f>
        <v>-5</v>
      </c>
      <c r="G170" s="383">
        <f t="shared" ref="G170:G174" si="840">AAG170</f>
        <v>41478</v>
      </c>
      <c r="H170" s="369">
        <f t="shared" ref="H170:H174" si="841">AAH170</f>
        <v>41478</v>
      </c>
      <c r="I170" s="587"/>
      <c r="J170" s="47"/>
      <c r="K170" s="590"/>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7"/>
      <c r="AAB170"/>
      <c r="AAC170"/>
      <c r="AAD170" s="112"/>
      <c r="AAE170" s="551">
        <f t="shared" si="808"/>
        <v>1</v>
      </c>
      <c r="AAF170" s="112" t="s">
        <v>0</v>
      </c>
      <c r="AAG170" s="78">
        <f>H168</f>
        <v>41478</v>
      </c>
      <c r="AAH170" s="78">
        <f>G170</f>
        <v>41478</v>
      </c>
      <c r="AAI170" s="77"/>
      <c r="AAJ170" s="77"/>
      <c r="AAK170" s="77"/>
      <c r="AAL170" s="89" t="str">
        <f>"Draft "&amp;S.CodeName&amp;"AGENDA.mm.dd.yyyy.2.00"</f>
        <v>Draft AGENDA.mm.dd.yyyy.2.00</v>
      </c>
      <c r="AAM170" s="112"/>
      <c r="AAU170" s="44"/>
    </row>
    <row r="171" spans="1:723" s="23" customFormat="1" ht="15" hidden="1" customHeight="1" outlineLevel="2">
      <c r="A171" s="557"/>
      <c r="B171" s="391" t="s">
        <v>194</v>
      </c>
      <c r="C171" s="239"/>
      <c r="D171" s="169" t="s">
        <v>55</v>
      </c>
      <c r="E171" s="368">
        <f t="shared" si="838"/>
        <v>1</v>
      </c>
      <c r="F171" s="491">
        <f t="shared" ca="1" si="839"/>
        <v>-5</v>
      </c>
      <c r="G171" s="383">
        <f t="shared" si="840"/>
        <v>41478</v>
      </c>
      <c r="H171" s="369">
        <f t="shared" si="841"/>
        <v>41478</v>
      </c>
      <c r="I171" s="587"/>
      <c r="J171" s="47"/>
      <c r="K171" s="590"/>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7"/>
      <c r="AAB171"/>
      <c r="AAC171"/>
      <c r="AAD171" s="112"/>
      <c r="AAE171" s="551">
        <f t="shared" si="808"/>
        <v>1</v>
      </c>
      <c r="AAF171" s="112" t="s">
        <v>0</v>
      </c>
      <c r="AAG171" s="78">
        <f>H170</f>
        <v>41478</v>
      </c>
      <c r="AAH171" s="78">
        <f t="shared" ref="AAH171:AAH174" si="842">G171</f>
        <v>41478</v>
      </c>
      <c r="AAI171" s="77"/>
      <c r="AAJ171" s="77"/>
      <c r="AAK171" s="77"/>
      <c r="AAL171" s="56"/>
      <c r="AAM171" s="112"/>
      <c r="AAU171" s="44"/>
    </row>
    <row r="172" spans="1:723" s="23" customFormat="1" ht="15" hidden="1" customHeight="1" outlineLevel="2">
      <c r="A172" s="557"/>
      <c r="B172" s="391" t="s">
        <v>194</v>
      </c>
      <c r="C172" s="239"/>
      <c r="D172" s="169" t="s">
        <v>55</v>
      </c>
      <c r="E172" s="368">
        <f t="shared" si="838"/>
        <v>1</v>
      </c>
      <c r="F172" s="491">
        <f t="shared" ca="1" si="839"/>
        <v>-5</v>
      </c>
      <c r="G172" s="383">
        <f t="shared" si="840"/>
        <v>41478</v>
      </c>
      <c r="H172" s="369">
        <f t="shared" si="841"/>
        <v>41478</v>
      </c>
      <c r="I172" s="587"/>
      <c r="J172" s="47"/>
      <c r="K172" s="590"/>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7"/>
      <c r="AAB172"/>
      <c r="AAC172"/>
      <c r="AAD172" s="112"/>
      <c r="AAE172" s="551">
        <f t="shared" si="808"/>
        <v>1</v>
      </c>
      <c r="AAF172" s="112" t="s">
        <v>0</v>
      </c>
      <c r="AAG172" s="78">
        <f>H171</f>
        <v>41478</v>
      </c>
      <c r="AAH172" s="78">
        <f t="shared" si="842"/>
        <v>41478</v>
      </c>
      <c r="AAI172" s="77"/>
      <c r="AAJ172" s="77"/>
      <c r="AAK172" s="77"/>
      <c r="AAL172" s="56"/>
      <c r="AAM172" s="112"/>
      <c r="AAU172" s="44"/>
    </row>
    <row r="173" spans="1:723" s="23" customFormat="1" ht="15" hidden="1" customHeight="1" outlineLevel="2">
      <c r="A173" s="557"/>
      <c r="B173" s="391" t="s">
        <v>194</v>
      </c>
      <c r="C173" s="239"/>
      <c r="D173" s="169" t="s">
        <v>55</v>
      </c>
      <c r="E173" s="368">
        <f t="shared" si="838"/>
        <v>1</v>
      </c>
      <c r="F173" s="491">
        <f t="shared" ca="1" si="839"/>
        <v>-5</v>
      </c>
      <c r="G173" s="383">
        <f t="shared" si="840"/>
        <v>41478</v>
      </c>
      <c r="H173" s="369">
        <f t="shared" si="841"/>
        <v>41478</v>
      </c>
      <c r="I173" s="587"/>
      <c r="J173" s="47"/>
      <c r="K173" s="590"/>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7"/>
      <c r="AAB173"/>
      <c r="AAC173"/>
      <c r="AAD173" s="112"/>
      <c r="AAE173" s="551">
        <f t="shared" si="808"/>
        <v>1</v>
      </c>
      <c r="AAF173" s="112" t="s">
        <v>0</v>
      </c>
      <c r="AAG173" s="78">
        <f>H172</f>
        <v>41478</v>
      </c>
      <c r="AAH173" s="78">
        <f t="shared" si="842"/>
        <v>41478</v>
      </c>
      <c r="AAI173" s="77"/>
      <c r="AAJ173" s="77"/>
      <c r="AAK173" s="77"/>
      <c r="AAL173" s="56"/>
      <c r="AAM173" s="112"/>
      <c r="AAU173" s="44"/>
    </row>
    <row r="174" spans="1:723" s="23" customFormat="1" ht="15" hidden="1" customHeight="1" outlineLevel="2">
      <c r="A174" s="557"/>
      <c r="B174" s="391" t="s">
        <v>194</v>
      </c>
      <c r="C174" s="239"/>
      <c r="D174" s="169" t="s">
        <v>55</v>
      </c>
      <c r="E174" s="368">
        <f t="shared" si="838"/>
        <v>1</v>
      </c>
      <c r="F174" s="491">
        <f t="shared" ca="1" si="839"/>
        <v>-5</v>
      </c>
      <c r="G174" s="383">
        <f t="shared" si="840"/>
        <v>41478</v>
      </c>
      <c r="H174" s="369">
        <f t="shared" si="841"/>
        <v>41478</v>
      </c>
      <c r="I174" s="587"/>
      <c r="J174" s="47"/>
      <c r="K174" s="590"/>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7"/>
      <c r="AAB174"/>
      <c r="AAC174"/>
      <c r="AAD174" s="112"/>
      <c r="AAE174" s="551">
        <f t="shared" si="808"/>
        <v>1</v>
      </c>
      <c r="AAF174" s="112" t="s">
        <v>0</v>
      </c>
      <c r="AAG174" s="78">
        <f t="shared" ref="AAG174" si="843">H173</f>
        <v>41478</v>
      </c>
      <c r="AAH174" s="78">
        <f t="shared" si="842"/>
        <v>41478</v>
      </c>
      <c r="AAI174" s="77"/>
      <c r="AAJ174" s="77"/>
      <c r="AAK174" s="77"/>
      <c r="AAL174" s="56"/>
      <c r="AAM174" s="112"/>
      <c r="AAU174" s="44"/>
    </row>
    <row r="175" spans="1:723" s="23" customFormat="1" ht="15" hidden="1" customHeight="1" outlineLevel="2">
      <c r="A175" s="557"/>
      <c r="B175" s="392" t="s">
        <v>187</v>
      </c>
      <c r="C175" s="709"/>
      <c r="D175" s="167"/>
      <c r="E175" s="167"/>
      <c r="F175" s="167"/>
      <c r="G175" s="167"/>
      <c r="H175" s="167"/>
      <c r="I175" s="587"/>
      <c r="J175" s="47"/>
      <c r="K175" s="590"/>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6"/>
      <c r="ZZ175" s="621"/>
      <c r="AAA175" s="587"/>
      <c r="AAB175"/>
      <c r="AAC175"/>
      <c r="AAD175" s="112"/>
      <c r="AAE175" s="551">
        <f t="shared" si="808"/>
        <v>1</v>
      </c>
      <c r="AAF175" s="582" t="s">
        <v>172</v>
      </c>
      <c r="AAG175" s="39"/>
      <c r="AAH175" s="39"/>
      <c r="AAI175" s="77"/>
      <c r="AAJ175" s="77"/>
      <c r="AAK175" s="77"/>
      <c r="AAL175" s="56"/>
      <c r="AAM175" s="112"/>
      <c r="AAU175" s="44"/>
    </row>
    <row r="176" spans="1:723" s="23" customFormat="1" ht="15" hidden="1" customHeight="1" outlineLevel="2">
      <c r="A176" s="557"/>
      <c r="B176" s="393" t="str">
        <f ca="1">"Draft optional PRESENTATION."&amp;TEXT($G$167,"mm.dd.yy")&amp;""</f>
        <v>Draft optional PRESENTATION.07.29.13</v>
      </c>
      <c r="C176" s="231" t="s">
        <v>70</v>
      </c>
      <c r="D176" s="169" t="s">
        <v>55</v>
      </c>
      <c r="E176" s="368">
        <f t="shared" ref="E176:E179" si="844">NETWORKDAYS(G176,H176,S.DDL_DEQClosed)</f>
        <v>1</v>
      </c>
      <c r="F176" s="491">
        <f t="shared" ref="F176:F179" ca="1" si="845">NETWORKDAYS(TODAY(),H176)</f>
        <v>-5</v>
      </c>
      <c r="G176" s="383">
        <f t="shared" ref="G176:G179" si="846">AAG176</f>
        <v>41478</v>
      </c>
      <c r="H176" s="369">
        <f t="shared" ref="H176:H179" si="847">AAH176</f>
        <v>41478</v>
      </c>
      <c r="I176" s="587"/>
      <c r="J176" s="47"/>
      <c r="K176" s="590"/>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7"/>
      <c r="AAB176"/>
      <c r="AAC176"/>
      <c r="AAD176" s="112"/>
      <c r="AAE176" s="551">
        <f t="shared" si="808"/>
        <v>1</v>
      </c>
      <c r="AAF176" s="112" t="s">
        <v>0</v>
      </c>
      <c r="AAG176" s="78">
        <f>H174</f>
        <v>41478</v>
      </c>
      <c r="AAH176" s="78">
        <f t="shared" ref="AAH176:AAH179" si="848">G176</f>
        <v>41478</v>
      </c>
      <c r="AAI176" s="77"/>
      <c r="AAJ176" s="77"/>
      <c r="AAK176" s="77"/>
      <c r="AAL176" s="56"/>
      <c r="AAM176" s="112"/>
      <c r="AAU176" s="44"/>
    </row>
    <row r="177" spans="1:723" s="23" customFormat="1" ht="15" hidden="1" customHeight="1" outlineLevel="2">
      <c r="A177" s="557"/>
      <c r="B177" s="393" t="s">
        <v>198</v>
      </c>
      <c r="C177" s="239"/>
      <c r="D177" s="169" t="s">
        <v>55</v>
      </c>
      <c r="E177" s="368">
        <f t="shared" si="844"/>
        <v>1</v>
      </c>
      <c r="F177" s="491">
        <f t="shared" ca="1" si="845"/>
        <v>-5</v>
      </c>
      <c r="G177" s="383">
        <f t="shared" si="846"/>
        <v>41478</v>
      </c>
      <c r="H177" s="369">
        <f t="shared" si="847"/>
        <v>41478</v>
      </c>
      <c r="I177" s="587"/>
      <c r="J177" s="47"/>
      <c r="K177" s="590"/>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7"/>
      <c r="AAB177"/>
      <c r="AAC177"/>
      <c r="AAD177" s="112"/>
      <c r="AAE177" s="551">
        <f t="shared" si="808"/>
        <v>1</v>
      </c>
      <c r="AAF177" s="112" t="s">
        <v>0</v>
      </c>
      <c r="AAG177" s="78">
        <f t="shared" ref="AAG177" si="849">H176</f>
        <v>41478</v>
      </c>
      <c r="AAH177" s="78">
        <f t="shared" si="848"/>
        <v>41478</v>
      </c>
      <c r="AAI177" s="77"/>
      <c r="AAJ177" s="77"/>
      <c r="AAK177" s="77"/>
      <c r="AAL177" s="56"/>
      <c r="AAM177" s="112"/>
      <c r="AAU177" s="44"/>
    </row>
    <row r="178" spans="1:723" s="23" customFormat="1" ht="15" hidden="1" customHeight="1" outlineLevel="2">
      <c r="A178" s="557"/>
      <c r="B178" s="393" t="s">
        <v>192</v>
      </c>
      <c r="C178" s="239"/>
      <c r="D178" s="169" t="s">
        <v>55</v>
      </c>
      <c r="E178" s="368">
        <f t="shared" si="844"/>
        <v>1</v>
      </c>
      <c r="F178" s="491">
        <f t="shared" ca="1" si="845"/>
        <v>-5</v>
      </c>
      <c r="G178" s="383">
        <f t="shared" si="846"/>
        <v>41478</v>
      </c>
      <c r="H178" s="369">
        <f t="shared" si="847"/>
        <v>41478</v>
      </c>
      <c r="I178" s="587"/>
      <c r="J178" s="47"/>
      <c r="K178" s="590"/>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7"/>
      <c r="AAB178"/>
      <c r="AAC178"/>
      <c r="AAD178" s="112"/>
      <c r="AAE178" s="551">
        <f t="shared" si="808"/>
        <v>1</v>
      </c>
      <c r="AAF178" s="112" t="s">
        <v>0</v>
      </c>
      <c r="AAG178" s="78">
        <f>H177</f>
        <v>41478</v>
      </c>
      <c r="AAH178" s="78">
        <f t="shared" si="848"/>
        <v>41478</v>
      </c>
      <c r="AAI178" s="77"/>
      <c r="AAJ178" s="77"/>
      <c r="AAK178" s="77"/>
      <c r="AAL178" s="56"/>
      <c r="AAM178" s="112"/>
      <c r="AAU178" s="44"/>
    </row>
    <row r="179" spans="1:723" s="23" customFormat="1" ht="15" hidden="1" customHeight="1" outlineLevel="2">
      <c r="A179" s="557"/>
      <c r="B179" s="393" t="s">
        <v>193</v>
      </c>
      <c r="C179" s="239"/>
      <c r="D179" s="169" t="s">
        <v>55</v>
      </c>
      <c r="E179" s="368">
        <f t="shared" si="844"/>
        <v>1</v>
      </c>
      <c r="F179" s="491">
        <f t="shared" ca="1" si="845"/>
        <v>-5</v>
      </c>
      <c r="G179" s="383">
        <f t="shared" si="846"/>
        <v>41478</v>
      </c>
      <c r="H179" s="369">
        <f t="shared" si="847"/>
        <v>41478</v>
      </c>
      <c r="I179" s="587"/>
      <c r="J179" s="47"/>
      <c r="K179" s="590"/>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7"/>
      <c r="AAB179"/>
      <c r="AAC179"/>
      <c r="AAD179" s="112"/>
      <c r="AAE179" s="551">
        <f t="shared" si="808"/>
        <v>1</v>
      </c>
      <c r="AAF179" s="112" t="s">
        <v>0</v>
      </c>
      <c r="AAG179" s="78">
        <f t="shared" ref="AAG179" si="850">H178</f>
        <v>41478</v>
      </c>
      <c r="AAH179" s="78">
        <f t="shared" si="848"/>
        <v>41478</v>
      </c>
      <c r="AAI179" s="77"/>
      <c r="AAJ179" s="77"/>
      <c r="AAK179" s="77"/>
      <c r="AAL179" s="56"/>
      <c r="AAM179" s="112"/>
      <c r="AAU179" s="44"/>
    </row>
    <row r="180" spans="1:723" s="23" customFormat="1" ht="15" hidden="1" customHeight="1" outlineLevel="2">
      <c r="A180" s="557"/>
      <c r="B180" s="394" t="s">
        <v>188</v>
      </c>
      <c r="C180" s="710"/>
      <c r="D180" s="122"/>
      <c r="E180" s="122"/>
      <c r="F180" s="122"/>
      <c r="G180" s="122"/>
      <c r="H180" s="122"/>
      <c r="I180" s="587"/>
      <c r="J180" s="47"/>
      <c r="K180" s="590"/>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6"/>
      <c r="ZZ180" s="621"/>
      <c r="AAA180" s="587"/>
      <c r="AAB180"/>
      <c r="AAC180"/>
      <c r="AAD180" s="112"/>
      <c r="AAE180" s="551">
        <f t="shared" si="808"/>
        <v>1</v>
      </c>
      <c r="AAF180" s="582" t="s">
        <v>172</v>
      </c>
      <c r="AAG180" s="39"/>
      <c r="AAH180" s="39"/>
      <c r="AAI180" s="39"/>
      <c r="AAJ180" s="56"/>
      <c r="AAK180" s="56"/>
      <c r="AAL180" s="56"/>
      <c r="AAM180" s="112"/>
      <c r="AAU180" s="44"/>
    </row>
    <row r="181" spans="1:723" s="23" customFormat="1" ht="15" hidden="1" customHeight="1" outlineLevel="2">
      <c r="A181" s="557"/>
      <c r="B181" s="377" t="str">
        <f ca="1">"Draft COMMITTEE.NOTICE."&amp;TEXT($G$167,"mm.dd.yy")&amp;""</f>
        <v>Draft COMMITTEE.NOTICE.07.29.13</v>
      </c>
      <c r="C181" s="239"/>
      <c r="D181" s="169" t="s">
        <v>377</v>
      </c>
      <c r="E181" s="368">
        <f t="shared" ref="E181" si="851">NETWORKDAYS(G181,H181,S.DDL_DEQClosed)</f>
        <v>1</v>
      </c>
      <c r="F181" s="491">
        <f t="shared" ref="F181" ca="1" si="852">NETWORKDAYS(TODAY(),H181)</f>
        <v>-5</v>
      </c>
      <c r="G181" s="383">
        <f t="shared" ref="G181" si="853">AAG181</f>
        <v>41478</v>
      </c>
      <c r="H181" s="369">
        <f t="shared" ref="H181" si="854">AAH181</f>
        <v>41478</v>
      </c>
      <c r="I181" s="587"/>
      <c r="J181" s="47"/>
      <c r="K181" s="590"/>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7"/>
      <c r="AAB181"/>
      <c r="AAC181"/>
      <c r="AAD181" s="112"/>
      <c r="AAE181" s="551">
        <f t="shared" ref="AAE181:AAE206" si="855">IF(S.InvolveCommittee=TRUE,1,0)</f>
        <v>1</v>
      </c>
      <c r="AAF181" s="112" t="s">
        <v>0</v>
      </c>
      <c r="AAG181" s="78">
        <f>H179</f>
        <v>41478</v>
      </c>
      <c r="AAH181" s="78">
        <f t="shared" ref="AAH181" si="856">G181</f>
        <v>41478</v>
      </c>
      <c r="AAI181" s="77"/>
      <c r="AAJ181" s="77"/>
      <c r="AAK181" s="77"/>
      <c r="AAL181" s="89" t="str">
        <f>"Draft "&amp;S.CodeName&amp;"COMMITTEE.NOTICE.mm.dd.yyyy.2.00"</f>
        <v>Draft COMMITTEE.NOTICE.mm.dd.yyyy.2.00</v>
      </c>
      <c r="AAM181" s="112"/>
      <c r="AAU181" s="44"/>
    </row>
    <row r="182" spans="1:723" s="23" customFormat="1" ht="15" hidden="1" customHeight="1" outlineLevel="2">
      <c r="A182" s="557"/>
      <c r="B182" s="395" t="s">
        <v>21</v>
      </c>
      <c r="C182" s="245"/>
      <c r="D182" s="196"/>
      <c r="E182" s="123"/>
      <c r="F182" s="124"/>
      <c r="G182" s="246" t="s">
        <v>0</v>
      </c>
      <c r="H182" s="145"/>
      <c r="I182" s="587"/>
      <c r="J182" s="47"/>
      <c r="K182" s="590"/>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6"/>
      <c r="ZZ182" s="621"/>
      <c r="AAA182" s="587"/>
      <c r="AAB182"/>
      <c r="AAC182"/>
      <c r="AAD182" s="112"/>
      <c r="AAE182" s="551">
        <f t="shared" si="855"/>
        <v>1</v>
      </c>
      <c r="AAF182" s="582" t="s">
        <v>172</v>
      </c>
      <c r="AAG182" s="63"/>
      <c r="AAH182" s="76" t="s">
        <v>0</v>
      </c>
      <c r="AAI182" s="77"/>
      <c r="AAJ182" s="77"/>
      <c r="AAK182" s="77"/>
      <c r="AAL182" s="56"/>
      <c r="AAM182" s="112"/>
      <c r="AAU182" s="44"/>
    </row>
    <row r="183" spans="1:723" s="23" customFormat="1" ht="15" hidden="1" customHeight="1" outlineLevel="2">
      <c r="A183" s="557"/>
      <c r="B183" s="387" t="s">
        <v>197</v>
      </c>
      <c r="C183" s="168"/>
      <c r="D183" s="169" t="s">
        <v>157</v>
      </c>
      <c r="E183" s="368">
        <f>NETWORKDAYS(G183,H183,S.DDL_DEQClosed)</f>
        <v>1</v>
      </c>
      <c r="F183" s="491">
        <f ca="1">NETWORKDAYS(TODAY(),H183)</f>
        <v>-5</v>
      </c>
      <c r="G183" s="383">
        <f>AAG183</f>
        <v>41478</v>
      </c>
      <c r="H183" s="369">
        <f>AAH183</f>
        <v>41478</v>
      </c>
      <c r="I183" s="587"/>
      <c r="J183" s="47"/>
      <c r="K183" s="590"/>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7"/>
      <c r="AAB183"/>
      <c r="AAC183"/>
      <c r="AAD183" s="112"/>
      <c r="AAE183" s="551">
        <f t="shared" si="855"/>
        <v>1</v>
      </c>
      <c r="AAF183" s="112"/>
      <c r="AAG183" s="78">
        <f>H181</f>
        <v>41478</v>
      </c>
      <c r="AAH183" s="78">
        <f>G183</f>
        <v>41478</v>
      </c>
      <c r="AAI183" s="77"/>
      <c r="AAJ183" s="77"/>
      <c r="AAK183" s="77"/>
      <c r="AAL183" s="56"/>
      <c r="AAM183" s="112"/>
      <c r="AAU183" s="44"/>
    </row>
    <row r="184" spans="1:723" s="23" customFormat="1" ht="15" hidden="1" customHeight="1" outlineLevel="2">
      <c r="A184" s="557"/>
      <c r="B184" s="387" t="s">
        <v>54</v>
      </c>
      <c r="C184" s="168"/>
      <c r="D184" s="169" t="s">
        <v>358</v>
      </c>
      <c r="E184" s="368">
        <f t="shared" ref="E184:E186" si="857">NETWORKDAYS(G184,H184,S.DDL_DEQClosed)</f>
        <v>1</v>
      </c>
      <c r="F184" s="491">
        <f t="shared" ref="F184:F186" ca="1" si="858">NETWORKDAYS(TODAY(),H184)</f>
        <v>-5</v>
      </c>
      <c r="G184" s="383">
        <f t="shared" ref="G184:G186" si="859">AAG184</f>
        <v>41478</v>
      </c>
      <c r="H184" s="369">
        <f t="shared" ref="H184:H186" si="860">AAH184</f>
        <v>41478</v>
      </c>
      <c r="I184" s="587"/>
      <c r="J184" s="47"/>
      <c r="K184" s="590"/>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7"/>
      <c r="AAB184"/>
      <c r="AAC184"/>
      <c r="AAD184" s="112"/>
      <c r="AAE184" s="551">
        <f t="shared" si="855"/>
        <v>1</v>
      </c>
      <c r="AAF184" s="112"/>
      <c r="AAG184" s="78">
        <f>H183</f>
        <v>41478</v>
      </c>
      <c r="AAH184" s="78">
        <f t="shared" ref="AAH184:AAH186" si="861">G184</f>
        <v>41478</v>
      </c>
      <c r="AAI184" s="77"/>
      <c r="AAJ184" s="77"/>
      <c r="AAK184" s="77"/>
      <c r="AAL184" s="56"/>
      <c r="AAM184" s="112"/>
      <c r="AAU184" s="44"/>
    </row>
    <row r="185" spans="1:723" s="23" customFormat="1" ht="15" hidden="1" customHeight="1" outlineLevel="2">
      <c r="A185" s="557"/>
      <c r="B185" s="404" t="str">
        <f ca="1">"Draft MINUTES."&amp;TEXT($G$167,"mm.dd.yy")&amp;""</f>
        <v>Draft MINUTES.07.29.13</v>
      </c>
      <c r="C185" s="231" t="s">
        <v>70</v>
      </c>
      <c r="D185" s="248" t="s">
        <v>377</v>
      </c>
      <c r="E185" s="368">
        <f t="shared" si="857"/>
        <v>1</v>
      </c>
      <c r="F185" s="491">
        <f t="shared" ca="1" si="858"/>
        <v>-5</v>
      </c>
      <c r="G185" s="383">
        <f t="shared" si="859"/>
        <v>41478</v>
      </c>
      <c r="H185" s="369">
        <f t="shared" si="860"/>
        <v>41478</v>
      </c>
      <c r="I185" s="587"/>
      <c r="J185" s="47"/>
      <c r="K185" s="590"/>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7"/>
      <c r="AAB185"/>
      <c r="AAC185"/>
      <c r="AAD185" s="112"/>
      <c r="AAE185" s="551">
        <f t="shared" si="855"/>
        <v>1</v>
      </c>
      <c r="AAF185" s="112"/>
      <c r="AAG185" s="78">
        <f t="shared" ref="AAG185:AAG186" si="862">H184</f>
        <v>41478</v>
      </c>
      <c r="AAH185" s="78">
        <f t="shared" si="861"/>
        <v>41478</v>
      </c>
      <c r="AAI185" s="77"/>
      <c r="AAJ185" s="77"/>
      <c r="AAK185" s="77"/>
      <c r="AAL185" s="89" t="str">
        <f>"Draft "&amp;S.CodeName&amp;"MINUTES.mm.dd.yyy.2.00"</f>
        <v>Draft MINUTES.mm.dd.yyy.2.00</v>
      </c>
      <c r="AAM185" s="112"/>
      <c r="AAU185" s="44"/>
    </row>
    <row r="186" spans="1:723" s="23" customFormat="1" ht="15" hidden="1" customHeight="1" outlineLevel="2">
      <c r="A186" s="557"/>
      <c r="B186" s="243" t="s">
        <v>53</v>
      </c>
      <c r="C186" s="168"/>
      <c r="D186" s="169" t="s">
        <v>358</v>
      </c>
      <c r="E186" s="368">
        <f t="shared" si="857"/>
        <v>1</v>
      </c>
      <c r="F186" s="491">
        <f t="shared" ca="1" si="858"/>
        <v>-5</v>
      </c>
      <c r="G186" s="383">
        <f t="shared" si="859"/>
        <v>41478</v>
      </c>
      <c r="H186" s="369">
        <f t="shared" si="860"/>
        <v>41478</v>
      </c>
      <c r="I186" s="587"/>
      <c r="J186" s="47"/>
      <c r="K186" s="590"/>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7"/>
      <c r="AAB186"/>
      <c r="AAC186"/>
      <c r="AAD186" s="112"/>
      <c r="AAE186" s="551">
        <f t="shared" si="855"/>
        <v>1</v>
      </c>
      <c r="AAF186" s="112"/>
      <c r="AAG186" s="78">
        <f t="shared" si="862"/>
        <v>41478</v>
      </c>
      <c r="AAH186" s="78">
        <f t="shared" si="861"/>
        <v>41478</v>
      </c>
      <c r="AAI186" s="77"/>
      <c r="AAJ186" s="77"/>
      <c r="AAK186" s="77"/>
      <c r="AAL186" s="56"/>
      <c r="AAM186" s="112"/>
      <c r="AAU186" s="44"/>
    </row>
    <row r="187" spans="1:723" s="23" customFormat="1" ht="18" hidden="1" customHeight="1" outlineLevel="1" collapsed="1">
      <c r="A187" s="557"/>
      <c r="B187" s="244" t="s">
        <v>149</v>
      </c>
      <c r="C187" s="168"/>
      <c r="D187" s="758"/>
      <c r="E187" s="758"/>
      <c r="F187" s="758"/>
      <c r="G187" s="406">
        <f ca="1">TODAY()</f>
        <v>41484</v>
      </c>
      <c r="H187" s="406" t="s">
        <v>189</v>
      </c>
      <c r="I187" s="587"/>
      <c r="J187" s="47"/>
      <c r="K187" s="590"/>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6"/>
      <c r="ZZ187" s="621"/>
      <c r="AAA187" s="587"/>
      <c r="AAB187"/>
      <c r="AAC187"/>
      <c r="AAD187" s="112"/>
      <c r="AAE187" s="551">
        <f t="shared" si="855"/>
        <v>1</v>
      </c>
      <c r="AAF187" s="582" t="s">
        <v>172</v>
      </c>
      <c r="AAG187" s="39" t="s">
        <v>0</v>
      </c>
      <c r="AAH187" s="39" t="s">
        <v>0</v>
      </c>
      <c r="AAI187" s="39"/>
      <c r="AAJ187" s="56"/>
      <c r="AAK187" s="56"/>
      <c r="AAL187" s="56"/>
      <c r="AAM187" s="112"/>
      <c r="AAU187" s="44"/>
    </row>
    <row r="188" spans="1:723" s="23" customFormat="1" ht="15" hidden="1" customHeight="1" outlineLevel="2">
      <c r="A188" s="557"/>
      <c r="B188" s="375" t="s">
        <v>57</v>
      </c>
      <c r="C188" s="168"/>
      <c r="D188" s="169" t="s">
        <v>358</v>
      </c>
      <c r="E188" s="368">
        <f t="shared" ref="E188" si="863">NETWORKDAYS(G188,H188,S.DDL_DEQClosed)</f>
        <v>1</v>
      </c>
      <c r="F188" s="491">
        <f t="shared" ref="F188" ca="1" si="864">NETWORKDAYS(TODAY(),H188)</f>
        <v>-5</v>
      </c>
      <c r="G188" s="383">
        <f t="shared" ref="G188" si="865">AAG188</f>
        <v>41478</v>
      </c>
      <c r="H188" s="369">
        <f t="shared" ref="H188" si="866">AAH188</f>
        <v>41478</v>
      </c>
      <c r="I188" s="587"/>
      <c r="J188" s="47"/>
      <c r="K188" s="590"/>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7"/>
      <c r="AAB188"/>
      <c r="AAC188"/>
      <c r="AAD188" s="112"/>
      <c r="AAE188" s="551">
        <f t="shared" si="855"/>
        <v>1</v>
      </c>
      <c r="AAF188" s="112"/>
      <c r="AAG188" s="78">
        <f>H185</f>
        <v>41478</v>
      </c>
      <c r="AAH188" s="78">
        <f t="shared" ref="AAH188" si="867">G188</f>
        <v>41478</v>
      </c>
      <c r="AAI188" s="77"/>
      <c r="AAJ188" s="77"/>
      <c r="AAK188" s="77"/>
      <c r="AAL188" s="56"/>
      <c r="AAM188" s="112"/>
      <c r="AAU188" s="44"/>
    </row>
    <row r="189" spans="1:723" s="23" customFormat="1" ht="15" hidden="1" customHeight="1" outlineLevel="2">
      <c r="A189" s="557"/>
      <c r="B189" s="376" t="s">
        <v>56</v>
      </c>
      <c r="C189" s="166"/>
      <c r="D189" s="397"/>
      <c r="E189" s="400"/>
      <c r="F189" s="400"/>
      <c r="G189" s="356"/>
      <c r="H189" s="401"/>
      <c r="I189" s="587"/>
      <c r="J189" s="47"/>
      <c r="K189" s="590"/>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6"/>
      <c r="ZZ189" s="621"/>
      <c r="AAA189" s="587"/>
      <c r="AAB189"/>
      <c r="AAC189"/>
      <c r="AAD189" s="112"/>
      <c r="AAE189" s="551">
        <f t="shared" si="855"/>
        <v>1</v>
      </c>
      <c r="AAF189" s="582" t="s">
        <v>172</v>
      </c>
      <c r="AAG189" s="63"/>
      <c r="AAH189" s="76"/>
      <c r="AAI189" s="77"/>
      <c r="AAJ189" s="77"/>
      <c r="AAK189" s="77"/>
      <c r="AAL189" s="56"/>
      <c r="AAM189" s="112"/>
      <c r="AAU189" s="44"/>
    </row>
    <row r="190" spans="1:723" s="23" customFormat="1" ht="15" hidden="1" customHeight="1" outlineLevel="2">
      <c r="A190" s="557"/>
      <c r="B190" s="377" t="str">
        <f ca="1">"Draft AGENDA."&amp;TEXT($G$187,"mm.dd.yy")&amp;""</f>
        <v>Draft AGENDA.07.29.13</v>
      </c>
      <c r="C190" s="231" t="s">
        <v>70</v>
      </c>
      <c r="D190" s="308" t="s">
        <v>55</v>
      </c>
      <c r="E190" s="368">
        <f t="shared" ref="E190:E194" si="868">NETWORKDAYS(G190,H190,S.DDL_DEQClosed)</f>
        <v>1</v>
      </c>
      <c r="F190" s="491">
        <f t="shared" ref="F190:F194" ca="1" si="869">NETWORKDAYS(TODAY(),H190)</f>
        <v>-5</v>
      </c>
      <c r="G190" s="383">
        <f>AAG190</f>
        <v>41478</v>
      </c>
      <c r="H190" s="369">
        <f t="shared" ref="H190:H194" si="870">AAH190</f>
        <v>41478</v>
      </c>
      <c r="I190" s="587"/>
      <c r="J190" s="633"/>
      <c r="K190" s="590"/>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7"/>
      <c r="AAB190"/>
      <c r="AAC190"/>
      <c r="AAD190" s="112"/>
      <c r="AAE190" s="551">
        <f t="shared" si="855"/>
        <v>1</v>
      </c>
      <c r="AAF190" s="112" t="s">
        <v>0</v>
      </c>
      <c r="AAG190" s="78">
        <f>H188</f>
        <v>41478</v>
      </c>
      <c r="AAH190" s="78">
        <f>G190</f>
        <v>41478</v>
      </c>
      <c r="AAI190" s="77"/>
      <c r="AAJ190" s="77"/>
      <c r="AAK190" s="77"/>
      <c r="AAL190" s="89" t="str">
        <f>"Draft "&amp;S.CodeName&amp;"AGENDA.mm.dd.yyyy.2.00"</f>
        <v>Draft AGENDA.mm.dd.yyyy.2.00</v>
      </c>
      <c r="AAM190" s="112"/>
      <c r="AAU190" s="44"/>
    </row>
    <row r="191" spans="1:723" s="23" customFormat="1" ht="15" hidden="1" customHeight="1" outlineLevel="2">
      <c r="A191" s="557"/>
      <c r="B191" s="391" t="s">
        <v>194</v>
      </c>
      <c r="C191" s="239"/>
      <c r="D191" s="308" t="s">
        <v>55</v>
      </c>
      <c r="E191" s="368">
        <f t="shared" si="868"/>
        <v>1</v>
      </c>
      <c r="F191" s="491">
        <f t="shared" ca="1" si="869"/>
        <v>-5</v>
      </c>
      <c r="G191" s="383">
        <f t="shared" ref="G191:G194" si="871">AAG191</f>
        <v>41478</v>
      </c>
      <c r="H191" s="369">
        <f t="shared" si="870"/>
        <v>41478</v>
      </c>
      <c r="I191" s="587"/>
      <c r="J191" s="47"/>
      <c r="K191" s="590"/>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7"/>
      <c r="AAB191"/>
      <c r="AAC191"/>
      <c r="AAD191" s="112"/>
      <c r="AAE191" s="551">
        <f t="shared" si="855"/>
        <v>1</v>
      </c>
      <c r="AAF191" s="112" t="s">
        <v>0</v>
      </c>
      <c r="AAG191" s="78">
        <f>H190</f>
        <v>41478</v>
      </c>
      <c r="AAH191" s="78">
        <f t="shared" ref="AAH191:AAH194" si="872">G191</f>
        <v>41478</v>
      </c>
      <c r="AAI191" s="77"/>
      <c r="AAJ191" s="77"/>
      <c r="AAK191" s="77"/>
      <c r="AAL191" s="56"/>
      <c r="AAM191" s="112"/>
      <c r="AAU191" s="44"/>
    </row>
    <row r="192" spans="1:723" s="23" customFormat="1" ht="15" hidden="1" customHeight="1" outlineLevel="2">
      <c r="A192" s="557"/>
      <c r="B192" s="391" t="s">
        <v>194</v>
      </c>
      <c r="C192" s="239"/>
      <c r="D192" s="308" t="s">
        <v>55</v>
      </c>
      <c r="E192" s="368">
        <f t="shared" si="868"/>
        <v>1</v>
      </c>
      <c r="F192" s="491">
        <f t="shared" ca="1" si="869"/>
        <v>-5</v>
      </c>
      <c r="G192" s="383">
        <f t="shared" si="871"/>
        <v>41478</v>
      </c>
      <c r="H192" s="369">
        <f t="shared" si="870"/>
        <v>41478</v>
      </c>
      <c r="I192" s="587"/>
      <c r="J192" s="47"/>
      <c r="K192" s="590"/>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7"/>
      <c r="AAB192"/>
      <c r="AAC192"/>
      <c r="AAD192" s="112"/>
      <c r="AAE192" s="551">
        <f t="shared" si="855"/>
        <v>1</v>
      </c>
      <c r="AAF192" s="112" t="s">
        <v>0</v>
      </c>
      <c r="AAG192" s="78">
        <f>H191</f>
        <v>41478</v>
      </c>
      <c r="AAH192" s="78">
        <f t="shared" si="872"/>
        <v>41478</v>
      </c>
      <c r="AAI192" s="77"/>
      <c r="AAJ192" s="77"/>
      <c r="AAK192" s="77"/>
      <c r="AAL192" s="56"/>
      <c r="AAM192" s="112"/>
      <c r="AAU192" s="44"/>
    </row>
    <row r="193" spans="1:732" s="23" customFormat="1" ht="15" hidden="1" customHeight="1" outlineLevel="2">
      <c r="A193" s="557"/>
      <c r="B193" s="391" t="s">
        <v>194</v>
      </c>
      <c r="C193" s="239"/>
      <c r="D193" s="308" t="s">
        <v>55</v>
      </c>
      <c r="E193" s="368">
        <f t="shared" si="868"/>
        <v>1</v>
      </c>
      <c r="F193" s="491">
        <f t="shared" ca="1" si="869"/>
        <v>-5</v>
      </c>
      <c r="G193" s="383">
        <f t="shared" si="871"/>
        <v>41478</v>
      </c>
      <c r="H193" s="369">
        <f t="shared" si="870"/>
        <v>41478</v>
      </c>
      <c r="I193" s="587"/>
      <c r="J193" s="47"/>
      <c r="K193" s="590"/>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7"/>
      <c r="AAB193"/>
      <c r="AAC193"/>
      <c r="AAD193" s="112"/>
      <c r="AAE193" s="551">
        <f t="shared" si="855"/>
        <v>1</v>
      </c>
      <c r="AAF193" s="112" t="s">
        <v>0</v>
      </c>
      <c r="AAG193" s="78">
        <f>H192</f>
        <v>41478</v>
      </c>
      <c r="AAH193" s="78">
        <f t="shared" si="872"/>
        <v>41478</v>
      </c>
      <c r="AAI193" s="77"/>
      <c r="AAJ193" s="77"/>
      <c r="AAK193" s="77"/>
      <c r="AAL193" s="56"/>
      <c r="AAM193" s="112"/>
      <c r="AAU193" s="44"/>
    </row>
    <row r="194" spans="1:732" s="23" customFormat="1" ht="15" hidden="1" customHeight="1" outlineLevel="2">
      <c r="A194" s="557"/>
      <c r="B194" s="391" t="s">
        <v>194</v>
      </c>
      <c r="C194" s="239"/>
      <c r="D194" s="308" t="s">
        <v>55</v>
      </c>
      <c r="E194" s="368">
        <f t="shared" si="868"/>
        <v>1</v>
      </c>
      <c r="F194" s="491">
        <f t="shared" ca="1" si="869"/>
        <v>-5</v>
      </c>
      <c r="G194" s="383">
        <f t="shared" si="871"/>
        <v>41478</v>
      </c>
      <c r="H194" s="369">
        <f t="shared" si="870"/>
        <v>41478</v>
      </c>
      <c r="I194" s="587"/>
      <c r="J194" s="47"/>
      <c r="K194" s="590"/>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7"/>
      <c r="AAB194"/>
      <c r="AAC194"/>
      <c r="AAD194" s="112"/>
      <c r="AAE194" s="551">
        <f t="shared" si="855"/>
        <v>1</v>
      </c>
      <c r="AAF194" s="112" t="s">
        <v>0</v>
      </c>
      <c r="AAG194" s="78">
        <f t="shared" ref="AAG194" si="873">H193</f>
        <v>41478</v>
      </c>
      <c r="AAH194" s="78">
        <f t="shared" si="872"/>
        <v>41478</v>
      </c>
      <c r="AAI194" s="77"/>
      <c r="AAJ194" s="77"/>
      <c r="AAK194" s="77"/>
      <c r="AAL194" s="56"/>
      <c r="AAM194" s="112"/>
      <c r="AAU194" s="44"/>
    </row>
    <row r="195" spans="1:732" s="23" customFormat="1" ht="15" hidden="1" customHeight="1" outlineLevel="2">
      <c r="A195" s="557"/>
      <c r="B195" s="392" t="s">
        <v>187</v>
      </c>
      <c r="C195" s="709"/>
      <c r="D195" s="398"/>
      <c r="E195" s="402"/>
      <c r="F195" s="402"/>
      <c r="G195" s="402"/>
      <c r="H195" s="402"/>
      <c r="I195" s="587"/>
      <c r="J195" s="47"/>
      <c r="K195" s="590"/>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6"/>
      <c r="ZZ195" s="621"/>
      <c r="AAA195" s="587"/>
      <c r="AAB195"/>
      <c r="AAC195"/>
      <c r="AAD195" s="112"/>
      <c r="AAE195" s="551">
        <f t="shared" si="855"/>
        <v>1</v>
      </c>
      <c r="AAF195" s="582" t="s">
        <v>172</v>
      </c>
      <c r="AAG195" s="39"/>
      <c r="AAH195" s="39"/>
      <c r="AAI195" s="77"/>
      <c r="AAJ195" s="77"/>
      <c r="AAK195" s="77"/>
      <c r="AAL195" s="56"/>
      <c r="AAM195" s="112"/>
      <c r="AAU195" s="44"/>
    </row>
    <row r="196" spans="1:732" s="23" customFormat="1" ht="15" hidden="1" customHeight="1" outlineLevel="2">
      <c r="A196" s="557"/>
      <c r="B196" s="393" t="str">
        <f ca="1">"Draft optional PRESENTATION."&amp;TEXT($G$167,"mm.dd.yy")&amp;""</f>
        <v>Draft optional PRESENTATION.07.29.13</v>
      </c>
      <c r="C196" s="231" t="s">
        <v>70</v>
      </c>
      <c r="D196" s="308" t="s">
        <v>55</v>
      </c>
      <c r="E196" s="368">
        <f t="shared" ref="E196:E199" si="874">NETWORKDAYS(G196,H196,S.DDL_DEQClosed)</f>
        <v>1</v>
      </c>
      <c r="F196" s="491">
        <f t="shared" ref="F196:F199" ca="1" si="875">NETWORKDAYS(TODAY(),H196)</f>
        <v>-5</v>
      </c>
      <c r="G196" s="383">
        <f t="shared" ref="G196:G199" si="876">AAG196</f>
        <v>41478</v>
      </c>
      <c r="H196" s="369">
        <f t="shared" ref="H196:H199" si="877">AAH196</f>
        <v>41478</v>
      </c>
      <c r="I196" s="587"/>
      <c r="J196" s="47"/>
      <c r="K196" s="590"/>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7"/>
      <c r="AAB196"/>
      <c r="AAC196"/>
      <c r="AAD196" s="112"/>
      <c r="AAE196" s="551">
        <f t="shared" si="855"/>
        <v>1</v>
      </c>
      <c r="AAF196" s="112" t="s">
        <v>0</v>
      </c>
      <c r="AAG196" s="78">
        <f>H194</f>
        <v>41478</v>
      </c>
      <c r="AAH196" s="78">
        <f t="shared" ref="AAH196:AAH199" si="878">G196</f>
        <v>41478</v>
      </c>
      <c r="AAI196" s="77"/>
      <c r="AAJ196" s="77"/>
      <c r="AAK196" s="77"/>
      <c r="AAL196" s="56"/>
      <c r="AAM196" s="112"/>
      <c r="AAU196" s="44"/>
    </row>
    <row r="197" spans="1:732" s="23" customFormat="1" ht="15" hidden="1" customHeight="1" outlineLevel="2">
      <c r="A197" s="557"/>
      <c r="B197" s="393" t="s">
        <v>198</v>
      </c>
      <c r="C197" s="239"/>
      <c r="D197" s="308" t="s">
        <v>55</v>
      </c>
      <c r="E197" s="368">
        <f t="shared" si="874"/>
        <v>1</v>
      </c>
      <c r="F197" s="491">
        <f t="shared" ca="1" si="875"/>
        <v>-5</v>
      </c>
      <c r="G197" s="383">
        <f t="shared" si="876"/>
        <v>41478</v>
      </c>
      <c r="H197" s="369">
        <f t="shared" si="877"/>
        <v>41478</v>
      </c>
      <c r="I197" s="587"/>
      <c r="J197" s="47"/>
      <c r="K197" s="590"/>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7"/>
      <c r="AAB197"/>
      <c r="AAC197"/>
      <c r="AAD197" s="112"/>
      <c r="AAE197" s="551">
        <f t="shared" si="855"/>
        <v>1</v>
      </c>
      <c r="AAF197" s="112" t="s">
        <v>0</v>
      </c>
      <c r="AAG197" s="78">
        <f t="shared" ref="AAG197" si="879">H196</f>
        <v>41478</v>
      </c>
      <c r="AAH197" s="78">
        <f t="shared" si="878"/>
        <v>41478</v>
      </c>
      <c r="AAI197" s="77"/>
      <c r="AAJ197" s="77"/>
      <c r="AAK197" s="77"/>
      <c r="AAL197" s="56"/>
      <c r="AAM197" s="112"/>
      <c r="AAU197" s="44"/>
    </row>
    <row r="198" spans="1:732" s="23" customFormat="1" ht="15" hidden="1" customHeight="1" outlineLevel="2">
      <c r="A198" s="557"/>
      <c r="B198" s="393" t="s">
        <v>192</v>
      </c>
      <c r="C198" s="239"/>
      <c r="D198" s="308" t="s">
        <v>55</v>
      </c>
      <c r="E198" s="368">
        <f t="shared" si="874"/>
        <v>1</v>
      </c>
      <c r="F198" s="491">
        <f t="shared" ca="1" si="875"/>
        <v>-5</v>
      </c>
      <c r="G198" s="383">
        <f t="shared" si="876"/>
        <v>41478</v>
      </c>
      <c r="H198" s="369">
        <f t="shared" si="877"/>
        <v>41478</v>
      </c>
      <c r="I198" s="587"/>
      <c r="J198" s="47"/>
      <c r="K198" s="590"/>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7"/>
      <c r="AAB198"/>
      <c r="AAC198"/>
      <c r="AAD198" s="112"/>
      <c r="AAE198" s="551">
        <f t="shared" si="855"/>
        <v>1</v>
      </c>
      <c r="AAF198" s="112" t="s">
        <v>0</v>
      </c>
      <c r="AAG198" s="78">
        <f>H197</f>
        <v>41478</v>
      </c>
      <c r="AAH198" s="78">
        <f t="shared" si="878"/>
        <v>41478</v>
      </c>
      <c r="AAI198" s="77"/>
      <c r="AAJ198" s="77"/>
      <c r="AAK198" s="77"/>
      <c r="AAL198" s="56"/>
      <c r="AAM198" s="112"/>
      <c r="AAU198" s="44"/>
    </row>
    <row r="199" spans="1:732" s="23" customFormat="1" ht="15" hidden="1" customHeight="1" outlineLevel="2">
      <c r="A199" s="557"/>
      <c r="B199" s="393" t="s">
        <v>193</v>
      </c>
      <c r="C199" s="239"/>
      <c r="D199" s="308" t="s">
        <v>55</v>
      </c>
      <c r="E199" s="368">
        <f t="shared" si="874"/>
        <v>1</v>
      </c>
      <c r="F199" s="491">
        <f t="shared" ca="1" si="875"/>
        <v>-5</v>
      </c>
      <c r="G199" s="383">
        <f t="shared" si="876"/>
        <v>41478</v>
      </c>
      <c r="H199" s="369">
        <f t="shared" si="877"/>
        <v>41478</v>
      </c>
      <c r="I199" s="587"/>
      <c r="J199" s="47"/>
      <c r="K199" s="590"/>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7"/>
      <c r="AAB199"/>
      <c r="AAC199"/>
      <c r="AAD199" s="112"/>
      <c r="AAE199" s="551">
        <f t="shared" si="855"/>
        <v>1</v>
      </c>
      <c r="AAF199" s="112" t="s">
        <v>0</v>
      </c>
      <c r="AAG199" s="78">
        <f t="shared" ref="AAG199" si="880">H198</f>
        <v>41478</v>
      </c>
      <c r="AAH199" s="78">
        <f t="shared" si="878"/>
        <v>41478</v>
      </c>
      <c r="AAI199" s="77"/>
      <c r="AAJ199" s="77"/>
      <c r="AAK199" s="77"/>
      <c r="AAL199" s="56"/>
      <c r="AAM199" s="112"/>
      <c r="AAU199" s="44"/>
    </row>
    <row r="200" spans="1:732" s="23" customFormat="1" ht="15" hidden="1" customHeight="1" outlineLevel="2">
      <c r="A200" s="557"/>
      <c r="B200" s="394" t="s">
        <v>188</v>
      </c>
      <c r="C200" s="710"/>
      <c r="D200" s="386"/>
      <c r="E200" s="127"/>
      <c r="F200" s="127"/>
      <c r="G200" s="127"/>
      <c r="H200" s="127"/>
      <c r="I200" s="587"/>
      <c r="J200" s="47"/>
      <c r="K200" s="590"/>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6"/>
      <c r="ZZ200" s="621"/>
      <c r="AAA200" s="587"/>
      <c r="AAB200"/>
      <c r="AAC200"/>
      <c r="AAD200" s="112"/>
      <c r="AAE200" s="551">
        <f t="shared" si="855"/>
        <v>1</v>
      </c>
      <c r="AAF200" s="582" t="s">
        <v>172</v>
      </c>
      <c r="AAG200" s="39"/>
      <c r="AAH200" s="39"/>
      <c r="AAI200" s="77"/>
      <c r="AAJ200" s="77"/>
      <c r="AAK200" s="77"/>
      <c r="AAL200" s="56"/>
      <c r="AAM200" s="112"/>
      <c r="AAU200" s="44"/>
    </row>
    <row r="201" spans="1:732" s="23" customFormat="1" ht="15" hidden="1" customHeight="1" outlineLevel="2">
      <c r="A201" s="557"/>
      <c r="B201" s="377" t="str">
        <f ca="1">"Draft COMMITTEE.NOTICE."&amp;TEXT($G$187,"mm.dd.yy")&amp;""</f>
        <v>Draft COMMITTEE.NOTICE.07.29.13</v>
      </c>
      <c r="C201" s="239"/>
      <c r="D201" s="308" t="s">
        <v>377</v>
      </c>
      <c r="E201" s="368">
        <f t="shared" ref="E201" si="881">NETWORKDAYS(G201,H201,S.DDL_DEQClosed)</f>
        <v>1</v>
      </c>
      <c r="F201" s="491">
        <f t="shared" ref="F201" ca="1" si="882">NETWORKDAYS(TODAY(),H201)</f>
        <v>-5</v>
      </c>
      <c r="G201" s="383">
        <f t="shared" ref="G201" si="883">AAG201</f>
        <v>41478</v>
      </c>
      <c r="H201" s="369">
        <f t="shared" ref="H201" si="884">AAH201</f>
        <v>41478</v>
      </c>
      <c r="I201" s="587"/>
      <c r="J201" s="47"/>
      <c r="K201" s="590"/>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7"/>
      <c r="AAB201"/>
      <c r="AAC201"/>
      <c r="AAD201" s="112"/>
      <c r="AAE201" s="551">
        <f t="shared" si="855"/>
        <v>1</v>
      </c>
      <c r="AAF201" s="112" t="s">
        <v>0</v>
      </c>
      <c r="AAG201" s="78">
        <f>H199</f>
        <v>41478</v>
      </c>
      <c r="AAH201" s="78">
        <f t="shared" ref="AAH201" si="885">G201</f>
        <v>41478</v>
      </c>
      <c r="AAI201" s="77"/>
      <c r="AAJ201" s="77"/>
      <c r="AAK201" s="77"/>
      <c r="AAL201" s="89" t="str">
        <f>"Draft "&amp;S.CodeName&amp;"COMMITTEE.NOTICE.mm.dd.yyyy.2.00"</f>
        <v>Draft COMMITTEE.NOTICE.mm.dd.yyyy.2.00</v>
      </c>
      <c r="AAM201" s="112"/>
      <c r="AAU201" s="44"/>
    </row>
    <row r="202" spans="1:732" s="23" customFormat="1" ht="15" hidden="1" customHeight="1" outlineLevel="2">
      <c r="A202" s="557"/>
      <c r="B202" s="395" t="s">
        <v>21</v>
      </c>
      <c r="C202" s="245"/>
      <c r="D202" s="197"/>
      <c r="E202" s="345"/>
      <c r="F202" s="366"/>
      <c r="G202" s="403" t="s">
        <v>0</v>
      </c>
      <c r="H202" s="401"/>
      <c r="I202" s="587"/>
      <c r="J202" s="47"/>
      <c r="K202" s="590"/>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6"/>
      <c r="ZZ202" s="621"/>
      <c r="AAA202" s="587"/>
      <c r="AAB202"/>
      <c r="AAC202"/>
      <c r="AAD202" s="112"/>
      <c r="AAE202" s="551">
        <f t="shared" si="855"/>
        <v>1</v>
      </c>
      <c r="AAF202" s="582" t="s">
        <v>172</v>
      </c>
      <c r="AAG202" s="63"/>
      <c r="AAH202" s="76" t="s">
        <v>0</v>
      </c>
      <c r="AAI202" s="77"/>
      <c r="AAJ202" s="77"/>
      <c r="AAK202" s="77"/>
      <c r="AAL202" s="56"/>
      <c r="AAM202" s="112"/>
      <c r="AAU202" s="44"/>
    </row>
    <row r="203" spans="1:732" s="23" customFormat="1" ht="15" hidden="1" customHeight="1" outlineLevel="2">
      <c r="A203" s="557"/>
      <c r="B203" s="387" t="s">
        <v>197</v>
      </c>
      <c r="C203" s="168"/>
      <c r="D203" s="308" t="s">
        <v>157</v>
      </c>
      <c r="E203" s="368">
        <f>NETWORKDAYS(G203,H203,S.DDL_DEQClosed)</f>
        <v>1</v>
      </c>
      <c r="F203" s="491">
        <f ca="1">NETWORKDAYS(TODAY(),H203)</f>
        <v>-5</v>
      </c>
      <c r="G203" s="383">
        <f>AAG203</f>
        <v>41478</v>
      </c>
      <c r="H203" s="369">
        <f>AAH203</f>
        <v>41478</v>
      </c>
      <c r="I203" s="587"/>
      <c r="J203" s="47"/>
      <c r="K203" s="590"/>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7"/>
      <c r="AAB203"/>
      <c r="AAC203"/>
      <c r="AAD203" s="112"/>
      <c r="AAE203" s="551">
        <f t="shared" si="855"/>
        <v>1</v>
      </c>
      <c r="AAF203" s="112"/>
      <c r="AAG203" s="78">
        <f>H201</f>
        <v>41478</v>
      </c>
      <c r="AAH203" s="78">
        <f>G203</f>
        <v>41478</v>
      </c>
      <c r="AAI203" s="77"/>
      <c r="AAJ203" s="77"/>
      <c r="AAK203" s="77"/>
      <c r="AAL203" s="56"/>
      <c r="AAM203" s="112"/>
      <c r="AAU203" s="44"/>
    </row>
    <row r="204" spans="1:732" s="23" customFormat="1" ht="15" hidden="1" customHeight="1" outlineLevel="2">
      <c r="A204" s="557"/>
      <c r="B204" s="387" t="s">
        <v>54</v>
      </c>
      <c r="C204" s="168"/>
      <c r="D204" s="308" t="s">
        <v>358</v>
      </c>
      <c r="E204" s="368">
        <f t="shared" ref="E204:E206" si="886">NETWORKDAYS(G204,H204,S.DDL_DEQClosed)</f>
        <v>1</v>
      </c>
      <c r="F204" s="491">
        <f t="shared" ref="F204:F206" ca="1" si="887">NETWORKDAYS(TODAY(),H204)</f>
        <v>-5</v>
      </c>
      <c r="G204" s="383">
        <f t="shared" ref="G204:G206" si="888">AAG204</f>
        <v>41478</v>
      </c>
      <c r="H204" s="369">
        <f t="shared" ref="H204:H206" si="889">AAH204</f>
        <v>41478</v>
      </c>
      <c r="I204" s="587"/>
      <c r="J204" s="47"/>
      <c r="K204" s="590"/>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7"/>
      <c r="AAB204"/>
      <c r="AAC204"/>
      <c r="AAD204" s="112"/>
      <c r="AAE204" s="551">
        <f t="shared" si="855"/>
        <v>1</v>
      </c>
      <c r="AAF204" s="112"/>
      <c r="AAG204" s="78">
        <f>H203</f>
        <v>41478</v>
      </c>
      <c r="AAH204" s="78">
        <f t="shared" ref="AAH204:AAH206" si="890">G204</f>
        <v>41478</v>
      </c>
      <c r="AAI204" s="77"/>
      <c r="AAJ204" s="77"/>
      <c r="AAK204" s="77"/>
      <c r="AAL204" s="56"/>
      <c r="AAM204" s="112"/>
      <c r="AAU204" s="44"/>
    </row>
    <row r="205" spans="1:732" s="23" customFormat="1" ht="15" hidden="1" customHeight="1" outlineLevel="2">
      <c r="A205" s="557"/>
      <c r="B205" s="404" t="str">
        <f ca="1">"Draft MINUTES."&amp;TEXT($G$187,"mm.dd.yy")&amp;""</f>
        <v>Draft MINUTES.07.29.13</v>
      </c>
      <c r="C205" s="231" t="s">
        <v>70</v>
      </c>
      <c r="D205" s="278" t="s">
        <v>377</v>
      </c>
      <c r="E205" s="368">
        <f t="shared" si="886"/>
        <v>1</v>
      </c>
      <c r="F205" s="491">
        <f t="shared" ca="1" si="887"/>
        <v>-5</v>
      </c>
      <c r="G205" s="383">
        <f t="shared" si="888"/>
        <v>41478</v>
      </c>
      <c r="H205" s="369">
        <f t="shared" si="889"/>
        <v>41478</v>
      </c>
      <c r="I205" s="587"/>
      <c r="J205" s="47"/>
      <c r="K205" s="590"/>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7"/>
      <c r="AAB205"/>
      <c r="AAC205"/>
      <c r="AAD205" s="112"/>
      <c r="AAE205" s="551">
        <f t="shared" si="855"/>
        <v>1</v>
      </c>
      <c r="AAF205" s="112"/>
      <c r="AAG205" s="78">
        <f t="shared" ref="AAG205:AAG206" si="891">H204</f>
        <v>41478</v>
      </c>
      <c r="AAH205" s="78">
        <f t="shared" si="890"/>
        <v>41478</v>
      </c>
      <c r="AAI205" s="77"/>
      <c r="AAJ205" s="77"/>
      <c r="AAK205" s="77"/>
      <c r="AAL205" s="89" t="str">
        <f>"Draft "&amp;S.CodeName&amp;"MINUTES.mm.dd.yyy.2.00"</f>
        <v>Draft MINUTES.mm.dd.yyy.2.00</v>
      </c>
      <c r="AAM205" s="112"/>
      <c r="AAU205" s="44"/>
    </row>
    <row r="206" spans="1:732" s="23" customFormat="1" ht="15" hidden="1" customHeight="1" outlineLevel="2">
      <c r="A206" s="557"/>
      <c r="B206" s="387" t="s">
        <v>53</v>
      </c>
      <c r="C206" s="168"/>
      <c r="D206" s="308" t="s">
        <v>358</v>
      </c>
      <c r="E206" s="368">
        <f t="shared" si="886"/>
        <v>1</v>
      </c>
      <c r="F206" s="491">
        <f t="shared" ca="1" si="887"/>
        <v>-5</v>
      </c>
      <c r="G206" s="383">
        <f t="shared" si="888"/>
        <v>41478</v>
      </c>
      <c r="H206" s="369">
        <f t="shared" si="889"/>
        <v>41478</v>
      </c>
      <c r="I206" s="587"/>
      <c r="J206" s="47"/>
      <c r="K206" s="590"/>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7"/>
      <c r="AAB206"/>
      <c r="AAC206"/>
      <c r="AAD206" s="112"/>
      <c r="AAE206" s="551">
        <f t="shared" si="855"/>
        <v>1</v>
      </c>
      <c r="AAF206" s="112"/>
      <c r="AAG206" s="78">
        <f t="shared" si="891"/>
        <v>41478</v>
      </c>
      <c r="AAH206" s="78">
        <f t="shared" si="890"/>
        <v>41478</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7"/>
      <c r="B207" s="243"/>
      <c r="C207" s="168"/>
      <c r="D207" s="308"/>
      <c r="E207" s="123"/>
      <c r="F207" s="124"/>
      <c r="G207" s="141"/>
      <c r="H207" s="227"/>
      <c r="I207" s="587"/>
      <c r="J207" s="590"/>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6"/>
      <c r="ZZ207" s="621"/>
      <c r="AAA207" s="587"/>
      <c r="AAB207"/>
      <c r="AAC207"/>
      <c r="AAD207" s="112"/>
      <c r="AAE207" s="551"/>
      <c r="AAF207" s="582" t="s">
        <v>172</v>
      </c>
      <c r="AAG207" s="63"/>
      <c r="AAH207" s="63"/>
      <c r="AAI207" s="77"/>
      <c r="AAJ207" s="77"/>
      <c r="AAK207" s="77"/>
      <c r="AAL207" s="56"/>
      <c r="AAM207" s="112"/>
      <c r="AAU207" s="44"/>
      <c r="AAV207"/>
      <c r="AAW207"/>
      <c r="AAX207"/>
      <c r="AAY207"/>
      <c r="AAZ207"/>
      <c r="ABA207"/>
      <c r="ABB207"/>
      <c r="ABC207"/>
      <c r="ABD207"/>
    </row>
    <row r="208" spans="1:732" ht="6" customHeight="1" collapsed="1">
      <c r="A208" s="557"/>
      <c r="B208" s="249"/>
      <c r="C208" s="170"/>
      <c r="D208" s="171"/>
      <c r="E208" s="172"/>
      <c r="F208" s="172"/>
      <c r="G208" s="171"/>
      <c r="H208" s="171"/>
      <c r="I208" s="587"/>
      <c r="J208" s="590"/>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6"/>
      <c r="ZZ208" s="621"/>
      <c r="AAA208" s="587"/>
      <c r="AAD208" s="112"/>
      <c r="AAE208" s="550" t="s">
        <v>26</v>
      </c>
      <c r="AAF208" s="582" t="s">
        <v>172</v>
      </c>
      <c r="AAG208" s="63"/>
      <c r="AAH208" s="63"/>
      <c r="AAI208" s="77"/>
      <c r="AAJ208" s="77"/>
      <c r="AAK208" s="77"/>
      <c r="AAL208" s="56"/>
      <c r="AAM208" s="112"/>
      <c r="AAN208"/>
      <c r="AAT208" s="23"/>
      <c r="AAU208" s="44"/>
    </row>
    <row r="209" spans="1:732" s="23" customFormat="1" ht="18" customHeight="1">
      <c r="A209" s="557"/>
      <c r="B209" s="757" t="str">
        <f>AAL209</f>
        <v>3-Fees Not Involved</v>
      </c>
      <c r="C209" s="757"/>
      <c r="D209" s="757"/>
      <c r="E209" s="757"/>
      <c r="F209" s="757"/>
      <c r="G209" s="757"/>
      <c r="H209" s="757"/>
      <c r="I209" s="626"/>
      <c r="J209" s="592"/>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8"/>
      <c r="ZZ209" s="119"/>
      <c r="AAA209" s="587"/>
      <c r="AAB209"/>
      <c r="AAC209"/>
      <c r="AAD209" s="112"/>
      <c r="AAE209" s="550" t="s">
        <v>27</v>
      </c>
      <c r="AAF209" s="582" t="s">
        <v>172</v>
      </c>
      <c r="AAG209" s="112"/>
      <c r="AAH209" s="112"/>
      <c r="AAI209" s="77"/>
      <c r="AAJ209" s="90"/>
      <c r="AAK209" s="90"/>
      <c r="AAL209" s="656" t="str">
        <f>AAL21</f>
        <v>3-Fees Not Involved</v>
      </c>
      <c r="AAM209" s="112"/>
      <c r="AAU209" s="44"/>
    </row>
    <row r="210" spans="1:732" s="23" customFormat="1" ht="18" customHeight="1">
      <c r="A210" s="557"/>
      <c r="B210" s="222" t="s">
        <v>15</v>
      </c>
      <c r="C210" s="703"/>
      <c r="D210" s="150" t="s">
        <v>239</v>
      </c>
      <c r="E210" s="151" t="s">
        <v>15</v>
      </c>
      <c r="F210" s="235" t="s">
        <v>2</v>
      </c>
      <c r="G210" s="152" t="s">
        <v>246</v>
      </c>
      <c r="H210" s="152" t="s">
        <v>87</v>
      </c>
      <c r="I210" s="626"/>
      <c r="J210" s="592"/>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8"/>
      <c r="ZZ210" s="119"/>
      <c r="AAA210" s="587"/>
      <c r="AAB210"/>
      <c r="AAC210"/>
      <c r="AAD210" s="112"/>
      <c r="AAE210" s="550" t="s">
        <v>243</v>
      </c>
      <c r="AAF210" s="582" t="s">
        <v>172</v>
      </c>
      <c r="AAG210" s="112"/>
      <c r="AAH210" s="112"/>
      <c r="AAI210" s="77"/>
      <c r="AAJ210" s="90"/>
      <c r="AAK210" s="90"/>
      <c r="AAL210" s="76"/>
      <c r="AAM210" s="112"/>
      <c r="AAU210" s="44"/>
    </row>
    <row r="211" spans="1:732" ht="18" customHeight="1">
      <c r="A211" s="557"/>
      <c r="B211" s="236"/>
      <c r="C211" s="250"/>
      <c r="D211" s="251"/>
      <c r="E211" s="252"/>
      <c r="F211" s="373">
        <f>NETWORKDAYS(S.BANNER.FeeStart,S.BANNER.FeeEnd,S.DDL_DEQClosed)</f>
        <v>50</v>
      </c>
      <c r="G211" s="314">
        <f>AAG211</f>
        <v>41435</v>
      </c>
      <c r="H211" s="253">
        <f>AAH211</f>
        <v>41505</v>
      </c>
      <c r="I211" s="626"/>
      <c r="J211" s="628"/>
      <c r="K211" s="634"/>
      <c r="L211" s="634"/>
      <c r="M211" s="634"/>
      <c r="N211" s="634"/>
      <c r="O211" s="634"/>
      <c r="P211" s="634"/>
      <c r="Q211" s="634"/>
      <c r="R211" s="634"/>
      <c r="S211" s="634"/>
      <c r="T211" s="634"/>
      <c r="U211" s="634"/>
      <c r="V211" s="634"/>
      <c r="W211" s="634"/>
      <c r="X211" s="634"/>
      <c r="Y211" s="634"/>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c r="AU211" s="634"/>
      <c r="AV211" s="634"/>
      <c r="AW211" s="634"/>
      <c r="AX211" s="634"/>
      <c r="AY211" s="634"/>
      <c r="AZ211" s="634"/>
      <c r="BA211" s="634"/>
      <c r="BB211" s="634"/>
      <c r="BC211" s="634"/>
      <c r="BD211" s="634"/>
      <c r="BE211" s="634"/>
      <c r="BF211" s="634"/>
      <c r="BG211" s="634"/>
      <c r="BH211" s="634"/>
      <c r="BI211" s="634"/>
      <c r="BJ211" s="634"/>
      <c r="BK211" s="634"/>
      <c r="BL211" s="634"/>
      <c r="BM211" s="634"/>
      <c r="BN211" s="634"/>
      <c r="BO211" s="634"/>
      <c r="BP211" s="634"/>
      <c r="BQ211" s="634"/>
      <c r="BR211" s="634"/>
      <c r="BS211" s="634"/>
      <c r="BT211" s="634"/>
      <c r="BU211" s="634"/>
      <c r="BV211" s="634"/>
      <c r="BW211" s="634"/>
      <c r="BX211" s="634"/>
      <c r="BY211" s="634"/>
      <c r="BZ211" s="634"/>
      <c r="CA211" s="634"/>
      <c r="CB211" s="634"/>
      <c r="CC211" s="634"/>
      <c r="CD211" s="634"/>
      <c r="CE211" s="634"/>
      <c r="CF211" s="634"/>
      <c r="CG211" s="634"/>
      <c r="CH211" s="634"/>
      <c r="CI211" s="634"/>
      <c r="CJ211" s="634"/>
      <c r="CK211" s="634"/>
      <c r="CL211" s="634"/>
      <c r="CM211" s="634"/>
      <c r="CN211" s="634"/>
      <c r="CO211" s="634"/>
      <c r="CP211" s="634"/>
      <c r="CQ211" s="634"/>
      <c r="CR211" s="634"/>
      <c r="CS211" s="634"/>
      <c r="CT211" s="634"/>
      <c r="CU211" s="634"/>
      <c r="CV211" s="634"/>
      <c r="CW211" s="634"/>
      <c r="CX211" s="634"/>
      <c r="CY211" s="634"/>
      <c r="CZ211" s="634"/>
      <c r="DA211" s="634"/>
      <c r="DB211" s="634"/>
      <c r="DC211" s="634"/>
      <c r="DD211" s="634"/>
      <c r="DE211" s="634"/>
      <c r="DF211" s="634"/>
      <c r="DG211" s="634"/>
      <c r="DH211" s="634"/>
      <c r="DI211" s="634"/>
      <c r="DJ211" s="634"/>
      <c r="DK211" s="634"/>
      <c r="DL211" s="634"/>
      <c r="DM211" s="634"/>
      <c r="DN211" s="634"/>
      <c r="DO211" s="634"/>
      <c r="DP211" s="634"/>
      <c r="DQ211" s="634"/>
      <c r="DR211" s="634"/>
      <c r="DS211" s="634"/>
      <c r="DT211" s="634"/>
      <c r="DU211" s="634"/>
      <c r="DV211" s="634"/>
      <c r="DW211" s="634"/>
      <c r="DX211" s="634"/>
      <c r="DY211" s="634"/>
      <c r="DZ211" s="634"/>
      <c r="EA211" s="634"/>
      <c r="EB211" s="634"/>
      <c r="EC211" s="634"/>
      <c r="ED211" s="634"/>
      <c r="EE211" s="634"/>
      <c r="EF211" s="634"/>
      <c r="EG211" s="634"/>
      <c r="EH211" s="634"/>
      <c r="EI211" s="634"/>
      <c r="EJ211" s="634"/>
      <c r="EK211" s="634"/>
      <c r="EL211" s="634"/>
      <c r="EM211" s="634"/>
      <c r="EN211" s="634"/>
      <c r="EO211" s="634"/>
      <c r="EP211" s="634"/>
      <c r="EQ211" s="634"/>
      <c r="ER211" s="634"/>
      <c r="ES211" s="634"/>
      <c r="ET211" s="634"/>
      <c r="EU211" s="634"/>
      <c r="EV211" s="634"/>
      <c r="EW211" s="634"/>
      <c r="EX211" s="634"/>
      <c r="EY211" s="634"/>
      <c r="EZ211" s="634"/>
      <c r="FA211" s="634"/>
      <c r="FB211" s="634"/>
      <c r="FC211" s="634"/>
      <c r="FD211" s="634"/>
      <c r="FE211" s="634"/>
      <c r="FF211" s="634"/>
      <c r="FG211" s="634"/>
      <c r="FH211" s="634"/>
      <c r="FI211" s="634"/>
      <c r="FJ211" s="634"/>
      <c r="FK211" s="634"/>
      <c r="FL211" s="634"/>
      <c r="FM211" s="634"/>
      <c r="FN211" s="634"/>
      <c r="FO211" s="634"/>
      <c r="FP211" s="634"/>
      <c r="FQ211" s="634"/>
      <c r="FR211" s="634"/>
      <c r="FS211" s="634"/>
      <c r="FT211" s="634"/>
      <c r="FU211" s="634"/>
      <c r="FV211" s="634"/>
      <c r="FW211" s="634"/>
      <c r="FX211" s="634"/>
      <c r="FY211" s="634"/>
      <c r="FZ211" s="634"/>
      <c r="GA211" s="634"/>
      <c r="GB211" s="634"/>
      <c r="GC211" s="634"/>
      <c r="GD211" s="634"/>
      <c r="GE211" s="634"/>
      <c r="GF211" s="634"/>
      <c r="GG211" s="634"/>
      <c r="GH211" s="634"/>
      <c r="GI211" s="634"/>
      <c r="GJ211" s="634"/>
      <c r="GK211" s="634"/>
      <c r="GL211" s="634"/>
      <c r="GM211" s="634"/>
      <c r="GN211" s="634"/>
      <c r="GO211" s="634"/>
      <c r="GP211" s="634"/>
      <c r="GQ211" s="634"/>
      <c r="GR211" s="634"/>
      <c r="GS211" s="634"/>
      <c r="GT211" s="634"/>
      <c r="GU211" s="634"/>
      <c r="GV211" s="634"/>
      <c r="GW211" s="634"/>
      <c r="GX211" s="634"/>
      <c r="GY211" s="634"/>
      <c r="GZ211" s="634"/>
      <c r="HA211" s="634"/>
      <c r="HB211" s="634"/>
      <c r="HC211" s="634"/>
      <c r="HD211" s="634"/>
      <c r="HE211" s="634"/>
      <c r="HF211" s="634"/>
      <c r="HG211" s="634"/>
      <c r="HH211" s="634"/>
      <c r="HI211" s="634"/>
      <c r="HJ211" s="634"/>
      <c r="HK211" s="634"/>
      <c r="HL211" s="634"/>
      <c r="HM211" s="634"/>
      <c r="HN211" s="634"/>
      <c r="HO211" s="634"/>
      <c r="HP211" s="634"/>
      <c r="HQ211" s="634"/>
      <c r="HR211" s="634"/>
      <c r="HS211" s="634"/>
      <c r="HT211" s="634"/>
      <c r="HU211" s="634"/>
      <c r="HV211" s="634"/>
      <c r="HW211" s="634"/>
      <c r="HX211" s="634"/>
      <c r="HY211" s="634"/>
      <c r="HZ211" s="634"/>
      <c r="IA211" s="634"/>
      <c r="IB211" s="634"/>
      <c r="IC211" s="634"/>
      <c r="ID211" s="634"/>
      <c r="IE211" s="634"/>
      <c r="IF211" s="634"/>
      <c r="IG211" s="634"/>
      <c r="IH211" s="634"/>
      <c r="II211" s="634"/>
      <c r="IJ211" s="634"/>
      <c r="IK211" s="634"/>
      <c r="IL211" s="634"/>
      <c r="IM211" s="634"/>
      <c r="IN211" s="634"/>
      <c r="IO211" s="634"/>
      <c r="IP211" s="634"/>
      <c r="IQ211" s="634"/>
      <c r="IR211" s="634"/>
      <c r="IS211" s="634"/>
      <c r="IT211" s="634"/>
      <c r="IU211" s="634"/>
      <c r="IV211" s="634"/>
      <c r="IW211" s="634"/>
      <c r="IX211" s="634"/>
      <c r="IY211" s="634"/>
      <c r="IZ211" s="634"/>
      <c r="JA211" s="634"/>
      <c r="JB211" s="634"/>
      <c r="JC211" s="634"/>
      <c r="JD211" s="634"/>
      <c r="JE211" s="634"/>
      <c r="JF211" s="634"/>
      <c r="JG211" s="634"/>
      <c r="JH211" s="634"/>
      <c r="JI211" s="634"/>
      <c r="JJ211" s="634"/>
      <c r="JK211" s="634"/>
      <c r="JL211" s="634"/>
      <c r="JM211" s="634"/>
      <c r="JN211" s="634"/>
      <c r="JO211" s="634"/>
      <c r="JP211" s="634"/>
      <c r="JQ211" s="634"/>
      <c r="JR211" s="634"/>
      <c r="JS211" s="634"/>
      <c r="JT211" s="634"/>
      <c r="JU211" s="634"/>
      <c r="JV211" s="634"/>
      <c r="JW211" s="634"/>
      <c r="JX211" s="634"/>
      <c r="JY211" s="634"/>
      <c r="JZ211" s="634"/>
      <c r="KA211" s="634"/>
      <c r="KB211" s="634"/>
      <c r="KC211" s="634"/>
      <c r="KD211" s="634"/>
      <c r="KE211" s="634"/>
      <c r="KF211" s="634"/>
      <c r="KG211" s="634"/>
      <c r="KH211" s="634"/>
      <c r="KI211" s="634"/>
      <c r="KJ211" s="634"/>
      <c r="KK211" s="634"/>
      <c r="KL211" s="634"/>
      <c r="KM211" s="634"/>
      <c r="KN211" s="634"/>
      <c r="KO211" s="634"/>
      <c r="KP211" s="634"/>
      <c r="KQ211" s="634"/>
      <c r="KR211" s="634"/>
      <c r="KS211" s="634"/>
      <c r="KT211" s="634"/>
      <c r="KU211" s="634"/>
      <c r="KV211" s="634"/>
      <c r="KW211" s="634"/>
      <c r="KX211" s="634"/>
      <c r="KY211" s="634"/>
      <c r="KZ211" s="634"/>
      <c r="LA211" s="634"/>
      <c r="LB211" s="634"/>
      <c r="LC211" s="634"/>
      <c r="LD211" s="634"/>
      <c r="LE211" s="634"/>
      <c r="LF211" s="634"/>
      <c r="LG211" s="634"/>
      <c r="LH211" s="634"/>
      <c r="LI211" s="634"/>
      <c r="LJ211" s="634"/>
      <c r="LK211" s="634"/>
      <c r="LL211" s="634"/>
      <c r="LM211" s="634"/>
      <c r="LN211" s="634"/>
      <c r="LO211" s="634"/>
      <c r="LP211" s="634"/>
      <c r="LQ211" s="634"/>
      <c r="LR211" s="634"/>
      <c r="LS211" s="634"/>
      <c r="LT211" s="634"/>
      <c r="LU211" s="634"/>
      <c r="LV211" s="634"/>
      <c r="LW211" s="634"/>
      <c r="LX211" s="634"/>
      <c r="LY211" s="634"/>
      <c r="LZ211" s="634"/>
      <c r="MA211" s="634"/>
      <c r="MB211" s="634"/>
      <c r="MC211" s="634"/>
      <c r="MD211" s="634"/>
      <c r="ME211" s="634"/>
      <c r="MF211" s="634"/>
      <c r="MG211" s="634"/>
      <c r="MH211" s="634"/>
      <c r="MI211" s="634"/>
      <c r="MJ211" s="634"/>
      <c r="MK211" s="634"/>
      <c r="ML211" s="634"/>
      <c r="MM211" s="634"/>
      <c r="MN211" s="634"/>
      <c r="MO211" s="634"/>
      <c r="MP211" s="634"/>
      <c r="MQ211" s="634"/>
      <c r="MR211" s="634"/>
      <c r="MS211" s="634"/>
      <c r="MT211" s="634"/>
      <c r="MU211" s="634"/>
      <c r="MV211" s="634"/>
      <c r="MW211" s="634"/>
      <c r="MX211" s="634"/>
      <c r="MY211" s="634"/>
      <c r="MZ211" s="634"/>
      <c r="NA211" s="634"/>
      <c r="NB211" s="634"/>
      <c r="NC211" s="634"/>
      <c r="ND211" s="634"/>
      <c r="NE211" s="634"/>
      <c r="NF211" s="634"/>
      <c r="NG211" s="634"/>
      <c r="NH211" s="634"/>
      <c r="NI211" s="634"/>
      <c r="NJ211" s="634"/>
      <c r="NK211" s="634"/>
      <c r="NL211" s="634"/>
      <c r="NM211" s="634"/>
      <c r="NN211" s="634"/>
      <c r="NO211" s="634"/>
      <c r="NP211" s="634"/>
      <c r="NQ211" s="634"/>
      <c r="NR211" s="634"/>
      <c r="NS211" s="634"/>
      <c r="NT211" s="634"/>
      <c r="NU211" s="634"/>
      <c r="NV211" s="634"/>
      <c r="NW211" s="634"/>
      <c r="NX211" s="634"/>
      <c r="NY211" s="634"/>
      <c r="NZ211" s="634"/>
      <c r="OA211" s="634"/>
      <c r="OB211" s="634"/>
      <c r="OC211" s="634"/>
      <c r="OD211" s="634"/>
      <c r="OE211" s="634"/>
      <c r="OF211" s="634"/>
      <c r="OG211" s="634"/>
      <c r="OH211" s="634"/>
      <c r="OI211" s="634"/>
      <c r="OJ211" s="634"/>
      <c r="OK211" s="634"/>
      <c r="OL211" s="634"/>
      <c r="OM211" s="634"/>
      <c r="ON211" s="634"/>
      <c r="OO211" s="634"/>
      <c r="OP211" s="634"/>
      <c r="OQ211" s="634"/>
      <c r="OR211" s="634"/>
      <c r="OS211" s="634"/>
      <c r="OT211" s="634"/>
      <c r="OU211" s="634"/>
      <c r="OV211" s="634"/>
      <c r="OW211" s="634"/>
      <c r="OX211" s="634"/>
      <c r="OY211" s="634"/>
      <c r="OZ211" s="634"/>
      <c r="PA211" s="634"/>
      <c r="PB211" s="634"/>
      <c r="PC211" s="634"/>
      <c r="PD211" s="634"/>
      <c r="PE211" s="634"/>
      <c r="PF211" s="634"/>
      <c r="PG211" s="634"/>
      <c r="PH211" s="634"/>
      <c r="PI211" s="634"/>
      <c r="PJ211" s="634"/>
      <c r="PK211" s="634"/>
      <c r="PL211" s="634"/>
      <c r="PM211" s="634"/>
      <c r="PN211" s="634"/>
      <c r="PO211" s="634"/>
      <c r="PP211" s="634"/>
      <c r="PQ211" s="634"/>
      <c r="PR211" s="634"/>
      <c r="PS211" s="634"/>
      <c r="PT211" s="634"/>
      <c r="PU211" s="634"/>
      <c r="PV211" s="634"/>
      <c r="PW211" s="634"/>
      <c r="PX211" s="634"/>
      <c r="PY211" s="634"/>
      <c r="PZ211" s="634"/>
      <c r="QA211" s="634"/>
      <c r="QB211" s="634"/>
      <c r="QC211" s="634"/>
      <c r="QD211" s="634"/>
      <c r="QE211" s="634"/>
      <c r="QF211" s="634"/>
      <c r="QG211" s="634"/>
      <c r="QH211" s="634"/>
      <c r="QI211" s="634"/>
      <c r="QJ211" s="634"/>
      <c r="QK211" s="634"/>
      <c r="QL211" s="634"/>
      <c r="QM211" s="634"/>
      <c r="QN211" s="634"/>
      <c r="QO211" s="634"/>
      <c r="QP211" s="634"/>
      <c r="QQ211" s="634"/>
      <c r="QR211" s="634"/>
      <c r="QS211" s="634"/>
      <c r="QT211" s="634"/>
      <c r="QU211" s="634"/>
      <c r="QV211" s="634"/>
      <c r="QW211" s="634"/>
      <c r="QX211" s="634"/>
      <c r="QY211" s="634"/>
      <c r="QZ211" s="634"/>
      <c r="RA211" s="634"/>
      <c r="RB211" s="634"/>
      <c r="RC211" s="634"/>
      <c r="RD211" s="634"/>
      <c r="RE211" s="634"/>
      <c r="RF211" s="634"/>
      <c r="RG211" s="634"/>
      <c r="RH211" s="634"/>
      <c r="RI211" s="634"/>
      <c r="RJ211" s="634"/>
      <c r="RK211" s="634"/>
      <c r="RL211" s="634"/>
      <c r="RM211" s="634"/>
      <c r="RN211" s="634"/>
      <c r="RO211" s="634"/>
      <c r="RP211" s="634"/>
      <c r="RQ211" s="634"/>
      <c r="RR211" s="634"/>
      <c r="RS211" s="634"/>
      <c r="RT211" s="634"/>
      <c r="RU211" s="634"/>
      <c r="RV211" s="634"/>
      <c r="RW211" s="634"/>
      <c r="RX211" s="634"/>
      <c r="RY211" s="634"/>
      <c r="RZ211" s="634"/>
      <c r="SA211" s="634"/>
      <c r="SB211" s="634"/>
      <c r="SC211" s="634"/>
      <c r="SD211" s="634"/>
      <c r="SE211" s="634"/>
      <c r="SF211" s="634"/>
      <c r="SG211" s="634"/>
      <c r="SH211" s="634"/>
      <c r="SI211" s="634"/>
      <c r="SJ211" s="634"/>
      <c r="SK211" s="634"/>
      <c r="SL211" s="634"/>
      <c r="SM211" s="634"/>
      <c r="SN211" s="634"/>
      <c r="SO211" s="634"/>
      <c r="SP211" s="634"/>
      <c r="SQ211" s="634"/>
      <c r="SR211" s="634"/>
      <c r="SS211" s="634"/>
      <c r="ST211" s="634"/>
      <c r="SU211" s="634"/>
      <c r="SV211" s="634"/>
      <c r="SW211" s="634"/>
      <c r="SX211" s="634"/>
      <c r="SY211" s="634"/>
      <c r="SZ211" s="634"/>
      <c r="TA211" s="634"/>
      <c r="TB211" s="634"/>
      <c r="TC211" s="634"/>
      <c r="TD211" s="634"/>
      <c r="TE211" s="634"/>
      <c r="TF211" s="634"/>
      <c r="TG211" s="634"/>
      <c r="TH211" s="634"/>
      <c r="TI211" s="634"/>
      <c r="TJ211" s="634"/>
      <c r="TK211" s="634"/>
      <c r="TL211" s="634"/>
      <c r="TM211" s="634"/>
      <c r="TN211" s="634"/>
      <c r="TO211" s="634"/>
      <c r="TP211" s="634"/>
      <c r="TQ211" s="634"/>
      <c r="TR211" s="634"/>
      <c r="TS211" s="634"/>
      <c r="TT211" s="634"/>
      <c r="TU211" s="634"/>
      <c r="TV211" s="634"/>
      <c r="TW211" s="634"/>
      <c r="TX211" s="634"/>
      <c r="TY211" s="634"/>
      <c r="TZ211" s="634"/>
      <c r="UA211" s="634"/>
      <c r="UB211" s="634"/>
      <c r="UC211" s="634"/>
      <c r="UD211" s="634"/>
      <c r="UE211" s="634"/>
      <c r="UF211" s="634"/>
      <c r="UG211" s="634"/>
      <c r="UH211" s="634"/>
      <c r="UI211" s="634"/>
      <c r="UJ211" s="634"/>
      <c r="UK211" s="634"/>
      <c r="UL211" s="634"/>
      <c r="UM211" s="634"/>
      <c r="UN211" s="634"/>
      <c r="UO211" s="634"/>
      <c r="UP211" s="634"/>
      <c r="UQ211" s="634"/>
      <c r="UR211" s="634"/>
      <c r="US211" s="634"/>
      <c r="UT211" s="634"/>
      <c r="UU211" s="634"/>
      <c r="UV211" s="634"/>
      <c r="UW211" s="634"/>
      <c r="UX211" s="634"/>
      <c r="UY211" s="634"/>
      <c r="UZ211" s="634"/>
      <c r="VA211" s="634"/>
      <c r="VB211" s="634"/>
      <c r="VC211" s="634"/>
      <c r="VD211" s="634"/>
      <c r="VE211" s="634"/>
      <c r="VF211" s="634"/>
      <c r="VG211" s="634"/>
      <c r="VH211" s="634"/>
      <c r="VI211" s="634"/>
      <c r="VJ211" s="634"/>
      <c r="VK211" s="634"/>
      <c r="VL211" s="634"/>
      <c r="VM211" s="634"/>
      <c r="VN211" s="634"/>
      <c r="VO211" s="634"/>
      <c r="VP211" s="634"/>
      <c r="VQ211" s="634"/>
      <c r="VR211" s="634"/>
      <c r="VS211" s="634"/>
      <c r="VT211" s="634"/>
      <c r="VU211" s="634"/>
      <c r="VV211" s="634"/>
      <c r="VW211" s="634"/>
      <c r="VX211" s="634"/>
      <c r="VY211" s="634"/>
      <c r="VZ211" s="634"/>
      <c r="WA211" s="634"/>
      <c r="WB211" s="634"/>
      <c r="WC211" s="634"/>
      <c r="WD211" s="634"/>
      <c r="WE211" s="634"/>
      <c r="WF211" s="634"/>
      <c r="WG211" s="634"/>
      <c r="WH211" s="634"/>
      <c r="WI211" s="634"/>
      <c r="WJ211" s="634"/>
      <c r="WK211" s="634"/>
      <c r="WL211" s="634"/>
      <c r="WM211" s="634"/>
      <c r="WN211" s="634"/>
      <c r="WO211" s="634"/>
      <c r="WP211" s="634"/>
      <c r="WQ211" s="634"/>
      <c r="WR211" s="634"/>
      <c r="WS211" s="634"/>
      <c r="WT211" s="634"/>
      <c r="WU211" s="634"/>
      <c r="WV211" s="634"/>
      <c r="WW211" s="634"/>
      <c r="WX211" s="634"/>
      <c r="WY211" s="634"/>
      <c r="WZ211" s="634"/>
      <c r="XA211" s="634"/>
      <c r="XB211" s="634"/>
      <c r="XC211" s="634"/>
      <c r="XD211" s="634"/>
      <c r="XE211" s="634"/>
      <c r="XF211" s="634"/>
      <c r="XG211" s="634"/>
      <c r="XH211" s="634"/>
      <c r="XI211" s="634"/>
      <c r="XJ211" s="634"/>
      <c r="XK211" s="634"/>
      <c r="XL211" s="634"/>
      <c r="XM211" s="634"/>
      <c r="XN211" s="634"/>
      <c r="XO211" s="634"/>
      <c r="XP211" s="634"/>
      <c r="XQ211" s="634"/>
      <c r="XR211" s="634"/>
      <c r="XS211" s="634"/>
      <c r="XT211" s="634"/>
      <c r="XU211" s="634"/>
      <c r="XV211" s="634"/>
      <c r="XW211" s="634"/>
      <c r="XX211" s="634"/>
      <c r="XY211" s="634"/>
      <c r="XZ211" s="634"/>
      <c r="YA211" s="634"/>
      <c r="YB211" s="634"/>
      <c r="YC211" s="634"/>
      <c r="YD211" s="634"/>
      <c r="YE211" s="634"/>
      <c r="YF211" s="634"/>
      <c r="YG211" s="634"/>
      <c r="YH211" s="634"/>
      <c r="YI211" s="634"/>
      <c r="YJ211" s="634"/>
      <c r="YK211" s="634"/>
      <c r="YL211" s="634"/>
      <c r="YM211" s="634"/>
      <c r="YN211" s="634"/>
      <c r="YO211" s="634"/>
      <c r="YP211" s="634"/>
      <c r="YQ211" s="634"/>
      <c r="YR211" s="634"/>
      <c r="YS211" s="634"/>
      <c r="YT211" s="634"/>
      <c r="YU211" s="634"/>
      <c r="YV211" s="634"/>
      <c r="YW211" s="634"/>
      <c r="YX211" s="634"/>
      <c r="YY211" s="634"/>
      <c r="YZ211" s="634"/>
      <c r="ZA211" s="634"/>
      <c r="ZB211" s="634"/>
      <c r="ZC211" s="634"/>
      <c r="ZD211" s="634"/>
      <c r="ZE211" s="634"/>
      <c r="ZF211" s="634"/>
      <c r="ZG211" s="634"/>
      <c r="ZH211" s="634"/>
      <c r="ZI211" s="634"/>
      <c r="ZJ211" s="634"/>
      <c r="ZK211" s="634"/>
      <c r="ZL211" s="634"/>
      <c r="ZM211" s="634"/>
      <c r="ZN211" s="634"/>
      <c r="ZO211" s="634"/>
      <c r="ZP211" s="634"/>
      <c r="ZQ211" s="634"/>
      <c r="ZR211" s="634"/>
      <c r="ZS211" s="634"/>
      <c r="ZT211" s="634"/>
      <c r="ZU211" s="634"/>
      <c r="ZV211" s="634"/>
      <c r="ZW211" s="634"/>
      <c r="ZX211" s="634"/>
      <c r="ZY211" s="637"/>
      <c r="ZZ211" s="119"/>
      <c r="AAA211" s="587"/>
      <c r="AAD211" s="112"/>
      <c r="AAE211" s="550" t="s">
        <v>243</v>
      </c>
      <c r="AAF211" s="582" t="s">
        <v>172</v>
      </c>
      <c r="AAG211" s="78">
        <f>G21</f>
        <v>41435</v>
      </c>
      <c r="AAH211" s="78">
        <f>WORKDAY(S.SubmitNoticeToSOS+2,1,S.DDL_DEQClosed)</f>
        <v>41505</v>
      </c>
      <c r="AAI211" s="77"/>
      <c r="AAJ211" s="77"/>
      <c r="AAK211" s="77"/>
      <c r="AAL211" s="79"/>
      <c r="AAM211" s="112"/>
      <c r="AAN211"/>
      <c r="AAT211" s="23"/>
      <c r="AAU211" s="44"/>
    </row>
    <row r="212" spans="1:732" ht="6" customHeight="1">
      <c r="A212" s="557"/>
      <c r="B212" s="206"/>
      <c r="C212" s="688"/>
      <c r="D212" s="180"/>
      <c r="E212" s="181"/>
      <c r="F212" s="181"/>
      <c r="G212" s="180"/>
      <c r="H212" s="180"/>
      <c r="I212" s="587"/>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7"/>
      <c r="AAD212" s="112"/>
      <c r="AAE212" s="551" t="s">
        <v>20</v>
      </c>
      <c r="AAF212" s="582" t="s">
        <v>172</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7"/>
      <c r="B213" s="254" t="s">
        <v>139</v>
      </c>
      <c r="C213" s="168"/>
      <c r="D213" s="497" t="s">
        <v>358</v>
      </c>
      <c r="E213" s="490">
        <f>NETWORKDAYS(G213,H213,S.DDL_DEQClosed)</f>
        <v>1</v>
      </c>
      <c r="F213" s="372">
        <f ca="1">NETWORKDAYS(TODAY(),H213)</f>
        <v>-36</v>
      </c>
      <c r="G213" s="369">
        <f>AAG213</f>
        <v>41435</v>
      </c>
      <c r="H213" s="369">
        <f>AAH213</f>
        <v>41435</v>
      </c>
      <c r="I213" s="626"/>
      <c r="J213" s="639"/>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c r="AR213" s="640"/>
      <c r="AS213" s="640"/>
      <c r="AT213" s="640"/>
      <c r="AU213" s="640"/>
      <c r="AV213" s="640"/>
      <c r="AW213" s="640"/>
      <c r="AX213" s="640"/>
      <c r="AY213" s="640"/>
      <c r="AZ213" s="640"/>
      <c r="BA213" s="640"/>
      <c r="BB213" s="640"/>
      <c r="BC213" s="640"/>
      <c r="BD213" s="640"/>
      <c r="BE213" s="640"/>
      <c r="BF213" s="640"/>
      <c r="BG213" s="640"/>
      <c r="BH213" s="640"/>
      <c r="BI213" s="640"/>
      <c r="BJ213" s="640"/>
      <c r="BK213" s="640"/>
      <c r="BL213" s="640"/>
      <c r="BM213" s="640"/>
      <c r="BN213" s="640"/>
      <c r="BO213" s="640"/>
      <c r="BP213" s="640"/>
      <c r="BQ213" s="640"/>
      <c r="BR213" s="640"/>
      <c r="BS213" s="640"/>
      <c r="BT213" s="640"/>
      <c r="BU213" s="640"/>
      <c r="BV213" s="640"/>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c r="DH213" s="640"/>
      <c r="DI213" s="640"/>
      <c r="DJ213" s="640"/>
      <c r="DK213" s="640"/>
      <c r="DL213" s="640"/>
      <c r="DM213" s="640"/>
      <c r="DN213" s="640"/>
      <c r="DO213" s="640"/>
      <c r="DP213" s="640"/>
      <c r="DQ213" s="640"/>
      <c r="DR213" s="640"/>
      <c r="DS213" s="640"/>
      <c r="DT213" s="640"/>
      <c r="DU213" s="640"/>
      <c r="DV213" s="640"/>
      <c r="DW213" s="640"/>
      <c r="DX213" s="640"/>
      <c r="DY213" s="640"/>
      <c r="DZ213" s="640"/>
      <c r="EA213" s="640"/>
      <c r="EB213" s="640"/>
      <c r="EC213" s="640"/>
      <c r="ED213" s="640"/>
      <c r="EE213" s="640"/>
      <c r="EF213" s="640"/>
      <c r="EG213" s="640"/>
      <c r="EH213" s="640"/>
      <c r="EI213" s="640"/>
      <c r="EJ213" s="640"/>
      <c r="EK213" s="640"/>
      <c r="EL213" s="640"/>
      <c r="EM213" s="640"/>
      <c r="EN213" s="640"/>
      <c r="EO213" s="640"/>
      <c r="EP213" s="640"/>
      <c r="EQ213" s="640"/>
      <c r="ER213" s="640"/>
      <c r="ES213" s="640"/>
      <c r="ET213" s="640"/>
      <c r="EU213" s="640"/>
      <c r="EV213" s="640"/>
      <c r="EW213" s="640"/>
      <c r="EX213" s="640"/>
      <c r="EY213" s="640"/>
      <c r="EZ213" s="640"/>
      <c r="FA213" s="640"/>
      <c r="FB213" s="640"/>
      <c r="FC213" s="640"/>
      <c r="FD213" s="640"/>
      <c r="FE213" s="640"/>
      <c r="FF213" s="640"/>
      <c r="FG213" s="640"/>
      <c r="FH213" s="640"/>
      <c r="FI213" s="640"/>
      <c r="FJ213" s="640"/>
      <c r="FK213" s="640"/>
      <c r="FL213" s="640"/>
      <c r="FM213" s="640"/>
      <c r="FN213" s="640"/>
      <c r="FO213" s="640"/>
      <c r="FP213" s="640"/>
      <c r="FQ213" s="640"/>
      <c r="FR213" s="640"/>
      <c r="FS213" s="640"/>
      <c r="FT213" s="640"/>
      <c r="FU213" s="640"/>
      <c r="FV213" s="640"/>
      <c r="FW213" s="640"/>
      <c r="FX213" s="640"/>
      <c r="FY213" s="640"/>
      <c r="FZ213" s="640"/>
      <c r="GA213" s="640"/>
      <c r="GB213" s="640"/>
      <c r="GC213" s="640"/>
      <c r="GD213" s="640"/>
      <c r="GE213" s="640"/>
      <c r="GF213" s="640"/>
      <c r="GG213" s="640"/>
      <c r="GH213" s="640"/>
      <c r="GI213" s="640"/>
      <c r="GJ213" s="640"/>
      <c r="GK213" s="640"/>
      <c r="GL213" s="640"/>
      <c r="GM213" s="640"/>
      <c r="GN213" s="640"/>
      <c r="GO213" s="640"/>
      <c r="GP213" s="640"/>
      <c r="GQ213" s="640"/>
      <c r="GR213" s="640"/>
      <c r="GS213" s="640"/>
      <c r="GT213" s="640"/>
      <c r="GU213" s="640"/>
      <c r="GV213" s="640"/>
      <c r="GW213" s="640"/>
      <c r="GX213" s="640"/>
      <c r="GY213" s="640"/>
      <c r="GZ213" s="640"/>
      <c r="HA213" s="640"/>
      <c r="HB213" s="640"/>
      <c r="HC213" s="640"/>
      <c r="HD213" s="640"/>
      <c r="HE213" s="640"/>
      <c r="HF213" s="640"/>
      <c r="HG213" s="640"/>
      <c r="HH213" s="640"/>
      <c r="HI213" s="640"/>
      <c r="HJ213" s="640"/>
      <c r="HK213" s="640"/>
      <c r="HL213" s="640"/>
      <c r="HM213" s="640"/>
      <c r="HN213" s="640"/>
      <c r="HO213" s="640"/>
      <c r="HP213" s="640"/>
      <c r="HQ213" s="640"/>
      <c r="HR213" s="640"/>
      <c r="HS213" s="640"/>
      <c r="HT213" s="640"/>
      <c r="HU213" s="640"/>
      <c r="HV213" s="640"/>
      <c r="HW213" s="640"/>
      <c r="HX213" s="640"/>
      <c r="HY213" s="640"/>
      <c r="HZ213" s="640"/>
      <c r="IA213" s="640"/>
      <c r="IB213" s="640"/>
      <c r="IC213" s="640"/>
      <c r="ID213" s="640"/>
      <c r="IE213" s="640"/>
      <c r="IF213" s="640"/>
      <c r="IG213" s="640"/>
      <c r="IH213" s="640"/>
      <c r="II213" s="640"/>
      <c r="IJ213" s="640"/>
      <c r="IK213" s="640"/>
      <c r="IL213" s="640"/>
      <c r="IM213" s="640"/>
      <c r="IN213" s="640"/>
      <c r="IO213" s="640"/>
      <c r="IP213" s="640"/>
      <c r="IQ213" s="640"/>
      <c r="IR213" s="640"/>
      <c r="IS213" s="640"/>
      <c r="IT213" s="640"/>
      <c r="IU213" s="640"/>
      <c r="IV213" s="640"/>
      <c r="IW213" s="640"/>
      <c r="IX213" s="640"/>
      <c r="IY213" s="640"/>
      <c r="IZ213" s="640"/>
      <c r="JA213" s="640"/>
      <c r="JB213" s="640"/>
      <c r="JC213" s="640"/>
      <c r="JD213" s="640"/>
      <c r="JE213" s="640"/>
      <c r="JF213" s="640"/>
      <c r="JG213" s="640"/>
      <c r="JH213" s="640"/>
      <c r="JI213" s="640"/>
      <c r="JJ213" s="640"/>
      <c r="JK213" s="640"/>
      <c r="JL213" s="640"/>
      <c r="JM213" s="640"/>
      <c r="JN213" s="640"/>
      <c r="JO213" s="640"/>
      <c r="JP213" s="640"/>
      <c r="JQ213" s="640"/>
      <c r="JR213" s="640"/>
      <c r="JS213" s="640"/>
      <c r="JT213" s="640"/>
      <c r="JU213" s="640"/>
      <c r="JV213" s="640"/>
      <c r="JW213" s="640"/>
      <c r="JX213" s="640"/>
      <c r="JY213" s="640"/>
      <c r="JZ213" s="640"/>
      <c r="KA213" s="640"/>
      <c r="KB213" s="640"/>
      <c r="KC213" s="640"/>
      <c r="KD213" s="640"/>
      <c r="KE213" s="640"/>
      <c r="KF213" s="640"/>
      <c r="KG213" s="640"/>
      <c r="KH213" s="640"/>
      <c r="KI213" s="640"/>
      <c r="KJ213" s="640"/>
      <c r="KK213" s="640"/>
      <c r="KL213" s="640"/>
      <c r="KM213" s="640"/>
      <c r="KN213" s="640"/>
      <c r="KO213" s="640"/>
      <c r="KP213" s="640"/>
      <c r="KQ213" s="640"/>
      <c r="KR213" s="640"/>
      <c r="KS213" s="640"/>
      <c r="KT213" s="640"/>
      <c r="KU213" s="640"/>
      <c r="KV213" s="640"/>
      <c r="KW213" s="640"/>
      <c r="KX213" s="640"/>
      <c r="KY213" s="640"/>
      <c r="KZ213" s="640"/>
      <c r="LA213" s="640"/>
      <c r="LB213" s="640"/>
      <c r="LC213" s="640"/>
      <c r="LD213" s="640"/>
      <c r="LE213" s="640"/>
      <c r="LF213" s="640"/>
      <c r="LG213" s="640"/>
      <c r="LH213" s="640"/>
      <c r="LI213" s="640"/>
      <c r="LJ213" s="640"/>
      <c r="LK213" s="640"/>
      <c r="LL213" s="640"/>
      <c r="LM213" s="640"/>
      <c r="LN213" s="640"/>
      <c r="LO213" s="640"/>
      <c r="LP213" s="640"/>
      <c r="LQ213" s="640"/>
      <c r="LR213" s="640"/>
      <c r="LS213" s="640"/>
      <c r="LT213" s="640"/>
      <c r="LU213" s="640"/>
      <c r="LV213" s="640"/>
      <c r="LW213" s="640"/>
      <c r="LX213" s="640"/>
      <c r="LY213" s="640"/>
      <c r="LZ213" s="640"/>
      <c r="MA213" s="640"/>
      <c r="MB213" s="640"/>
      <c r="MC213" s="640"/>
      <c r="MD213" s="640"/>
      <c r="ME213" s="640"/>
      <c r="MF213" s="640"/>
      <c r="MG213" s="640"/>
      <c r="MH213" s="640"/>
      <c r="MI213" s="640"/>
      <c r="MJ213" s="640"/>
      <c r="MK213" s="640"/>
      <c r="ML213" s="640"/>
      <c r="MM213" s="640"/>
      <c r="MN213" s="640"/>
      <c r="MO213" s="640"/>
      <c r="MP213" s="640"/>
      <c r="MQ213" s="640"/>
      <c r="MR213" s="640"/>
      <c r="MS213" s="640"/>
      <c r="MT213" s="640"/>
      <c r="MU213" s="640"/>
      <c r="MV213" s="640"/>
      <c r="MW213" s="640"/>
      <c r="MX213" s="640"/>
      <c r="MY213" s="640"/>
      <c r="MZ213" s="640"/>
      <c r="NA213" s="640"/>
      <c r="NB213" s="640"/>
      <c r="NC213" s="640"/>
      <c r="ND213" s="640"/>
      <c r="NE213" s="640"/>
      <c r="NF213" s="640"/>
      <c r="NG213" s="640"/>
      <c r="NH213" s="640"/>
      <c r="NI213" s="640"/>
      <c r="NJ213" s="640"/>
      <c r="NK213" s="640"/>
      <c r="NL213" s="640"/>
      <c r="NM213" s="640"/>
      <c r="NN213" s="640"/>
      <c r="NO213" s="640"/>
      <c r="NP213" s="640"/>
      <c r="NQ213" s="640"/>
      <c r="NR213" s="640"/>
      <c r="NS213" s="640"/>
      <c r="NT213" s="640"/>
      <c r="NU213" s="640"/>
      <c r="NV213" s="640"/>
      <c r="NW213" s="640"/>
      <c r="NX213" s="640"/>
      <c r="NY213" s="640"/>
      <c r="NZ213" s="640"/>
      <c r="OA213" s="640"/>
      <c r="OB213" s="640"/>
      <c r="OC213" s="640"/>
      <c r="OD213" s="640"/>
      <c r="OE213" s="640"/>
      <c r="OF213" s="640"/>
      <c r="OG213" s="640"/>
      <c r="OH213" s="640"/>
      <c r="OI213" s="640"/>
      <c r="OJ213" s="640"/>
      <c r="OK213" s="640"/>
      <c r="OL213" s="640"/>
      <c r="OM213" s="640"/>
      <c r="ON213" s="640"/>
      <c r="OO213" s="640"/>
      <c r="OP213" s="640"/>
      <c r="OQ213" s="640"/>
      <c r="OR213" s="640"/>
      <c r="OS213" s="640"/>
      <c r="OT213" s="640"/>
      <c r="OU213" s="640"/>
      <c r="OV213" s="640"/>
      <c r="OW213" s="640"/>
      <c r="OX213" s="640"/>
      <c r="OY213" s="640"/>
      <c r="OZ213" s="640"/>
      <c r="PA213" s="640"/>
      <c r="PB213" s="640"/>
      <c r="PC213" s="640"/>
      <c r="PD213" s="640"/>
      <c r="PE213" s="640"/>
      <c r="PF213" s="640"/>
      <c r="PG213" s="640"/>
      <c r="PH213" s="640"/>
      <c r="PI213" s="640"/>
      <c r="PJ213" s="640"/>
      <c r="PK213" s="640"/>
      <c r="PL213" s="640"/>
      <c r="PM213" s="640"/>
      <c r="PN213" s="640"/>
      <c r="PO213" s="640"/>
      <c r="PP213" s="640"/>
      <c r="PQ213" s="640"/>
      <c r="PR213" s="640"/>
      <c r="PS213" s="640"/>
      <c r="PT213" s="640"/>
      <c r="PU213" s="640"/>
      <c r="PV213" s="640"/>
      <c r="PW213" s="640"/>
      <c r="PX213" s="640"/>
      <c r="PY213" s="640"/>
      <c r="PZ213" s="640"/>
      <c r="QA213" s="640"/>
      <c r="QB213" s="640"/>
      <c r="QC213" s="640"/>
      <c r="QD213" s="640"/>
      <c r="QE213" s="640"/>
      <c r="QF213" s="640"/>
      <c r="QG213" s="640"/>
      <c r="QH213" s="640"/>
      <c r="QI213" s="640"/>
      <c r="QJ213" s="640"/>
      <c r="QK213" s="640"/>
      <c r="QL213" s="640"/>
      <c r="QM213" s="640"/>
      <c r="QN213" s="640"/>
      <c r="QO213" s="640"/>
      <c r="QP213" s="640"/>
      <c r="QQ213" s="640"/>
      <c r="QR213" s="640"/>
      <c r="QS213" s="640"/>
      <c r="QT213" s="640"/>
      <c r="QU213" s="640"/>
      <c r="QV213" s="640"/>
      <c r="QW213" s="640"/>
      <c r="QX213" s="640"/>
      <c r="QY213" s="640"/>
      <c r="QZ213" s="640"/>
      <c r="RA213" s="640"/>
      <c r="RB213" s="640"/>
      <c r="RC213" s="640"/>
      <c r="RD213" s="640"/>
      <c r="RE213" s="640"/>
      <c r="RF213" s="640"/>
      <c r="RG213" s="640"/>
      <c r="RH213" s="640"/>
      <c r="RI213" s="640"/>
      <c r="RJ213" s="640"/>
      <c r="RK213" s="640"/>
      <c r="RL213" s="640"/>
      <c r="RM213" s="640"/>
      <c r="RN213" s="640"/>
      <c r="RO213" s="640"/>
      <c r="RP213" s="640"/>
      <c r="RQ213" s="640"/>
      <c r="RR213" s="640"/>
      <c r="RS213" s="640"/>
      <c r="RT213" s="640"/>
      <c r="RU213" s="640"/>
      <c r="RV213" s="640"/>
      <c r="RW213" s="640"/>
      <c r="RX213" s="640"/>
      <c r="RY213" s="640"/>
      <c r="RZ213" s="640"/>
      <c r="SA213" s="640"/>
      <c r="SB213" s="640"/>
      <c r="SC213" s="640"/>
      <c r="SD213" s="640"/>
      <c r="SE213" s="640"/>
      <c r="SF213" s="640"/>
      <c r="SG213" s="640"/>
      <c r="SH213" s="640"/>
      <c r="SI213" s="640"/>
      <c r="SJ213" s="640"/>
      <c r="SK213" s="640"/>
      <c r="SL213" s="640"/>
      <c r="SM213" s="640"/>
      <c r="SN213" s="640"/>
      <c r="SO213" s="640"/>
      <c r="SP213" s="640"/>
      <c r="SQ213" s="640"/>
      <c r="SR213" s="640"/>
      <c r="SS213" s="640"/>
      <c r="ST213" s="640"/>
      <c r="SU213" s="640"/>
      <c r="SV213" s="640"/>
      <c r="SW213" s="640"/>
      <c r="SX213" s="640"/>
      <c r="SY213" s="640"/>
      <c r="SZ213" s="640"/>
      <c r="TA213" s="640"/>
      <c r="TB213" s="640"/>
      <c r="TC213" s="640"/>
      <c r="TD213" s="640"/>
      <c r="TE213" s="640"/>
      <c r="TF213" s="640"/>
      <c r="TG213" s="640"/>
      <c r="TH213" s="640"/>
      <c r="TI213" s="640"/>
      <c r="TJ213" s="640"/>
      <c r="TK213" s="640"/>
      <c r="TL213" s="640"/>
      <c r="TM213" s="640"/>
      <c r="TN213" s="640"/>
      <c r="TO213" s="640"/>
      <c r="TP213" s="640"/>
      <c r="TQ213" s="640"/>
      <c r="TR213" s="640"/>
      <c r="TS213" s="640"/>
      <c r="TT213" s="640"/>
      <c r="TU213" s="640"/>
      <c r="TV213" s="640"/>
      <c r="TW213" s="640"/>
      <c r="TX213" s="640"/>
      <c r="TY213" s="640"/>
      <c r="TZ213" s="640"/>
      <c r="UA213" s="640"/>
      <c r="UB213" s="640"/>
      <c r="UC213" s="640"/>
      <c r="UD213" s="640"/>
      <c r="UE213" s="640"/>
      <c r="UF213" s="640"/>
      <c r="UG213" s="640"/>
      <c r="UH213" s="640"/>
      <c r="UI213" s="640"/>
      <c r="UJ213" s="640"/>
      <c r="UK213" s="640"/>
      <c r="UL213" s="640"/>
      <c r="UM213" s="640"/>
      <c r="UN213" s="640"/>
      <c r="UO213" s="640"/>
      <c r="UP213" s="640"/>
      <c r="UQ213" s="640"/>
      <c r="UR213" s="640"/>
      <c r="US213" s="640"/>
      <c r="UT213" s="640"/>
      <c r="UU213" s="640"/>
      <c r="UV213" s="640"/>
      <c r="UW213" s="640"/>
      <c r="UX213" s="640"/>
      <c r="UY213" s="640"/>
      <c r="UZ213" s="640"/>
      <c r="VA213" s="640"/>
      <c r="VB213" s="640"/>
      <c r="VC213" s="640"/>
      <c r="VD213" s="640"/>
      <c r="VE213" s="640"/>
      <c r="VF213" s="640"/>
      <c r="VG213" s="640"/>
      <c r="VH213" s="640"/>
      <c r="VI213" s="640"/>
      <c r="VJ213" s="640"/>
      <c r="VK213" s="640"/>
      <c r="VL213" s="640"/>
      <c r="VM213" s="640"/>
      <c r="VN213" s="640"/>
      <c r="VO213" s="640"/>
      <c r="VP213" s="640"/>
      <c r="VQ213" s="640"/>
      <c r="VR213" s="640"/>
      <c r="VS213" s="640"/>
      <c r="VT213" s="640"/>
      <c r="VU213" s="640"/>
      <c r="VV213" s="640"/>
      <c r="VW213" s="640"/>
      <c r="VX213" s="640"/>
      <c r="VY213" s="640"/>
      <c r="VZ213" s="640"/>
      <c r="WA213" s="640"/>
      <c r="WB213" s="640"/>
      <c r="WC213" s="640"/>
      <c r="WD213" s="640"/>
      <c r="WE213" s="640"/>
      <c r="WF213" s="640"/>
      <c r="WG213" s="640"/>
      <c r="WH213" s="640"/>
      <c r="WI213" s="640"/>
      <c r="WJ213" s="640"/>
      <c r="WK213" s="640"/>
      <c r="WL213" s="640"/>
      <c r="WM213" s="640"/>
      <c r="WN213" s="640"/>
      <c r="WO213" s="640"/>
      <c r="WP213" s="640"/>
      <c r="WQ213" s="640"/>
      <c r="WR213" s="640"/>
      <c r="WS213" s="640"/>
      <c r="WT213" s="640"/>
      <c r="WU213" s="640"/>
      <c r="WV213" s="640"/>
      <c r="WW213" s="640"/>
      <c r="WX213" s="640"/>
      <c r="WY213" s="640"/>
      <c r="WZ213" s="640"/>
      <c r="XA213" s="640"/>
      <c r="XB213" s="640"/>
      <c r="XC213" s="640"/>
      <c r="XD213" s="640"/>
      <c r="XE213" s="640"/>
      <c r="XF213" s="640"/>
      <c r="XG213" s="640"/>
      <c r="XH213" s="640"/>
      <c r="XI213" s="640"/>
      <c r="XJ213" s="640"/>
      <c r="XK213" s="640"/>
      <c r="XL213" s="640"/>
      <c r="XM213" s="640"/>
      <c r="XN213" s="640"/>
      <c r="XO213" s="640"/>
      <c r="XP213" s="640"/>
      <c r="XQ213" s="640"/>
      <c r="XR213" s="640"/>
      <c r="XS213" s="640"/>
      <c r="XT213" s="640"/>
      <c r="XU213" s="640"/>
      <c r="XV213" s="640"/>
      <c r="XW213" s="640"/>
      <c r="XX213" s="640"/>
      <c r="XY213" s="640"/>
      <c r="XZ213" s="640"/>
      <c r="YA213" s="640"/>
      <c r="YB213" s="640"/>
      <c r="YC213" s="640"/>
      <c r="YD213" s="640"/>
      <c r="YE213" s="640"/>
      <c r="YF213" s="640"/>
      <c r="YG213" s="640"/>
      <c r="YH213" s="640"/>
      <c r="YI213" s="640"/>
      <c r="YJ213" s="640"/>
      <c r="YK213" s="640"/>
      <c r="YL213" s="640"/>
      <c r="YM213" s="640"/>
      <c r="YN213" s="640"/>
      <c r="YO213" s="640"/>
      <c r="YP213" s="640"/>
      <c r="YQ213" s="640"/>
      <c r="YR213" s="640"/>
      <c r="YS213" s="640"/>
      <c r="YT213" s="640"/>
      <c r="YU213" s="640"/>
      <c r="YV213" s="640"/>
      <c r="YW213" s="640"/>
      <c r="YX213" s="640"/>
      <c r="YY213" s="640"/>
      <c r="YZ213" s="640"/>
      <c r="ZA213" s="640"/>
      <c r="ZB213" s="640"/>
      <c r="ZC213" s="640"/>
      <c r="ZD213" s="640"/>
      <c r="ZE213" s="640"/>
      <c r="ZF213" s="640"/>
      <c r="ZG213" s="640"/>
      <c r="ZH213" s="640"/>
      <c r="ZI213" s="640"/>
      <c r="ZJ213" s="640"/>
      <c r="ZK213" s="640"/>
      <c r="ZL213" s="640"/>
      <c r="ZM213" s="640"/>
      <c r="ZN213" s="640"/>
      <c r="ZO213" s="640"/>
      <c r="ZP213" s="640"/>
      <c r="ZQ213" s="640"/>
      <c r="ZR213" s="640"/>
      <c r="ZS213" s="640"/>
      <c r="ZT213" s="640"/>
      <c r="ZU213" s="640"/>
      <c r="ZV213" s="640"/>
      <c r="ZW213" s="640"/>
      <c r="ZX213" s="640"/>
      <c r="ZY213" s="50"/>
      <c r="ZZ213" s="50"/>
      <c r="AAA213" s="587"/>
      <c r="AAD213" s="112"/>
      <c r="AAE213" s="550">
        <f>IF(S.InvolveFee=TRUE,1,0)</f>
        <v>0</v>
      </c>
      <c r="AAF213" s="112" t="s">
        <v>0</v>
      </c>
      <c r="AAG213" s="78">
        <f>S.BANNER.FeeStart</f>
        <v>41435</v>
      </c>
      <c r="AAH213" s="78">
        <f>G213</f>
        <v>41435</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7"/>
      <c r="B214" s="531" t="str">
        <f>AAL214</f>
        <v>No DAS involvement</v>
      </c>
      <c r="C214" s="530"/>
      <c r="D214" s="497" t="s">
        <v>358</v>
      </c>
      <c r="E214" s="490">
        <f t="shared" ref="E214" si="892">NETWORKDAYS(G214,H214,S.DDL_DEQClosed)</f>
        <v>48</v>
      </c>
      <c r="F214" s="372">
        <f ca="1">NETWORKDAYS(TODAY(),H214)</f>
        <v>14</v>
      </c>
      <c r="G214" s="369">
        <f>AAG214</f>
        <v>41435</v>
      </c>
      <c r="H214" s="369">
        <f>AAH214</f>
        <v>41501</v>
      </c>
      <c r="I214" s="626"/>
      <c r="J214" s="591"/>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7"/>
      <c r="ZZ214" s="36"/>
      <c r="AAA214" s="587"/>
      <c r="AAB214"/>
      <c r="AAC214"/>
      <c r="AAD214" s="112"/>
      <c r="AAE214" s="550">
        <f>IF(AND(S.InvolveFee=TRUE,S.DASApprovalRequired=FALSE),1,0)</f>
        <v>0</v>
      </c>
      <c r="AAF214" s="582" t="s">
        <v>172</v>
      </c>
      <c r="AAG214" s="78">
        <f>S.BANNER.FeeStart</f>
        <v>41435</v>
      </c>
      <c r="AAH214" s="78">
        <f>S.SubmitNoticeToSOS</f>
        <v>41501</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7"/>
      <c r="B215" s="255" t="s">
        <v>140</v>
      </c>
      <c r="C215" s="173"/>
      <c r="D215" s="188"/>
      <c r="E215" s="160"/>
      <c r="F215" s="160"/>
      <c r="G215" s="174"/>
      <c r="H215" s="174"/>
      <c r="I215" s="626"/>
      <c r="J215" s="591"/>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7"/>
      <c r="ZZ215" s="36"/>
      <c r="AAA215" s="587"/>
      <c r="AAB215"/>
      <c r="AAC215"/>
      <c r="AAD215" s="112"/>
      <c r="AAE215" s="550">
        <f>IF(AND(S.InvolveFee=TRUE,S.DASApprovalRequired=FALSE),1,0)</f>
        <v>0</v>
      </c>
      <c r="AAF215" s="582" t="s">
        <v>172</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7"/>
      <c r="B216" s="256" t="str">
        <f>AAL215</f>
        <v>a. FEE.ANALYSIS (blank in folder 3)</v>
      </c>
      <c r="C216" s="168"/>
      <c r="D216" s="397"/>
      <c r="E216" s="176"/>
      <c r="F216" s="176"/>
      <c r="G216" s="161"/>
      <c r="H216" s="161"/>
      <c r="I216" s="626"/>
      <c r="J216" s="591"/>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7"/>
      <c r="ZZ216" s="36"/>
      <c r="AAA216" s="587"/>
      <c r="AAD216" s="112"/>
      <c r="AAE216" s="550">
        <f>IF(AND(S.InvolveFee=TRUE,S.DASApprovalRequired=FALSE),1,0)</f>
        <v>0</v>
      </c>
      <c r="AAF216" s="582" t="s">
        <v>172</v>
      </c>
      <c r="AAG216" s="76"/>
      <c r="AAH216" s="76"/>
      <c r="AAI216" s="77"/>
      <c r="AAJ216" s="77"/>
      <c r="AAK216" s="77"/>
      <c r="AAL216" s="89" t="str">
        <f>"b. "&amp;S.CodeName&amp;"FEE.SUPPORT.DOCS"</f>
        <v>b. FEE.SUPPORT.DOCS</v>
      </c>
      <c r="AAM216" s="112"/>
      <c r="AAN216"/>
      <c r="AAT216" s="23"/>
      <c r="AAU216" s="44"/>
    </row>
    <row r="217" spans="1:732" ht="15" hidden="1" outlineLevel="1">
      <c r="A217" s="557"/>
      <c r="B217" s="256" t="str">
        <f>AAL216</f>
        <v>b. FEE.SUPPORT.DOCS</v>
      </c>
      <c r="C217" s="168"/>
      <c r="D217" s="397"/>
      <c r="E217" s="176"/>
      <c r="F217" s="176"/>
      <c r="G217" s="161"/>
      <c r="H217" s="161"/>
      <c r="I217" s="626"/>
      <c r="J217" s="591"/>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7"/>
      <c r="ZZ217" s="36"/>
      <c r="AAA217" s="587"/>
      <c r="AAD217" s="112"/>
      <c r="AAE217" s="550">
        <f>IF(AND(S.InvolveFee=TRUE,S.DASApprovalRequired=FALSE),1,0)</f>
        <v>0</v>
      </c>
      <c r="AAF217" s="582" t="s">
        <v>172</v>
      </c>
      <c r="AAG217" s="76"/>
      <c r="AAH217" s="76"/>
      <c r="AAI217" s="76"/>
      <c r="AAJ217" s="57"/>
      <c r="AAK217" s="57"/>
      <c r="AAL217" s="80"/>
      <c r="AAM217" s="112"/>
      <c r="AAN217"/>
      <c r="AAT217" s="23"/>
      <c r="AAU217" s="44"/>
    </row>
    <row r="218" spans="1:732" ht="15" hidden="1" outlineLevel="1">
      <c r="A218" s="557"/>
      <c r="B218" s="257" t="s">
        <v>180</v>
      </c>
      <c r="C218" s="173"/>
      <c r="D218" s="498"/>
      <c r="E218" s="191"/>
      <c r="F218" s="191"/>
      <c r="G218" s="177"/>
      <c r="H218" s="177"/>
      <c r="I218" s="626"/>
      <c r="J218" s="591"/>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7"/>
      <c r="ZZ218" s="36"/>
      <c r="AAA218" s="587"/>
      <c r="AAD218" s="112"/>
      <c r="AAE218" s="550">
        <f>IF(AND(S.InvolveFee=TRUE,S.DASApprovalRequired=FALSE),1,0)</f>
        <v>0</v>
      </c>
      <c r="AAF218" s="582" t="s">
        <v>172</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7"/>
      <c r="B219" s="531" t="str">
        <f>AAL219</f>
        <v>No DAS involvement</v>
      </c>
      <c r="C219" s="530"/>
      <c r="D219" s="497" t="s">
        <v>358</v>
      </c>
      <c r="E219" s="490">
        <f t="shared" ref="E219:E225" si="893">NETWORKDAYS(G219,H219,S.DDL_DEQClosed)</f>
        <v>26</v>
      </c>
      <c r="F219" s="372">
        <f ca="1">NETWORKDAYS(TODAY(),H219)</f>
        <v>-10</v>
      </c>
      <c r="G219" s="369">
        <f>AAG219</f>
        <v>41435</v>
      </c>
      <c r="H219" s="369">
        <f>AAH219</f>
        <v>41471</v>
      </c>
      <c r="I219" s="626"/>
      <c r="J219" s="591"/>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7"/>
      <c r="AAD219" s="112"/>
      <c r="AAE219" s="550">
        <f t="shared" ref="AAE219:AAE247" si="894">IF(AND(S.InvolveFee=TRUE,S.DASApprovalRequired=TRUE),1,0)</f>
        <v>0</v>
      </c>
      <c r="AAF219" s="112" t="s">
        <v>0</v>
      </c>
      <c r="AAG219" s="78">
        <f>S.BANNER.FeeStart</f>
        <v>41435</v>
      </c>
      <c r="AAH219" s="78">
        <f>WORKDAY(S.SubmitNoticeToSOS-29,-1,S.DDL_DEQClosed)</f>
        <v>41471</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7"/>
      <c r="B220" s="255" t="s">
        <v>250</v>
      </c>
      <c r="C220" s="173"/>
      <c r="D220" s="281"/>
      <c r="E220" s="123"/>
      <c r="F220" s="124"/>
      <c r="G220" s="178"/>
      <c r="H220" s="178"/>
      <c r="I220" s="587"/>
      <c r="J220" s="591"/>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7"/>
      <c r="ZZ220" s="36"/>
      <c r="AAA220" s="587"/>
      <c r="AAB220"/>
      <c r="AAC220"/>
      <c r="AAD220" s="112"/>
      <c r="AAE220" s="550">
        <f t="shared" si="894"/>
        <v>0</v>
      </c>
      <c r="AAF220" s="582" t="s">
        <v>172</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7"/>
      <c r="B221" s="256" t="str">
        <f>AAL220</f>
        <v>a. FEE.ANALYSIS (blank in folder 3)</v>
      </c>
      <c r="C221" s="168"/>
      <c r="D221" s="499"/>
      <c r="E221" s="176"/>
      <c r="F221" s="176"/>
      <c r="G221" s="161"/>
      <c r="H221" s="161"/>
      <c r="I221" s="587"/>
      <c r="J221" s="591"/>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7"/>
      <c r="ZZ221" s="36"/>
      <c r="AAA221" s="587"/>
      <c r="AAD221" s="112"/>
      <c r="AAE221" s="550">
        <f t="shared" si="894"/>
        <v>0</v>
      </c>
      <c r="AAF221" s="582" t="s">
        <v>172</v>
      </c>
      <c r="AAG221" s="76"/>
      <c r="AAH221" s="76"/>
      <c r="AAI221" s="77"/>
      <c r="AAJ221" s="77"/>
      <c r="AAK221" s="77"/>
      <c r="AAL221" s="89" t="str">
        <f>"b. "&amp;S.CodeName&amp;"FEE.SUPPORT.DOCS"</f>
        <v>b. FEE.SUPPORT.DOCS</v>
      </c>
      <c r="AAM221" s="112"/>
      <c r="AAN221"/>
      <c r="AAT221" s="23"/>
      <c r="AAU221" s="44"/>
    </row>
    <row r="222" spans="1:732" ht="15" hidden="1" customHeight="1" outlineLevel="1">
      <c r="A222" s="557"/>
      <c r="B222" s="256" t="str">
        <f>AAL221</f>
        <v>b. FEE.SUPPORT.DOCS</v>
      </c>
      <c r="C222" s="168"/>
      <c r="D222" s="499"/>
      <c r="E222" s="176"/>
      <c r="F222" s="160"/>
      <c r="G222" s="161"/>
      <c r="H222" s="161"/>
      <c r="I222" s="587"/>
      <c r="J222" s="591"/>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7"/>
      <c r="ZZ222" s="36"/>
      <c r="AAA222" s="587"/>
      <c r="AAD222" s="112"/>
      <c r="AAE222" s="550">
        <f t="shared" si="894"/>
        <v>0</v>
      </c>
      <c r="AAF222" s="582" t="s">
        <v>172</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7"/>
      <c r="B223" s="256" t="str">
        <f>AAL222</f>
        <v>a. FEE.APPROVAL (link through FEE.ANALYSIS)</v>
      </c>
      <c r="C223" s="168"/>
      <c r="D223" s="499" t="s">
        <v>0</v>
      </c>
      <c r="E223" s="176"/>
      <c r="F223" s="176"/>
      <c r="G223" s="161"/>
      <c r="H223" s="161"/>
      <c r="I223" s="587"/>
      <c r="J223" s="591"/>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7"/>
      <c r="ZZ223" s="36"/>
      <c r="AAA223" s="587"/>
      <c r="AAD223" s="112"/>
      <c r="AAE223" s="550">
        <f t="shared" si="894"/>
        <v>0</v>
      </c>
      <c r="AAF223" s="582" t="s">
        <v>172</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7"/>
      <c r="B224" s="256" t="str">
        <f>AAL223</f>
        <v>b. FEE.DETAIL (link through FEE.ANALYSIS)</v>
      </c>
      <c r="C224" s="168"/>
      <c r="D224" s="499"/>
      <c r="E224" s="400"/>
      <c r="F224" s="400"/>
      <c r="G224" s="356"/>
      <c r="H224" s="356"/>
      <c r="I224" s="587"/>
      <c r="J224" s="591"/>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7"/>
      <c r="ZZ224" s="36"/>
      <c r="AAA224" s="587"/>
      <c r="AAD224" s="112"/>
      <c r="AAE224" s="550">
        <f t="shared" si="894"/>
        <v>0</v>
      </c>
      <c r="AAF224" s="582" t="s">
        <v>172</v>
      </c>
      <c r="AAG224" s="76"/>
      <c r="AAH224" s="76"/>
      <c r="AAI224" s="77"/>
      <c r="AAJ224" s="77"/>
      <c r="AAK224" s="77"/>
      <c r="AAL224" s="80"/>
      <c r="AAM224" s="112"/>
      <c r="AAN224"/>
      <c r="AAT224" s="23"/>
      <c r="AAU224" s="44"/>
    </row>
    <row r="225" spans="1:732" ht="15" hidden="1" outlineLevel="1">
      <c r="A225" s="557"/>
      <c r="B225" s="258" t="s">
        <v>251</v>
      </c>
      <c r="C225" s="239"/>
      <c r="D225" s="500" t="s">
        <v>358</v>
      </c>
      <c r="E225" s="490">
        <f t="shared" si="893"/>
        <v>1</v>
      </c>
      <c r="F225" s="372">
        <f t="shared" ref="F225:F229" ca="1" si="895">NETWORKDAYS(TODAY(),H225)</f>
        <v>-10</v>
      </c>
      <c r="G225" s="369">
        <f>AAG225</f>
        <v>41471</v>
      </c>
      <c r="H225" s="369">
        <f t="shared" ref="H225:H229" si="896">AAH225</f>
        <v>41471</v>
      </c>
      <c r="I225" s="626"/>
      <c r="J225" s="591"/>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7"/>
      <c r="AAD225" s="112"/>
      <c r="AAE225" s="550">
        <f t="shared" si="894"/>
        <v>0</v>
      </c>
      <c r="AAF225" s="112"/>
      <c r="AAG225" s="78">
        <f>H219</f>
        <v>41471</v>
      </c>
      <c r="AAH225" s="78">
        <f>G225</f>
        <v>41471</v>
      </c>
      <c r="AAI225" s="77"/>
      <c r="AAJ225" s="77"/>
      <c r="AAK225" s="77"/>
      <c r="AAL225" s="80"/>
      <c r="AAM225" s="112"/>
      <c r="AAN225"/>
      <c r="AAT225" s="23"/>
      <c r="AAU225" s="44"/>
    </row>
    <row r="226" spans="1:732" ht="22.5" hidden="1" outlineLevel="1">
      <c r="A226" s="557"/>
      <c r="B226" s="259" t="s">
        <v>113</v>
      </c>
      <c r="C226" s="239"/>
      <c r="D226" s="279" t="s">
        <v>381</v>
      </c>
      <c r="E226" s="490">
        <f>NETWORKDAYS(G226,H226,S.DDL_DEQClosed)</f>
        <v>1</v>
      </c>
      <c r="F226" s="372">
        <f t="shared" ca="1" si="895"/>
        <v>-10</v>
      </c>
      <c r="G226" s="369">
        <f t="shared" ref="G226:G229" si="897">AAG226</f>
        <v>41471</v>
      </c>
      <c r="H226" s="369">
        <f t="shared" si="896"/>
        <v>41471</v>
      </c>
      <c r="I226" s="626"/>
      <c r="J226" s="591"/>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7"/>
      <c r="AAD226" s="112"/>
      <c r="AAE226" s="550">
        <f t="shared" si="894"/>
        <v>0</v>
      </c>
      <c r="AAF226" s="112"/>
      <c r="AAG226" s="78">
        <f>H225</f>
        <v>41471</v>
      </c>
      <c r="AAH226" s="78">
        <f t="shared" ref="AAH226:AAH229" si="898">G226</f>
        <v>41471</v>
      </c>
      <c r="AAI226" s="77"/>
      <c r="AAJ226" s="77"/>
      <c r="AAK226" s="77"/>
      <c r="AAL226" s="80"/>
      <c r="AAM226" s="112"/>
      <c r="AAN226"/>
      <c r="AAT226" s="23"/>
      <c r="AAU226" s="44"/>
    </row>
    <row r="227" spans="1:732" ht="22.5" hidden="1" outlineLevel="1">
      <c r="A227" s="557"/>
      <c r="B227" s="261" t="s">
        <v>114</v>
      </c>
      <c r="C227" s="239"/>
      <c r="D227" s="279" t="s">
        <v>381</v>
      </c>
      <c r="E227" s="490">
        <f>NETWORKDAYS(G227,H227,S.DDL_DEQClosed)</f>
        <v>1</v>
      </c>
      <c r="F227" s="372">
        <f t="shared" ca="1" si="895"/>
        <v>-10</v>
      </c>
      <c r="G227" s="369">
        <f t="shared" si="897"/>
        <v>41471</v>
      </c>
      <c r="H227" s="369">
        <f t="shared" si="896"/>
        <v>41471</v>
      </c>
      <c r="I227" s="626"/>
      <c r="J227" s="591"/>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7"/>
      <c r="AAD227" s="112"/>
      <c r="AAE227" s="550">
        <f t="shared" si="894"/>
        <v>0</v>
      </c>
      <c r="AAF227" s="112"/>
      <c r="AAG227" s="78">
        <f t="shared" ref="AAG227:AAG229" si="899">H226</f>
        <v>41471</v>
      </c>
      <c r="AAH227" s="78">
        <f t="shared" si="898"/>
        <v>41471</v>
      </c>
      <c r="AAI227" s="77"/>
      <c r="AAJ227" s="77"/>
      <c r="AAK227" s="77"/>
      <c r="AAL227" s="80"/>
      <c r="AAM227" s="112"/>
      <c r="AAN227"/>
      <c r="AAT227" s="23"/>
      <c r="AAU227" s="44"/>
    </row>
    <row r="228" spans="1:732" ht="22.5" hidden="1" outlineLevel="1">
      <c r="A228" s="557"/>
      <c r="B228" s="262" t="s">
        <v>115</v>
      </c>
      <c r="C228" s="239"/>
      <c r="D228" s="279" t="s">
        <v>381</v>
      </c>
      <c r="E228" s="490">
        <f>NETWORKDAYS(G228,H228,S.DDL_DEQClosed)</f>
        <v>1</v>
      </c>
      <c r="F228" s="372">
        <f t="shared" ca="1" si="895"/>
        <v>-10</v>
      </c>
      <c r="G228" s="369">
        <f t="shared" si="897"/>
        <v>41471</v>
      </c>
      <c r="H228" s="369">
        <f t="shared" si="896"/>
        <v>41471</v>
      </c>
      <c r="I228" s="626"/>
      <c r="J228" s="591"/>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7"/>
      <c r="AAD228" s="112"/>
      <c r="AAE228" s="550">
        <f t="shared" si="894"/>
        <v>0</v>
      </c>
      <c r="AAF228" s="112"/>
      <c r="AAG228" s="78">
        <f t="shared" si="899"/>
        <v>41471</v>
      </c>
      <c r="AAH228" s="78">
        <f t="shared" si="898"/>
        <v>41471</v>
      </c>
      <c r="AAI228" s="77"/>
      <c r="AAJ228" s="77"/>
      <c r="AAK228" s="77"/>
      <c r="AAL228" s="80"/>
      <c r="AAM228" s="112"/>
      <c r="AAN228"/>
      <c r="AAT228" s="23"/>
      <c r="AAU228" s="44"/>
    </row>
    <row r="229" spans="1:732" ht="22.5" hidden="1" outlineLevel="1">
      <c r="A229" s="557"/>
      <c r="B229" s="263" t="s">
        <v>116</v>
      </c>
      <c r="C229" s="239"/>
      <c r="D229" s="279" t="s">
        <v>381</v>
      </c>
      <c r="E229" s="490">
        <f>NETWORKDAYS(G229,H229,S.DDL_DEQClosed)</f>
        <v>1</v>
      </c>
      <c r="F229" s="372">
        <f t="shared" ca="1" si="895"/>
        <v>-10</v>
      </c>
      <c r="G229" s="369">
        <f t="shared" si="897"/>
        <v>41471</v>
      </c>
      <c r="H229" s="369">
        <f t="shared" si="896"/>
        <v>41471</v>
      </c>
      <c r="I229" s="626"/>
      <c r="J229" s="591"/>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7"/>
      <c r="AAD229" s="112"/>
      <c r="AAE229" s="550">
        <f t="shared" si="894"/>
        <v>0</v>
      </c>
      <c r="AAF229" s="112"/>
      <c r="AAG229" s="78">
        <f t="shared" si="899"/>
        <v>41471</v>
      </c>
      <c r="AAH229" s="78">
        <f t="shared" si="898"/>
        <v>41471</v>
      </c>
      <c r="AAI229" s="77"/>
      <c r="AAJ229" s="77"/>
      <c r="AAK229" s="77"/>
      <c r="AAL229" s="80"/>
      <c r="AAM229" s="112"/>
      <c r="AAN229"/>
      <c r="AAT229" s="23"/>
      <c r="AAU229" s="44"/>
    </row>
    <row r="230" spans="1:732" ht="82.5" hidden="1" customHeight="1" outlineLevel="1">
      <c r="A230" s="557"/>
      <c r="B230" s="742" t="s">
        <v>341</v>
      </c>
      <c r="C230" s="742"/>
      <c r="D230" s="742"/>
      <c r="E230" s="742"/>
      <c r="F230" s="742"/>
      <c r="G230" s="742"/>
      <c r="H230" s="742"/>
      <c r="I230" s="587"/>
      <c r="J230" s="591"/>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7"/>
      <c r="ZZ230" s="36"/>
      <c r="AAA230" s="587"/>
      <c r="AAD230" s="112"/>
      <c r="AAE230" s="550">
        <f t="shared" si="894"/>
        <v>0</v>
      </c>
      <c r="AAF230" s="582" t="s">
        <v>172</v>
      </c>
      <c r="AAG230" s="63"/>
      <c r="AAH230" s="63"/>
      <c r="AAI230" s="77"/>
      <c r="AAJ230" s="77"/>
      <c r="AAK230" s="77"/>
      <c r="AAL230" s="80"/>
      <c r="AAM230" s="112"/>
      <c r="AAN230"/>
      <c r="AAT230" s="23"/>
      <c r="AAU230" s="44"/>
    </row>
    <row r="231" spans="1:732" ht="15" hidden="1" outlineLevel="1">
      <c r="A231" s="557"/>
      <c r="B231" s="264" t="s">
        <v>21</v>
      </c>
      <c r="C231" s="264"/>
      <c r="D231" s="161"/>
      <c r="E231" s="160"/>
      <c r="F231" s="160"/>
      <c r="G231" s="161"/>
      <c r="H231" s="161"/>
      <c r="I231" s="587"/>
      <c r="J231" s="591"/>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7"/>
      <c r="ZZ231" s="36"/>
      <c r="AAA231" s="587"/>
      <c r="AAD231" s="112"/>
      <c r="AAE231" s="550">
        <f t="shared" si="894"/>
        <v>0</v>
      </c>
      <c r="AAF231" s="582" t="s">
        <v>172</v>
      </c>
      <c r="AAG231" s="63"/>
      <c r="AAH231" s="63"/>
      <c r="AAI231" s="77"/>
      <c r="AAJ231" s="77"/>
      <c r="AAK231" s="77"/>
      <c r="AAL231" s="80"/>
      <c r="AAM231" s="112"/>
      <c r="AAN231"/>
      <c r="AAT231" s="23"/>
      <c r="AAU231" s="44"/>
    </row>
    <row r="232" spans="1:732" ht="15.75" hidden="1" outlineLevel="1">
      <c r="A232" s="557"/>
      <c r="B232" s="768" t="s">
        <v>112</v>
      </c>
      <c r="C232" s="768"/>
      <c r="D232" s="190" t="s">
        <v>0</v>
      </c>
      <c r="E232" s="494" t="s">
        <v>0</v>
      </c>
      <c r="F232" s="366" t="s">
        <v>0</v>
      </c>
      <c r="G232" s="493"/>
      <c r="H232" s="493"/>
      <c r="I232" s="587"/>
      <c r="J232" s="591"/>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7"/>
      <c r="ZZ232" s="36"/>
      <c r="AAA232" s="587"/>
      <c r="AAD232" s="112"/>
      <c r="AAE232" s="550">
        <f t="shared" si="894"/>
        <v>0</v>
      </c>
      <c r="AAF232" s="582" t="s">
        <v>172</v>
      </c>
      <c r="AAG232" s="76"/>
      <c r="AAH232" s="76"/>
      <c r="AAI232" s="77"/>
      <c r="AAJ232" s="77"/>
      <c r="AAK232" s="77"/>
      <c r="AAL232" s="80"/>
      <c r="AAM232" s="112"/>
      <c r="AAN232"/>
      <c r="AAT232" s="23"/>
      <c r="AAU232" s="44"/>
    </row>
    <row r="233" spans="1:732" ht="15" hidden="1" outlineLevel="1">
      <c r="A233" s="557"/>
      <c r="B233" s="265" t="s">
        <v>138</v>
      </c>
      <c r="C233" s="712"/>
      <c r="D233" s="278" t="s">
        <v>382</v>
      </c>
      <c r="E233" s="490">
        <f>NETWORKDAYS(G233,H233,S.DDL_DEQClosed)</f>
        <v>1</v>
      </c>
      <c r="F233" s="372">
        <f ca="1">NETWORKDAYS(TODAY(),H233)</f>
        <v>-10</v>
      </c>
      <c r="G233" s="369">
        <f t="shared" ref="G233:H234" si="900">AAG233</f>
        <v>41471</v>
      </c>
      <c r="H233" s="370">
        <f>AAH233</f>
        <v>41471</v>
      </c>
      <c r="I233" s="626"/>
      <c r="J233" s="591"/>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7"/>
      <c r="AAD233" s="112"/>
      <c r="AAE233" s="550">
        <f t="shared" si="894"/>
        <v>0</v>
      </c>
      <c r="AAF233" s="112"/>
      <c r="AAG233" s="78">
        <f>H229</f>
        <v>41471</v>
      </c>
      <c r="AAH233" s="78">
        <f>G233</f>
        <v>41471</v>
      </c>
      <c r="AAI233" s="77"/>
      <c r="AAJ233" s="77"/>
      <c r="AAK233" s="77"/>
      <c r="AAL233" s="80"/>
      <c r="AAM233" s="112"/>
      <c r="AAN233"/>
      <c r="AAT233" s="23"/>
      <c r="AAU233" s="44"/>
    </row>
    <row r="234" spans="1:732" ht="15" hidden="1" outlineLevel="1">
      <c r="A234" s="557"/>
      <c r="B234" s="265" t="s">
        <v>52</v>
      </c>
      <c r="C234" s="712"/>
      <c r="D234" s="278" t="s">
        <v>359</v>
      </c>
      <c r="E234" s="490">
        <f>NETWORKDAYS(G234,H234,S.DDL_DEQClosed)</f>
        <v>1</v>
      </c>
      <c r="F234" s="372">
        <f ca="1">NETWORKDAYS(TODAY(),H234)</f>
        <v>-10</v>
      </c>
      <c r="G234" s="369">
        <f t="shared" si="900"/>
        <v>41471</v>
      </c>
      <c r="H234" s="369">
        <f t="shared" si="900"/>
        <v>41471</v>
      </c>
      <c r="I234" s="626"/>
      <c r="J234" s="591"/>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7"/>
      <c r="AAD234" s="112"/>
      <c r="AAE234" s="550">
        <f t="shared" si="894"/>
        <v>0</v>
      </c>
      <c r="AAF234" s="112"/>
      <c r="AAG234" s="78">
        <f>H233</f>
        <v>41471</v>
      </c>
      <c r="AAH234" s="78">
        <f>G234</f>
        <v>41471</v>
      </c>
      <c r="AAI234" s="77"/>
      <c r="AAJ234" s="77"/>
      <c r="AAK234" s="77"/>
      <c r="AAL234" s="80"/>
      <c r="AAM234" s="112"/>
      <c r="AAN234"/>
      <c r="AAT234" s="23"/>
      <c r="AAU234" s="44"/>
    </row>
    <row r="235" spans="1:732" ht="15" hidden="1" outlineLevel="1">
      <c r="A235" s="557"/>
      <c r="B235" s="769" t="s">
        <v>104</v>
      </c>
      <c r="C235" s="769"/>
      <c r="D235" s="177" t="s">
        <v>0</v>
      </c>
      <c r="E235" s="494" t="s">
        <v>0</v>
      </c>
      <c r="F235" s="366" t="s">
        <v>0</v>
      </c>
      <c r="G235" s="493"/>
      <c r="H235" s="493"/>
      <c r="I235" s="587"/>
      <c r="J235" s="591"/>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7"/>
      <c r="ZZ235" s="36"/>
      <c r="AAA235" s="587"/>
      <c r="AAD235" s="112"/>
      <c r="AAE235" s="550">
        <f t="shared" si="894"/>
        <v>0</v>
      </c>
      <c r="AAF235" s="582" t="s">
        <v>172</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7"/>
      <c r="B236" s="767" t="s">
        <v>277</v>
      </c>
      <c r="C236" s="767"/>
      <c r="D236" s="177"/>
      <c r="E236" s="400"/>
      <c r="F236" s="400"/>
      <c r="G236" s="356"/>
      <c r="H236" s="356"/>
      <c r="I236" s="587"/>
      <c r="J236" s="591"/>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7"/>
      <c r="ZZ236" s="36"/>
      <c r="AAA236" s="587"/>
      <c r="AAD236" s="112"/>
      <c r="AAE236" s="550">
        <f t="shared" si="894"/>
        <v>0</v>
      </c>
      <c r="AAF236" s="582" t="s">
        <v>172</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599"/>
      <c r="B237" s="266" t="str">
        <f>AAL237</f>
        <v>Send DAS.EMAILS.pdf</v>
      </c>
      <c r="C237" s="168"/>
      <c r="D237" s="278" t="s">
        <v>185</v>
      </c>
      <c r="E237" s="490">
        <f t="shared" ref="E237:E238" si="901">NETWORKDAYS(G237,H237,S.DDL_DEQClosed)</f>
        <v>1</v>
      </c>
      <c r="F237" s="372">
        <f ca="1">NETWORKDAYS(TODAY(),G237)</f>
        <v>-36</v>
      </c>
      <c r="G237" s="655">
        <f>AAG237</f>
        <v>41435</v>
      </c>
      <c r="H237" s="370">
        <f>AAH237</f>
        <v>41435</v>
      </c>
      <c r="I237" s="626"/>
      <c r="J237" s="594"/>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7"/>
      <c r="AAB237"/>
      <c r="AAC237"/>
      <c r="AAD237" s="112"/>
      <c r="AAE237" s="550">
        <f t="shared" si="894"/>
        <v>0</v>
      </c>
      <c r="AAF237" s="112"/>
      <c r="AAG237" s="78">
        <f>S.SubmitFeeToDAS</f>
        <v>41435</v>
      </c>
      <c r="AAH237" s="78">
        <f>S.SubmitFeeToDAS</f>
        <v>41435</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7"/>
      <c r="B238" s="233" t="s">
        <v>51</v>
      </c>
      <c r="C238" s="168"/>
      <c r="D238" s="278" t="s">
        <v>72</v>
      </c>
      <c r="E238" s="490">
        <f t="shared" si="901"/>
        <v>1</v>
      </c>
      <c r="F238" s="372">
        <f t="shared" ref="F238:F244" ca="1" si="902">NETWORKDAYS(TODAY(),H238)</f>
        <v>-28</v>
      </c>
      <c r="G238" s="369">
        <f>AAG238</f>
        <v>41445</v>
      </c>
      <c r="H238" s="370">
        <f t="shared" ref="G238:H247" si="903">AAH238</f>
        <v>41445</v>
      </c>
      <c r="I238" s="626"/>
      <c r="J238" s="591"/>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7"/>
      <c r="AAD238" s="112"/>
      <c r="AAE238" s="550">
        <f t="shared" si="894"/>
        <v>0</v>
      </c>
      <c r="AAF238" s="112"/>
      <c r="AAG238" s="78">
        <f>WORKDAY(G237+9,1,S.DDL_DEQClosed)</f>
        <v>41445</v>
      </c>
      <c r="AAH238" s="78">
        <f t="shared" ref="AAH238:AAH244" si="904">G238</f>
        <v>41445</v>
      </c>
      <c r="AAI238" s="77"/>
      <c r="AAJ238" s="77"/>
      <c r="AAK238" s="77"/>
      <c r="AAL238" s="80"/>
      <c r="AAM238" s="112"/>
      <c r="AAN238"/>
      <c r="AAT238" s="23"/>
      <c r="AAU238" s="44"/>
    </row>
    <row r="239" spans="1:732" s="23" customFormat="1" ht="15" hidden="1" outlineLevel="1">
      <c r="A239" s="557"/>
      <c r="B239" s="230" t="s">
        <v>166</v>
      </c>
      <c r="C239" s="168"/>
      <c r="D239" s="278" t="s">
        <v>185</v>
      </c>
      <c r="E239" s="490">
        <f>NETWORKDAYS(G239,H239,S.DDL_DEQClosed)</f>
        <v>1</v>
      </c>
      <c r="F239" s="372">
        <f t="shared" ref="F239" ca="1" si="905">NETWORKDAYS(TODAY(),H239)</f>
        <v>-28</v>
      </c>
      <c r="G239" s="496">
        <f>AAG239</f>
        <v>41445</v>
      </c>
      <c r="H239" s="495">
        <f t="shared" ref="H239" si="906">AAH239</f>
        <v>41445</v>
      </c>
      <c r="I239" s="626"/>
      <c r="J239" s="591"/>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7"/>
      <c r="AAB239"/>
      <c r="AAC239"/>
      <c r="AAD239" s="112"/>
      <c r="AAE239" s="550">
        <f t="shared" si="894"/>
        <v>0</v>
      </c>
      <c r="AAF239" s="112"/>
      <c r="AAG239" s="78">
        <f>H238</f>
        <v>41445</v>
      </c>
      <c r="AAH239" s="78">
        <f t="shared" ref="AAH239" si="907">G239</f>
        <v>41445</v>
      </c>
      <c r="AAI239" s="77"/>
      <c r="AAJ239" s="77"/>
      <c r="AAK239" s="77"/>
      <c r="AAL239" s="80"/>
      <c r="AAM239" s="112"/>
      <c r="AAU239" s="44"/>
      <c r="AAV239"/>
      <c r="AAW239"/>
      <c r="AAX239"/>
      <c r="AAY239"/>
      <c r="AAZ239"/>
      <c r="ABA239"/>
      <c r="ABB239"/>
      <c r="ABC239"/>
      <c r="ABD239"/>
    </row>
    <row r="240" spans="1:732" ht="18" hidden="1" customHeight="1" outlineLevel="1">
      <c r="A240" s="557"/>
      <c r="B240" s="755" t="s">
        <v>280</v>
      </c>
      <c r="C240" s="756"/>
      <c r="D240" s="153"/>
      <c r="E240" s="352"/>
      <c r="F240" s="352"/>
      <c r="G240" s="351"/>
      <c r="H240" s="351"/>
      <c r="I240" s="587"/>
      <c r="J240" s="591"/>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7"/>
      <c r="ZZ240" s="36"/>
      <c r="AAA240" s="587"/>
      <c r="AAD240" s="112"/>
      <c r="AAE240" s="550">
        <f t="shared" si="894"/>
        <v>0</v>
      </c>
      <c r="AAF240" s="582" t="s">
        <v>172</v>
      </c>
      <c r="AAG240" s="76"/>
      <c r="AAH240" s="76"/>
      <c r="AAI240" s="77"/>
      <c r="AAJ240" s="77"/>
      <c r="AAK240" s="77"/>
      <c r="AAL240" s="80"/>
      <c r="AAM240" s="112"/>
      <c r="AAN240"/>
      <c r="AAT240" s="23"/>
      <c r="AAU240" s="44"/>
    </row>
    <row r="241" spans="1:732" ht="24" hidden="1" outlineLevel="1">
      <c r="A241" s="557"/>
      <c r="B241" s="259" t="s">
        <v>92</v>
      </c>
      <c r="C241" s="239"/>
      <c r="D241" s="260" t="s">
        <v>383</v>
      </c>
      <c r="E241" s="490">
        <f>NETWORKDAYS(G241,H241,S.DDL_DEQClosed)</f>
        <v>1</v>
      </c>
      <c r="F241" s="372">
        <f t="shared" ca="1" si="902"/>
        <v>-28</v>
      </c>
      <c r="G241" s="369">
        <f t="shared" si="903"/>
        <v>41445</v>
      </c>
      <c r="H241" s="369">
        <f t="shared" si="903"/>
        <v>41445</v>
      </c>
      <c r="I241" s="626"/>
      <c r="J241" s="591"/>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7"/>
      <c r="AAD241" s="112"/>
      <c r="AAE241" s="550">
        <f t="shared" si="894"/>
        <v>0</v>
      </c>
      <c r="AAF241" s="112"/>
      <c r="AAG241" s="78">
        <f>H239</f>
        <v>41445</v>
      </c>
      <c r="AAH241" s="78">
        <f t="shared" si="904"/>
        <v>41445</v>
      </c>
      <c r="AAI241" s="77"/>
      <c r="AAJ241" s="77"/>
      <c r="AAK241" s="77"/>
      <c r="AAL241" s="80"/>
      <c r="AAM241" s="112"/>
      <c r="AAN241"/>
      <c r="AAT241" s="23"/>
      <c r="AAU241" s="44"/>
    </row>
    <row r="242" spans="1:732" ht="24" hidden="1" outlineLevel="1">
      <c r="A242" s="557"/>
      <c r="B242" s="261" t="s">
        <v>93</v>
      </c>
      <c r="C242" s="239"/>
      <c r="D242" s="260" t="s">
        <v>383</v>
      </c>
      <c r="E242" s="490">
        <f>NETWORKDAYS(G242,H242,S.DDL_DEQClosed)</f>
        <v>1</v>
      </c>
      <c r="F242" s="372">
        <f t="shared" ca="1" si="902"/>
        <v>-28</v>
      </c>
      <c r="G242" s="369">
        <f t="shared" si="903"/>
        <v>41445</v>
      </c>
      <c r="H242" s="369">
        <f t="shared" si="903"/>
        <v>41445</v>
      </c>
      <c r="I242" s="626"/>
      <c r="J242" s="591"/>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7"/>
      <c r="AAD242" s="112"/>
      <c r="AAE242" s="550">
        <f t="shared" si="894"/>
        <v>0</v>
      </c>
      <c r="AAF242" s="112"/>
      <c r="AAG242" s="78">
        <f t="shared" ref="AAG242:AAG244" si="908">H241</f>
        <v>41445</v>
      </c>
      <c r="AAH242" s="78">
        <f t="shared" si="904"/>
        <v>41445</v>
      </c>
      <c r="AAI242" s="77"/>
      <c r="AAJ242" s="77"/>
      <c r="AAK242" s="77"/>
      <c r="AAL242" s="80"/>
      <c r="AAM242" s="112"/>
      <c r="AAN242"/>
      <c r="AAT242" s="23"/>
      <c r="AAU242" s="44"/>
    </row>
    <row r="243" spans="1:732" ht="24" hidden="1" outlineLevel="1">
      <c r="A243" s="557"/>
      <c r="B243" s="262" t="s">
        <v>94</v>
      </c>
      <c r="C243" s="239"/>
      <c r="D243" s="260" t="s">
        <v>383</v>
      </c>
      <c r="E243" s="490">
        <f>NETWORKDAYS(G243,H243,S.DDL_DEQClosed)</f>
        <v>1</v>
      </c>
      <c r="F243" s="372">
        <f t="shared" ca="1" si="902"/>
        <v>-28</v>
      </c>
      <c r="G243" s="369">
        <f t="shared" si="903"/>
        <v>41445</v>
      </c>
      <c r="H243" s="369">
        <f t="shared" si="903"/>
        <v>41445</v>
      </c>
      <c r="I243" s="626"/>
      <c r="J243" s="591"/>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7"/>
      <c r="AAD243" s="112"/>
      <c r="AAE243" s="550">
        <f t="shared" si="894"/>
        <v>0</v>
      </c>
      <c r="AAF243" s="112"/>
      <c r="AAG243" s="78">
        <f t="shared" si="908"/>
        <v>41445</v>
      </c>
      <c r="AAH243" s="78">
        <f t="shared" si="904"/>
        <v>41445</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7"/>
      <c r="B244" s="267" t="s">
        <v>95</v>
      </c>
      <c r="C244" s="239"/>
      <c r="D244" s="260" t="s">
        <v>383</v>
      </c>
      <c r="E244" s="490">
        <f>NETWORKDAYS(G244,H244,S.DDL_DEQClosed)</f>
        <v>1</v>
      </c>
      <c r="F244" s="372">
        <f t="shared" ca="1" si="902"/>
        <v>-28</v>
      </c>
      <c r="G244" s="369">
        <f t="shared" si="903"/>
        <v>41445</v>
      </c>
      <c r="H244" s="369">
        <f t="shared" si="903"/>
        <v>41445</v>
      </c>
      <c r="I244" s="626"/>
      <c r="J244" s="591"/>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7"/>
      <c r="AAD244" s="112"/>
      <c r="AAE244" s="550">
        <f t="shared" si="894"/>
        <v>0</v>
      </c>
      <c r="AAF244" s="112"/>
      <c r="AAG244" s="78">
        <f t="shared" si="908"/>
        <v>41445</v>
      </c>
      <c r="AAH244" s="78">
        <f t="shared" si="904"/>
        <v>41445</v>
      </c>
      <c r="AAI244" s="77"/>
      <c r="AAJ244" s="77"/>
      <c r="AAK244" s="77"/>
      <c r="AAL244" s="80"/>
      <c r="AAM244" s="112"/>
      <c r="AAN244"/>
      <c r="AAT244" s="23"/>
      <c r="AAU244" s="44"/>
    </row>
    <row r="245" spans="1:732" s="23" customFormat="1" ht="87" hidden="1" customHeight="1" outlineLevel="1">
      <c r="A245" s="557"/>
      <c r="B245" s="742" t="s">
        <v>341</v>
      </c>
      <c r="C245" s="742"/>
      <c r="D245" s="742"/>
      <c r="E245" s="742"/>
      <c r="F245" s="742"/>
      <c r="G245" s="742"/>
      <c r="H245" s="742"/>
      <c r="I245" s="587"/>
      <c r="J245" s="591"/>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7"/>
      <c r="ZZ245" s="36"/>
      <c r="AAA245" s="587"/>
      <c r="AAB245"/>
      <c r="AAC245"/>
      <c r="AAD245" s="112"/>
      <c r="AAE245" s="550">
        <f t="shared" si="894"/>
        <v>0</v>
      </c>
      <c r="AAF245" s="582" t="s">
        <v>172</v>
      </c>
      <c r="AAG245" s="63"/>
      <c r="AAH245" s="63"/>
      <c r="AAI245" s="77"/>
      <c r="AAJ245" s="77"/>
      <c r="AAK245" s="77"/>
      <c r="AAL245" s="80"/>
      <c r="AAM245" s="112"/>
      <c r="AAU245" s="44"/>
      <c r="AAV245"/>
      <c r="AAW245"/>
      <c r="AAX245"/>
      <c r="AAY245"/>
      <c r="AAZ245"/>
      <c r="ABA245"/>
      <c r="ABB245"/>
      <c r="ABC245"/>
      <c r="ABD245"/>
    </row>
    <row r="246" spans="1:732" ht="15" hidden="1" outlineLevel="1">
      <c r="A246" s="557"/>
      <c r="B246" s="264" t="s">
        <v>21</v>
      </c>
      <c r="C246" s="264"/>
      <c r="D246" s="175"/>
      <c r="E246" s="176"/>
      <c r="F246" s="176"/>
      <c r="G246" s="161"/>
      <c r="H246" s="161"/>
      <c r="I246" s="587"/>
      <c r="J246" s="591"/>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7"/>
      <c r="ZZ246" s="36"/>
      <c r="AAA246" s="587"/>
      <c r="AAD246" s="112"/>
      <c r="AAE246" s="550">
        <f t="shared" si="894"/>
        <v>0</v>
      </c>
      <c r="AAF246" s="582" t="s">
        <v>172</v>
      </c>
      <c r="AAG246" s="76"/>
      <c r="AAH246" s="76"/>
      <c r="AAI246" s="77"/>
      <c r="AAJ246" s="77"/>
      <c r="AAK246" s="77"/>
      <c r="AAL246" s="80"/>
      <c r="AAM246" s="112"/>
      <c r="AAN246"/>
      <c r="AAT246" s="23"/>
      <c r="AAU246" s="44"/>
    </row>
    <row r="247" spans="1:732" ht="18" hidden="1" customHeight="1" outlineLevel="1">
      <c r="A247" s="557"/>
      <c r="B247" s="755" t="s">
        <v>307</v>
      </c>
      <c r="C247" s="756"/>
      <c r="D247" s="278" t="s">
        <v>157</v>
      </c>
      <c r="E247" s="490">
        <f>NETWORKDAYS(G247,H247,S.DDL_DEQClosed)</f>
        <v>1</v>
      </c>
      <c r="F247" s="372">
        <f ca="1">NETWORKDAYS(TODAY(),H247)</f>
        <v>-28</v>
      </c>
      <c r="G247" s="370">
        <f>AAG247</f>
        <v>41445</v>
      </c>
      <c r="H247" s="495">
        <f t="shared" si="903"/>
        <v>41445</v>
      </c>
      <c r="I247" s="626"/>
      <c r="J247" s="591"/>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7"/>
      <c r="AAD247" s="112"/>
      <c r="AAE247" s="550">
        <f t="shared" si="894"/>
        <v>0</v>
      </c>
      <c r="AAF247" s="112"/>
      <c r="AAG247" s="78">
        <f>H244</f>
        <v>41445</v>
      </c>
      <c r="AAH247" s="78">
        <f>G247</f>
        <v>41445</v>
      </c>
      <c r="AAI247" s="77"/>
      <c r="AAJ247" s="77"/>
      <c r="AAK247" s="77"/>
      <c r="AAL247" s="80"/>
      <c r="AAM247" s="112"/>
      <c r="AAN247"/>
      <c r="AAT247" s="23"/>
      <c r="AAU247" s="44"/>
    </row>
    <row r="248" spans="1:732" ht="6" customHeight="1" collapsed="1">
      <c r="A248" s="557"/>
      <c r="B248" s="268"/>
      <c r="C248" s="269"/>
      <c r="D248" s="195"/>
      <c r="E248" s="146"/>
      <c r="F248" s="146"/>
      <c r="G248" s="270"/>
      <c r="H248" s="271"/>
      <c r="I248" s="587"/>
      <c r="J248" s="63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7"/>
      <c r="ZZ248" s="36"/>
      <c r="AAA248" s="587"/>
      <c r="AAD248" s="112"/>
      <c r="AAE248" s="550" t="s">
        <v>26</v>
      </c>
      <c r="AAF248" s="582" t="s">
        <v>172</v>
      </c>
      <c r="AAG248" s="63"/>
      <c r="AAH248" s="63"/>
      <c r="AAI248" s="77"/>
      <c r="AAJ248" s="77"/>
      <c r="AAK248" s="77"/>
      <c r="AAL248" s="80"/>
      <c r="AAM248" s="112"/>
      <c r="AAN248"/>
      <c r="AAT248" s="23"/>
      <c r="AAU248" s="44"/>
    </row>
    <row r="249" spans="1:732" s="23" customFormat="1" ht="18" customHeight="1">
      <c r="A249" s="557"/>
      <c r="B249" s="757" t="str">
        <f>AAL25</f>
        <v>4-Public Notice WITH hearing</v>
      </c>
      <c r="C249" s="757"/>
      <c r="D249" s="757"/>
      <c r="E249" s="757"/>
      <c r="F249" s="757"/>
      <c r="G249" s="757"/>
      <c r="H249" s="757"/>
      <c r="I249" s="587"/>
      <c r="J249" s="631"/>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8"/>
      <c r="ZZ249" s="119"/>
      <c r="AAA249" s="587"/>
      <c r="AAB249"/>
      <c r="AAC249"/>
      <c r="AAD249" s="112"/>
      <c r="AAE249" s="550" t="s">
        <v>27</v>
      </c>
      <c r="AAF249" s="582" t="s">
        <v>172</v>
      </c>
      <c r="AAG249" s="112"/>
      <c r="AAH249" s="112"/>
      <c r="AAI249" s="77"/>
      <c r="AAJ249" s="90"/>
      <c r="AAK249" s="90"/>
      <c r="AAL249" s="76"/>
      <c r="AAM249" s="112"/>
      <c r="AAU249" s="44"/>
    </row>
    <row r="250" spans="1:732" s="23" customFormat="1" ht="18" customHeight="1">
      <c r="A250" s="557"/>
      <c r="B250" s="272" t="s">
        <v>15</v>
      </c>
      <c r="C250" s="703"/>
      <c r="D250" s="150" t="s">
        <v>239</v>
      </c>
      <c r="E250" s="151" t="s">
        <v>15</v>
      </c>
      <c r="F250" s="235" t="s">
        <v>2</v>
      </c>
      <c r="G250" s="152" t="s">
        <v>86</v>
      </c>
      <c r="H250" s="152" t="s">
        <v>87</v>
      </c>
      <c r="I250" s="626"/>
      <c r="J250" s="59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8"/>
      <c r="ZZ250" s="119"/>
      <c r="AAA250" s="587"/>
      <c r="AAB250"/>
      <c r="AAC250"/>
      <c r="AAD250" s="112"/>
      <c r="AAE250" s="550" t="s">
        <v>243</v>
      </c>
      <c r="AAF250" s="582" t="s">
        <v>172</v>
      </c>
      <c r="AAG250" s="112"/>
      <c r="AAH250" s="112"/>
      <c r="AAI250" s="77"/>
      <c r="AAJ250" s="90"/>
      <c r="AAK250" s="90"/>
      <c r="AAL250" s="76"/>
      <c r="AAM250" s="112"/>
      <c r="AAU250" s="44"/>
    </row>
    <row r="251" spans="1:732" ht="18" customHeight="1">
      <c r="A251" s="557"/>
      <c r="B251" s="273"/>
      <c r="C251" s="704"/>
      <c r="D251" s="236"/>
      <c r="E251" s="236"/>
      <c r="F251" s="405">
        <f>NETWORKDAYS(S.BANNER.NoticeStart,S.BANNER.NoticeEnd,S.DDL_DEQClosed)</f>
        <v>72</v>
      </c>
      <c r="G251" s="253">
        <f>AAG251</f>
        <v>41435</v>
      </c>
      <c r="H251" s="662">
        <f>AAH251</f>
        <v>41536</v>
      </c>
      <c r="I251" s="626"/>
      <c r="J251" s="628"/>
      <c r="K251" s="634"/>
      <c r="L251" s="634"/>
      <c r="M251" s="634"/>
      <c r="N251" s="634"/>
      <c r="O251" s="634"/>
      <c r="P251" s="634"/>
      <c r="Q251" s="634"/>
      <c r="R251" s="634"/>
      <c r="S251" s="634"/>
      <c r="T251" s="634"/>
      <c r="U251" s="634"/>
      <c r="V251" s="634"/>
      <c r="W251" s="634"/>
      <c r="X251" s="634"/>
      <c r="Y251" s="634"/>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c r="AU251" s="634"/>
      <c r="AV251" s="634"/>
      <c r="AW251" s="634"/>
      <c r="AX251" s="634"/>
      <c r="AY251" s="634"/>
      <c r="AZ251" s="634"/>
      <c r="BA251" s="634"/>
      <c r="BB251" s="634"/>
      <c r="BC251" s="634"/>
      <c r="BD251" s="634"/>
      <c r="BE251" s="634"/>
      <c r="BF251" s="634"/>
      <c r="BG251" s="634"/>
      <c r="BH251" s="634"/>
      <c r="BI251" s="634"/>
      <c r="BJ251" s="634"/>
      <c r="BK251" s="634"/>
      <c r="BL251" s="634"/>
      <c r="BM251" s="634"/>
      <c r="BN251" s="634"/>
      <c r="BO251" s="634"/>
      <c r="BP251" s="634"/>
      <c r="BQ251" s="634"/>
      <c r="BR251" s="634"/>
      <c r="BS251" s="634"/>
      <c r="BT251" s="634"/>
      <c r="BU251" s="634"/>
      <c r="BV251" s="634"/>
      <c r="BW251" s="634"/>
      <c r="BX251" s="634"/>
      <c r="BY251" s="634"/>
      <c r="BZ251" s="634"/>
      <c r="CA251" s="634"/>
      <c r="CB251" s="634"/>
      <c r="CC251" s="634"/>
      <c r="CD251" s="634"/>
      <c r="CE251" s="634"/>
      <c r="CF251" s="634"/>
      <c r="CG251" s="634"/>
      <c r="CH251" s="634"/>
      <c r="CI251" s="634"/>
      <c r="CJ251" s="634"/>
      <c r="CK251" s="634"/>
      <c r="CL251" s="634"/>
      <c r="CM251" s="634"/>
      <c r="CN251" s="634"/>
      <c r="CO251" s="634"/>
      <c r="CP251" s="634"/>
      <c r="CQ251" s="634"/>
      <c r="CR251" s="634"/>
      <c r="CS251" s="634"/>
      <c r="CT251" s="634"/>
      <c r="CU251" s="634"/>
      <c r="CV251" s="634"/>
      <c r="CW251" s="634"/>
      <c r="CX251" s="634"/>
      <c r="CY251" s="634"/>
      <c r="CZ251" s="634"/>
      <c r="DA251" s="634"/>
      <c r="DB251" s="634"/>
      <c r="DC251" s="634"/>
      <c r="DD251" s="634"/>
      <c r="DE251" s="634"/>
      <c r="DF251" s="634"/>
      <c r="DG251" s="634"/>
      <c r="DH251" s="634"/>
      <c r="DI251" s="634"/>
      <c r="DJ251" s="634"/>
      <c r="DK251" s="634"/>
      <c r="DL251" s="634"/>
      <c r="DM251" s="634"/>
      <c r="DN251" s="634"/>
      <c r="DO251" s="634"/>
      <c r="DP251" s="634"/>
      <c r="DQ251" s="634"/>
      <c r="DR251" s="634"/>
      <c r="DS251" s="634"/>
      <c r="DT251" s="634"/>
      <c r="DU251" s="634"/>
      <c r="DV251" s="634"/>
      <c r="DW251" s="634"/>
      <c r="DX251" s="634"/>
      <c r="DY251" s="634"/>
      <c r="DZ251" s="634"/>
      <c r="EA251" s="634"/>
      <c r="EB251" s="634"/>
      <c r="EC251" s="634"/>
      <c r="ED251" s="634"/>
      <c r="EE251" s="634"/>
      <c r="EF251" s="634"/>
      <c r="EG251" s="634"/>
      <c r="EH251" s="634"/>
      <c r="EI251" s="634"/>
      <c r="EJ251" s="634"/>
      <c r="EK251" s="634"/>
      <c r="EL251" s="634"/>
      <c r="EM251" s="634"/>
      <c r="EN251" s="634"/>
      <c r="EO251" s="634"/>
      <c r="EP251" s="634"/>
      <c r="EQ251" s="634"/>
      <c r="ER251" s="634"/>
      <c r="ES251" s="634"/>
      <c r="ET251" s="634"/>
      <c r="EU251" s="634"/>
      <c r="EV251" s="634"/>
      <c r="EW251" s="634"/>
      <c r="EX251" s="634"/>
      <c r="EY251" s="634"/>
      <c r="EZ251" s="634"/>
      <c r="FA251" s="634"/>
      <c r="FB251" s="634"/>
      <c r="FC251" s="634"/>
      <c r="FD251" s="634"/>
      <c r="FE251" s="634"/>
      <c r="FF251" s="634"/>
      <c r="FG251" s="634"/>
      <c r="FH251" s="634"/>
      <c r="FI251" s="634"/>
      <c r="FJ251" s="634"/>
      <c r="FK251" s="634"/>
      <c r="FL251" s="634"/>
      <c r="FM251" s="634"/>
      <c r="FN251" s="634"/>
      <c r="FO251" s="634"/>
      <c r="FP251" s="634"/>
      <c r="FQ251" s="634"/>
      <c r="FR251" s="634"/>
      <c r="FS251" s="634"/>
      <c r="FT251" s="634"/>
      <c r="FU251" s="634"/>
      <c r="FV251" s="634"/>
      <c r="FW251" s="634"/>
      <c r="FX251" s="634"/>
      <c r="FY251" s="634"/>
      <c r="FZ251" s="634"/>
      <c r="GA251" s="634"/>
      <c r="GB251" s="634"/>
      <c r="GC251" s="634"/>
      <c r="GD251" s="634"/>
      <c r="GE251" s="634"/>
      <c r="GF251" s="634"/>
      <c r="GG251" s="634"/>
      <c r="GH251" s="634"/>
      <c r="GI251" s="634"/>
      <c r="GJ251" s="634"/>
      <c r="GK251" s="634"/>
      <c r="GL251" s="634"/>
      <c r="GM251" s="634"/>
      <c r="GN251" s="634"/>
      <c r="GO251" s="634"/>
      <c r="GP251" s="634"/>
      <c r="GQ251" s="634"/>
      <c r="GR251" s="634"/>
      <c r="GS251" s="634"/>
      <c r="GT251" s="634"/>
      <c r="GU251" s="634"/>
      <c r="GV251" s="634"/>
      <c r="GW251" s="634"/>
      <c r="GX251" s="634"/>
      <c r="GY251" s="634"/>
      <c r="GZ251" s="634"/>
      <c r="HA251" s="634"/>
      <c r="HB251" s="634"/>
      <c r="HC251" s="634"/>
      <c r="HD251" s="634"/>
      <c r="HE251" s="634"/>
      <c r="HF251" s="634"/>
      <c r="HG251" s="634"/>
      <c r="HH251" s="634"/>
      <c r="HI251" s="634"/>
      <c r="HJ251" s="634"/>
      <c r="HK251" s="634"/>
      <c r="HL251" s="634"/>
      <c r="HM251" s="634"/>
      <c r="HN251" s="634"/>
      <c r="HO251" s="634"/>
      <c r="HP251" s="634"/>
      <c r="HQ251" s="634"/>
      <c r="HR251" s="634"/>
      <c r="HS251" s="634"/>
      <c r="HT251" s="634"/>
      <c r="HU251" s="634"/>
      <c r="HV251" s="634"/>
      <c r="HW251" s="634"/>
      <c r="HX251" s="634"/>
      <c r="HY251" s="634"/>
      <c r="HZ251" s="634"/>
      <c r="IA251" s="634"/>
      <c r="IB251" s="634"/>
      <c r="IC251" s="634"/>
      <c r="ID251" s="634"/>
      <c r="IE251" s="634"/>
      <c r="IF251" s="634"/>
      <c r="IG251" s="634"/>
      <c r="IH251" s="634"/>
      <c r="II251" s="634"/>
      <c r="IJ251" s="634"/>
      <c r="IK251" s="634"/>
      <c r="IL251" s="634"/>
      <c r="IM251" s="634"/>
      <c r="IN251" s="634"/>
      <c r="IO251" s="634"/>
      <c r="IP251" s="634"/>
      <c r="IQ251" s="634"/>
      <c r="IR251" s="634"/>
      <c r="IS251" s="634"/>
      <c r="IT251" s="634"/>
      <c r="IU251" s="634"/>
      <c r="IV251" s="634"/>
      <c r="IW251" s="634"/>
      <c r="IX251" s="634"/>
      <c r="IY251" s="634"/>
      <c r="IZ251" s="634"/>
      <c r="JA251" s="634"/>
      <c r="JB251" s="634"/>
      <c r="JC251" s="634"/>
      <c r="JD251" s="634"/>
      <c r="JE251" s="634"/>
      <c r="JF251" s="634"/>
      <c r="JG251" s="634"/>
      <c r="JH251" s="634"/>
      <c r="JI251" s="634"/>
      <c r="JJ251" s="634"/>
      <c r="JK251" s="634"/>
      <c r="JL251" s="634"/>
      <c r="JM251" s="634"/>
      <c r="JN251" s="634"/>
      <c r="JO251" s="634"/>
      <c r="JP251" s="634"/>
      <c r="JQ251" s="634"/>
      <c r="JR251" s="634"/>
      <c r="JS251" s="634"/>
      <c r="JT251" s="634"/>
      <c r="JU251" s="634"/>
      <c r="JV251" s="634"/>
      <c r="JW251" s="634"/>
      <c r="JX251" s="634"/>
      <c r="JY251" s="634"/>
      <c r="JZ251" s="634"/>
      <c r="KA251" s="634"/>
      <c r="KB251" s="634"/>
      <c r="KC251" s="634"/>
      <c r="KD251" s="634"/>
      <c r="KE251" s="634"/>
      <c r="KF251" s="634"/>
      <c r="KG251" s="634"/>
      <c r="KH251" s="634"/>
      <c r="KI251" s="634"/>
      <c r="KJ251" s="634"/>
      <c r="KK251" s="634"/>
      <c r="KL251" s="634"/>
      <c r="KM251" s="634"/>
      <c r="KN251" s="634"/>
      <c r="KO251" s="634"/>
      <c r="KP251" s="634"/>
      <c r="KQ251" s="634"/>
      <c r="KR251" s="634"/>
      <c r="KS251" s="634"/>
      <c r="KT251" s="634"/>
      <c r="KU251" s="634"/>
      <c r="KV251" s="634"/>
      <c r="KW251" s="634"/>
      <c r="KX251" s="634"/>
      <c r="KY251" s="634"/>
      <c r="KZ251" s="634"/>
      <c r="LA251" s="634"/>
      <c r="LB251" s="634"/>
      <c r="LC251" s="634"/>
      <c r="LD251" s="634"/>
      <c r="LE251" s="634"/>
      <c r="LF251" s="634"/>
      <c r="LG251" s="634"/>
      <c r="LH251" s="634"/>
      <c r="LI251" s="634"/>
      <c r="LJ251" s="634"/>
      <c r="LK251" s="634"/>
      <c r="LL251" s="634"/>
      <c r="LM251" s="634"/>
      <c r="LN251" s="634"/>
      <c r="LO251" s="634"/>
      <c r="LP251" s="634"/>
      <c r="LQ251" s="634"/>
      <c r="LR251" s="634"/>
      <c r="LS251" s="634"/>
      <c r="LT251" s="634"/>
      <c r="LU251" s="634"/>
      <c r="LV251" s="634"/>
      <c r="LW251" s="634"/>
      <c r="LX251" s="634"/>
      <c r="LY251" s="634"/>
      <c r="LZ251" s="634"/>
      <c r="MA251" s="634"/>
      <c r="MB251" s="634"/>
      <c r="MC251" s="634"/>
      <c r="MD251" s="634"/>
      <c r="ME251" s="634"/>
      <c r="MF251" s="634"/>
      <c r="MG251" s="634"/>
      <c r="MH251" s="634"/>
      <c r="MI251" s="634"/>
      <c r="MJ251" s="634"/>
      <c r="MK251" s="634"/>
      <c r="ML251" s="634"/>
      <c r="MM251" s="634"/>
      <c r="MN251" s="634"/>
      <c r="MO251" s="634"/>
      <c r="MP251" s="634"/>
      <c r="MQ251" s="634"/>
      <c r="MR251" s="634"/>
      <c r="MS251" s="634"/>
      <c r="MT251" s="634"/>
      <c r="MU251" s="634"/>
      <c r="MV251" s="634"/>
      <c r="MW251" s="634"/>
      <c r="MX251" s="634"/>
      <c r="MY251" s="634"/>
      <c r="MZ251" s="634"/>
      <c r="NA251" s="634"/>
      <c r="NB251" s="634"/>
      <c r="NC251" s="634"/>
      <c r="ND251" s="634"/>
      <c r="NE251" s="634"/>
      <c r="NF251" s="634"/>
      <c r="NG251" s="634"/>
      <c r="NH251" s="634"/>
      <c r="NI251" s="634"/>
      <c r="NJ251" s="634"/>
      <c r="NK251" s="634"/>
      <c r="NL251" s="634"/>
      <c r="NM251" s="634"/>
      <c r="NN251" s="634"/>
      <c r="NO251" s="634"/>
      <c r="NP251" s="634"/>
      <c r="NQ251" s="634"/>
      <c r="NR251" s="634"/>
      <c r="NS251" s="634"/>
      <c r="NT251" s="634"/>
      <c r="NU251" s="634"/>
      <c r="NV251" s="634"/>
      <c r="NW251" s="634"/>
      <c r="NX251" s="634"/>
      <c r="NY251" s="634"/>
      <c r="NZ251" s="634"/>
      <c r="OA251" s="634"/>
      <c r="OB251" s="634"/>
      <c r="OC251" s="634"/>
      <c r="OD251" s="634"/>
      <c r="OE251" s="634"/>
      <c r="OF251" s="634"/>
      <c r="OG251" s="634"/>
      <c r="OH251" s="634"/>
      <c r="OI251" s="634"/>
      <c r="OJ251" s="634"/>
      <c r="OK251" s="634"/>
      <c r="OL251" s="634"/>
      <c r="OM251" s="634"/>
      <c r="ON251" s="634"/>
      <c r="OO251" s="634"/>
      <c r="OP251" s="634"/>
      <c r="OQ251" s="634"/>
      <c r="OR251" s="634"/>
      <c r="OS251" s="634"/>
      <c r="OT251" s="634"/>
      <c r="OU251" s="634"/>
      <c r="OV251" s="634"/>
      <c r="OW251" s="634"/>
      <c r="OX251" s="634"/>
      <c r="OY251" s="634"/>
      <c r="OZ251" s="634"/>
      <c r="PA251" s="634"/>
      <c r="PB251" s="634"/>
      <c r="PC251" s="634"/>
      <c r="PD251" s="634"/>
      <c r="PE251" s="634"/>
      <c r="PF251" s="634"/>
      <c r="PG251" s="634"/>
      <c r="PH251" s="634"/>
      <c r="PI251" s="634"/>
      <c r="PJ251" s="634"/>
      <c r="PK251" s="634"/>
      <c r="PL251" s="634"/>
      <c r="PM251" s="634"/>
      <c r="PN251" s="634"/>
      <c r="PO251" s="634"/>
      <c r="PP251" s="634"/>
      <c r="PQ251" s="634"/>
      <c r="PR251" s="634"/>
      <c r="PS251" s="634"/>
      <c r="PT251" s="634"/>
      <c r="PU251" s="634"/>
      <c r="PV251" s="634"/>
      <c r="PW251" s="634"/>
      <c r="PX251" s="634"/>
      <c r="PY251" s="634"/>
      <c r="PZ251" s="634"/>
      <c r="QA251" s="634"/>
      <c r="QB251" s="634"/>
      <c r="QC251" s="634"/>
      <c r="QD251" s="634"/>
      <c r="QE251" s="634"/>
      <c r="QF251" s="634"/>
      <c r="QG251" s="634"/>
      <c r="QH251" s="634"/>
      <c r="QI251" s="634"/>
      <c r="QJ251" s="634"/>
      <c r="QK251" s="634"/>
      <c r="QL251" s="634"/>
      <c r="QM251" s="634"/>
      <c r="QN251" s="634"/>
      <c r="QO251" s="634"/>
      <c r="QP251" s="634"/>
      <c r="QQ251" s="634"/>
      <c r="QR251" s="634"/>
      <c r="QS251" s="634"/>
      <c r="QT251" s="634"/>
      <c r="QU251" s="634"/>
      <c r="QV251" s="634"/>
      <c r="QW251" s="634"/>
      <c r="QX251" s="634"/>
      <c r="QY251" s="634"/>
      <c r="QZ251" s="634"/>
      <c r="RA251" s="634"/>
      <c r="RB251" s="634"/>
      <c r="RC251" s="634"/>
      <c r="RD251" s="634"/>
      <c r="RE251" s="634"/>
      <c r="RF251" s="634"/>
      <c r="RG251" s="634"/>
      <c r="RH251" s="634"/>
      <c r="RI251" s="634"/>
      <c r="RJ251" s="634"/>
      <c r="RK251" s="634"/>
      <c r="RL251" s="634"/>
      <c r="RM251" s="634"/>
      <c r="RN251" s="634"/>
      <c r="RO251" s="634"/>
      <c r="RP251" s="634"/>
      <c r="RQ251" s="634"/>
      <c r="RR251" s="634"/>
      <c r="RS251" s="634"/>
      <c r="RT251" s="634"/>
      <c r="RU251" s="634"/>
      <c r="RV251" s="634"/>
      <c r="RW251" s="634"/>
      <c r="RX251" s="634"/>
      <c r="RY251" s="634"/>
      <c r="RZ251" s="634"/>
      <c r="SA251" s="634"/>
      <c r="SB251" s="634"/>
      <c r="SC251" s="634"/>
      <c r="SD251" s="634"/>
      <c r="SE251" s="634"/>
      <c r="SF251" s="634"/>
      <c r="SG251" s="634"/>
      <c r="SH251" s="634"/>
      <c r="SI251" s="634"/>
      <c r="SJ251" s="634"/>
      <c r="SK251" s="634"/>
      <c r="SL251" s="634"/>
      <c r="SM251" s="634"/>
      <c r="SN251" s="634"/>
      <c r="SO251" s="634"/>
      <c r="SP251" s="634"/>
      <c r="SQ251" s="634"/>
      <c r="SR251" s="634"/>
      <c r="SS251" s="634"/>
      <c r="ST251" s="634"/>
      <c r="SU251" s="634"/>
      <c r="SV251" s="634"/>
      <c r="SW251" s="634"/>
      <c r="SX251" s="634"/>
      <c r="SY251" s="634"/>
      <c r="SZ251" s="634"/>
      <c r="TA251" s="634"/>
      <c r="TB251" s="634"/>
      <c r="TC251" s="634"/>
      <c r="TD251" s="634"/>
      <c r="TE251" s="634"/>
      <c r="TF251" s="634"/>
      <c r="TG251" s="634"/>
      <c r="TH251" s="634"/>
      <c r="TI251" s="634"/>
      <c r="TJ251" s="634"/>
      <c r="TK251" s="634"/>
      <c r="TL251" s="634"/>
      <c r="TM251" s="634"/>
      <c r="TN251" s="634"/>
      <c r="TO251" s="634"/>
      <c r="TP251" s="634"/>
      <c r="TQ251" s="634"/>
      <c r="TR251" s="634"/>
      <c r="TS251" s="634"/>
      <c r="TT251" s="634"/>
      <c r="TU251" s="634"/>
      <c r="TV251" s="634"/>
      <c r="TW251" s="634"/>
      <c r="TX251" s="634"/>
      <c r="TY251" s="634"/>
      <c r="TZ251" s="634"/>
      <c r="UA251" s="634"/>
      <c r="UB251" s="634"/>
      <c r="UC251" s="634"/>
      <c r="UD251" s="634"/>
      <c r="UE251" s="634"/>
      <c r="UF251" s="634"/>
      <c r="UG251" s="634"/>
      <c r="UH251" s="634"/>
      <c r="UI251" s="634"/>
      <c r="UJ251" s="634"/>
      <c r="UK251" s="634"/>
      <c r="UL251" s="634"/>
      <c r="UM251" s="634"/>
      <c r="UN251" s="634"/>
      <c r="UO251" s="634"/>
      <c r="UP251" s="634"/>
      <c r="UQ251" s="634"/>
      <c r="UR251" s="634"/>
      <c r="US251" s="634"/>
      <c r="UT251" s="634"/>
      <c r="UU251" s="634"/>
      <c r="UV251" s="634"/>
      <c r="UW251" s="634"/>
      <c r="UX251" s="634"/>
      <c r="UY251" s="634"/>
      <c r="UZ251" s="634"/>
      <c r="VA251" s="634"/>
      <c r="VB251" s="634"/>
      <c r="VC251" s="634"/>
      <c r="VD251" s="634"/>
      <c r="VE251" s="634"/>
      <c r="VF251" s="634"/>
      <c r="VG251" s="634"/>
      <c r="VH251" s="634"/>
      <c r="VI251" s="634"/>
      <c r="VJ251" s="634"/>
      <c r="VK251" s="634"/>
      <c r="VL251" s="634"/>
      <c r="VM251" s="634"/>
      <c r="VN251" s="634"/>
      <c r="VO251" s="634"/>
      <c r="VP251" s="634"/>
      <c r="VQ251" s="634"/>
      <c r="VR251" s="634"/>
      <c r="VS251" s="634"/>
      <c r="VT251" s="634"/>
      <c r="VU251" s="634"/>
      <c r="VV251" s="634"/>
      <c r="VW251" s="634"/>
      <c r="VX251" s="634"/>
      <c r="VY251" s="634"/>
      <c r="VZ251" s="634"/>
      <c r="WA251" s="634"/>
      <c r="WB251" s="634"/>
      <c r="WC251" s="634"/>
      <c r="WD251" s="634"/>
      <c r="WE251" s="634"/>
      <c r="WF251" s="634"/>
      <c r="WG251" s="634"/>
      <c r="WH251" s="634"/>
      <c r="WI251" s="634"/>
      <c r="WJ251" s="634"/>
      <c r="WK251" s="634"/>
      <c r="WL251" s="634"/>
      <c r="WM251" s="634"/>
      <c r="WN251" s="634"/>
      <c r="WO251" s="634"/>
      <c r="WP251" s="634"/>
      <c r="WQ251" s="634"/>
      <c r="WR251" s="634"/>
      <c r="WS251" s="634"/>
      <c r="WT251" s="634"/>
      <c r="WU251" s="634"/>
      <c r="WV251" s="634"/>
      <c r="WW251" s="634"/>
      <c r="WX251" s="634"/>
      <c r="WY251" s="634"/>
      <c r="WZ251" s="634"/>
      <c r="XA251" s="634"/>
      <c r="XB251" s="634"/>
      <c r="XC251" s="634"/>
      <c r="XD251" s="634"/>
      <c r="XE251" s="634"/>
      <c r="XF251" s="634"/>
      <c r="XG251" s="634"/>
      <c r="XH251" s="634"/>
      <c r="XI251" s="634"/>
      <c r="XJ251" s="634"/>
      <c r="XK251" s="634"/>
      <c r="XL251" s="634"/>
      <c r="XM251" s="634"/>
      <c r="XN251" s="634"/>
      <c r="XO251" s="634"/>
      <c r="XP251" s="634"/>
      <c r="XQ251" s="634"/>
      <c r="XR251" s="634"/>
      <c r="XS251" s="634"/>
      <c r="XT251" s="634"/>
      <c r="XU251" s="634"/>
      <c r="XV251" s="634"/>
      <c r="XW251" s="634"/>
      <c r="XX251" s="634"/>
      <c r="XY251" s="634"/>
      <c r="XZ251" s="634"/>
      <c r="YA251" s="634"/>
      <c r="YB251" s="634"/>
      <c r="YC251" s="634"/>
      <c r="YD251" s="634"/>
      <c r="YE251" s="634"/>
      <c r="YF251" s="634"/>
      <c r="YG251" s="634"/>
      <c r="YH251" s="634"/>
      <c r="YI251" s="634"/>
      <c r="YJ251" s="634"/>
      <c r="YK251" s="634"/>
      <c r="YL251" s="634"/>
      <c r="YM251" s="634"/>
      <c r="YN251" s="634"/>
      <c r="YO251" s="634"/>
      <c r="YP251" s="634"/>
      <c r="YQ251" s="634"/>
      <c r="YR251" s="634"/>
      <c r="YS251" s="634"/>
      <c r="YT251" s="634"/>
      <c r="YU251" s="634"/>
      <c r="YV251" s="634"/>
      <c r="YW251" s="634"/>
      <c r="YX251" s="634"/>
      <c r="YY251" s="634"/>
      <c r="YZ251" s="634"/>
      <c r="ZA251" s="634"/>
      <c r="ZB251" s="634"/>
      <c r="ZC251" s="634"/>
      <c r="ZD251" s="634"/>
      <c r="ZE251" s="634"/>
      <c r="ZF251" s="634"/>
      <c r="ZG251" s="634"/>
      <c r="ZH251" s="634"/>
      <c r="ZI251" s="634"/>
      <c r="ZJ251" s="634"/>
      <c r="ZK251" s="634"/>
      <c r="ZL251" s="634"/>
      <c r="ZM251" s="634"/>
      <c r="ZN251" s="634"/>
      <c r="ZO251" s="634"/>
      <c r="ZP251" s="634"/>
      <c r="ZQ251" s="634"/>
      <c r="ZR251" s="634"/>
      <c r="ZS251" s="634"/>
      <c r="ZT251" s="634"/>
      <c r="ZU251" s="634"/>
      <c r="ZV251" s="634"/>
      <c r="ZW251" s="634"/>
      <c r="ZX251" s="634"/>
      <c r="ZY251" s="637"/>
      <c r="ZZ251" s="119"/>
      <c r="AAA251" s="587"/>
      <c r="AAD251" s="112"/>
      <c r="AAE251" s="550" t="s">
        <v>243</v>
      </c>
      <c r="AAF251" s="582" t="s">
        <v>172</v>
      </c>
      <c r="AAG251" s="78">
        <f>S.BANNER.PlanningStart</f>
        <v>41435</v>
      </c>
      <c r="AAH251" s="78">
        <f>S.CloseComment</f>
        <v>41536</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7">
        <v>111</v>
      </c>
      <c r="B252" s="275"/>
      <c r="C252" s="688"/>
      <c r="D252" s="180"/>
      <c r="E252" s="181"/>
      <c r="F252" s="181"/>
      <c r="G252" s="180"/>
      <c r="H252" s="180"/>
      <c r="I252" s="587"/>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7"/>
      <c r="AAD252" s="112"/>
      <c r="AAE252" s="550" t="s">
        <v>20</v>
      </c>
      <c r="AAF252" s="582" t="s">
        <v>172</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7"/>
      <c r="B253" s="276" t="str">
        <f>AAL253</f>
        <v>Enter hearing dates</v>
      </c>
      <c r="C253" s="713"/>
      <c r="D253" s="122"/>
      <c r="E253" s="122"/>
      <c r="F253" s="122"/>
      <c r="G253" s="122"/>
      <c r="H253" s="122"/>
      <c r="I253" s="587"/>
      <c r="J253" s="636"/>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5"/>
      <c r="BC253" s="635"/>
      <c r="BD253" s="635"/>
      <c r="BE253" s="635"/>
      <c r="BF253" s="635"/>
      <c r="BG253" s="635"/>
      <c r="BH253" s="635"/>
      <c r="BI253" s="635"/>
      <c r="BJ253" s="635"/>
      <c r="BK253" s="635"/>
      <c r="BL253" s="635"/>
      <c r="BM253" s="635"/>
      <c r="BN253" s="635"/>
      <c r="BO253" s="635"/>
      <c r="BP253" s="635"/>
      <c r="BQ253" s="635"/>
      <c r="BR253" s="635"/>
      <c r="BS253" s="635"/>
      <c r="BT253" s="635"/>
      <c r="BU253" s="635"/>
      <c r="BV253" s="635"/>
      <c r="BW253" s="635"/>
      <c r="BX253" s="635"/>
      <c r="BY253" s="635"/>
      <c r="BZ253" s="635"/>
      <c r="CA253" s="635"/>
      <c r="CB253" s="635"/>
      <c r="CC253" s="635"/>
      <c r="CD253" s="635"/>
      <c r="CE253" s="635"/>
      <c r="CF253" s="635"/>
      <c r="CG253" s="635"/>
      <c r="CH253" s="635"/>
      <c r="CI253" s="635"/>
      <c r="CJ253" s="635"/>
      <c r="CK253" s="635"/>
      <c r="CL253" s="635"/>
      <c r="CM253" s="635"/>
      <c r="CN253" s="635"/>
      <c r="CO253" s="635"/>
      <c r="CP253" s="635"/>
      <c r="CQ253" s="635"/>
      <c r="CR253" s="635"/>
      <c r="CS253" s="635"/>
      <c r="CT253" s="635"/>
      <c r="CU253" s="635"/>
      <c r="CV253" s="635"/>
      <c r="CW253" s="635"/>
      <c r="CX253" s="635"/>
      <c r="CY253" s="635"/>
      <c r="CZ253" s="635"/>
      <c r="DA253" s="635"/>
      <c r="DB253" s="635"/>
      <c r="DC253" s="635"/>
      <c r="DD253" s="635"/>
      <c r="DE253" s="635"/>
      <c r="DF253" s="635"/>
      <c r="DG253" s="635"/>
      <c r="DH253" s="635"/>
      <c r="DI253" s="635"/>
      <c r="DJ253" s="635"/>
      <c r="DK253" s="635"/>
      <c r="DL253" s="635"/>
      <c r="DM253" s="635"/>
      <c r="DN253" s="635"/>
      <c r="DO253" s="635"/>
      <c r="DP253" s="635"/>
      <c r="DQ253" s="635"/>
      <c r="DR253" s="635"/>
      <c r="DS253" s="635"/>
      <c r="DT253" s="635"/>
      <c r="DU253" s="635"/>
      <c r="DV253" s="635"/>
      <c r="DW253" s="635"/>
      <c r="DX253" s="635"/>
      <c r="DY253" s="635"/>
      <c r="DZ253" s="635"/>
      <c r="EA253" s="635"/>
      <c r="EB253" s="635"/>
      <c r="EC253" s="635"/>
      <c r="ED253" s="635"/>
      <c r="EE253" s="635"/>
      <c r="EF253" s="635"/>
      <c r="EG253" s="635"/>
      <c r="EH253" s="635"/>
      <c r="EI253" s="635"/>
      <c r="EJ253" s="635"/>
      <c r="EK253" s="635"/>
      <c r="EL253" s="635"/>
      <c r="EM253" s="635"/>
      <c r="EN253" s="635"/>
      <c r="EO253" s="635"/>
      <c r="EP253" s="635"/>
      <c r="EQ253" s="635"/>
      <c r="ER253" s="635"/>
      <c r="ES253" s="635"/>
      <c r="ET253" s="635"/>
      <c r="EU253" s="635"/>
      <c r="EV253" s="635"/>
      <c r="EW253" s="635"/>
      <c r="EX253" s="635"/>
      <c r="EY253" s="635"/>
      <c r="EZ253" s="635"/>
      <c r="FA253" s="635"/>
      <c r="FB253" s="635"/>
      <c r="FC253" s="635"/>
      <c r="FD253" s="635"/>
      <c r="FE253" s="635"/>
      <c r="FF253" s="635"/>
      <c r="FG253" s="635"/>
      <c r="FH253" s="635"/>
      <c r="FI253" s="635"/>
      <c r="FJ253" s="635"/>
      <c r="FK253" s="635"/>
      <c r="FL253" s="635"/>
      <c r="FM253" s="635"/>
      <c r="FN253" s="635"/>
      <c r="FO253" s="635"/>
      <c r="FP253" s="635"/>
      <c r="FQ253" s="635"/>
      <c r="FR253" s="635"/>
      <c r="FS253" s="635"/>
      <c r="FT253" s="635"/>
      <c r="FU253" s="635"/>
      <c r="FV253" s="635"/>
      <c r="FW253" s="635"/>
      <c r="FX253" s="635"/>
      <c r="FY253" s="635"/>
      <c r="FZ253" s="635"/>
      <c r="GA253" s="635"/>
      <c r="GB253" s="635"/>
      <c r="GC253" s="635"/>
      <c r="GD253" s="635"/>
      <c r="GE253" s="635"/>
      <c r="GF253" s="635"/>
      <c r="GG253" s="635"/>
      <c r="GH253" s="635"/>
      <c r="GI253" s="635"/>
      <c r="GJ253" s="635"/>
      <c r="GK253" s="635"/>
      <c r="GL253" s="635"/>
      <c r="GM253" s="635"/>
      <c r="GN253" s="635"/>
      <c r="GO253" s="635"/>
      <c r="GP253" s="635"/>
      <c r="GQ253" s="635"/>
      <c r="GR253" s="635"/>
      <c r="GS253" s="635"/>
      <c r="GT253" s="635"/>
      <c r="GU253" s="635"/>
      <c r="GV253" s="635"/>
      <c r="GW253" s="635"/>
      <c r="GX253" s="635"/>
      <c r="GY253" s="635"/>
      <c r="GZ253" s="635"/>
      <c r="HA253" s="635"/>
      <c r="HB253" s="635"/>
      <c r="HC253" s="635"/>
      <c r="HD253" s="635"/>
      <c r="HE253" s="635"/>
      <c r="HF253" s="635"/>
      <c r="HG253" s="635"/>
      <c r="HH253" s="635"/>
      <c r="HI253" s="635"/>
      <c r="HJ253" s="635"/>
      <c r="HK253" s="635"/>
      <c r="HL253" s="635"/>
      <c r="HM253" s="635"/>
      <c r="HN253" s="635"/>
      <c r="HO253" s="635"/>
      <c r="HP253" s="635"/>
      <c r="HQ253" s="635"/>
      <c r="HR253" s="635"/>
      <c r="HS253" s="635"/>
      <c r="HT253" s="635"/>
      <c r="HU253" s="635"/>
      <c r="HV253" s="635"/>
      <c r="HW253" s="635"/>
      <c r="HX253" s="635"/>
      <c r="HY253" s="635"/>
      <c r="HZ253" s="635"/>
      <c r="IA253" s="635"/>
      <c r="IB253" s="635"/>
      <c r="IC253" s="635"/>
      <c r="ID253" s="635"/>
      <c r="IE253" s="635"/>
      <c r="IF253" s="635"/>
      <c r="IG253" s="635"/>
      <c r="IH253" s="635"/>
      <c r="II253" s="635"/>
      <c r="IJ253" s="635"/>
      <c r="IK253" s="635"/>
      <c r="IL253" s="635"/>
      <c r="IM253" s="635"/>
      <c r="IN253" s="635"/>
      <c r="IO253" s="635"/>
      <c r="IP253" s="635"/>
      <c r="IQ253" s="635"/>
      <c r="IR253" s="635"/>
      <c r="IS253" s="635"/>
      <c r="IT253" s="635"/>
      <c r="IU253" s="635"/>
      <c r="IV253" s="635"/>
      <c r="IW253" s="635"/>
      <c r="IX253" s="635"/>
      <c r="IY253" s="635"/>
      <c r="IZ253" s="635"/>
      <c r="JA253" s="635"/>
      <c r="JB253" s="635"/>
      <c r="JC253" s="635"/>
      <c r="JD253" s="635"/>
      <c r="JE253" s="635"/>
      <c r="JF253" s="635"/>
      <c r="JG253" s="635"/>
      <c r="JH253" s="635"/>
      <c r="JI253" s="635"/>
      <c r="JJ253" s="635"/>
      <c r="JK253" s="635"/>
      <c r="JL253" s="635"/>
      <c r="JM253" s="635"/>
      <c r="JN253" s="635"/>
      <c r="JO253" s="635"/>
      <c r="JP253" s="635"/>
      <c r="JQ253" s="635"/>
      <c r="JR253" s="635"/>
      <c r="JS253" s="635"/>
      <c r="JT253" s="635"/>
      <c r="JU253" s="635"/>
      <c r="JV253" s="635"/>
      <c r="JW253" s="635"/>
      <c r="JX253" s="635"/>
      <c r="JY253" s="635"/>
      <c r="JZ253" s="635"/>
      <c r="KA253" s="635"/>
      <c r="KB253" s="635"/>
      <c r="KC253" s="635"/>
      <c r="KD253" s="635"/>
      <c r="KE253" s="635"/>
      <c r="KF253" s="635"/>
      <c r="KG253" s="635"/>
      <c r="KH253" s="635"/>
      <c r="KI253" s="635"/>
      <c r="KJ253" s="635"/>
      <c r="KK253" s="635"/>
      <c r="KL253" s="635"/>
      <c r="KM253" s="635"/>
      <c r="KN253" s="635"/>
      <c r="KO253" s="635"/>
      <c r="KP253" s="635"/>
      <c r="KQ253" s="635"/>
      <c r="KR253" s="635"/>
      <c r="KS253" s="635"/>
      <c r="KT253" s="635"/>
      <c r="KU253" s="635"/>
      <c r="KV253" s="635"/>
      <c r="KW253" s="635"/>
      <c r="KX253" s="635"/>
      <c r="KY253" s="635"/>
      <c r="KZ253" s="635"/>
      <c r="LA253" s="635"/>
      <c r="LB253" s="635"/>
      <c r="LC253" s="635"/>
      <c r="LD253" s="635"/>
      <c r="LE253" s="635"/>
      <c r="LF253" s="635"/>
      <c r="LG253" s="635"/>
      <c r="LH253" s="635"/>
      <c r="LI253" s="635"/>
      <c r="LJ253" s="635"/>
      <c r="LK253" s="635"/>
      <c r="LL253" s="635"/>
      <c r="LM253" s="635"/>
      <c r="LN253" s="635"/>
      <c r="LO253" s="635"/>
      <c r="LP253" s="635"/>
      <c r="LQ253" s="635"/>
      <c r="LR253" s="635"/>
      <c r="LS253" s="635"/>
      <c r="LT253" s="635"/>
      <c r="LU253" s="635"/>
      <c r="LV253" s="635"/>
      <c r="LW253" s="635"/>
      <c r="LX253" s="635"/>
      <c r="LY253" s="635"/>
      <c r="LZ253" s="635"/>
      <c r="MA253" s="635"/>
      <c r="MB253" s="635"/>
      <c r="MC253" s="635"/>
      <c r="MD253" s="635"/>
      <c r="ME253" s="635"/>
      <c r="MF253" s="635"/>
      <c r="MG253" s="635"/>
      <c r="MH253" s="635"/>
      <c r="MI253" s="635"/>
      <c r="MJ253" s="635"/>
      <c r="MK253" s="635"/>
      <c r="ML253" s="635"/>
      <c r="MM253" s="635"/>
      <c r="MN253" s="635"/>
      <c r="MO253" s="635"/>
      <c r="MP253" s="635"/>
      <c r="MQ253" s="635"/>
      <c r="MR253" s="635"/>
      <c r="MS253" s="635"/>
      <c r="MT253" s="635"/>
      <c r="MU253" s="635"/>
      <c r="MV253" s="635"/>
      <c r="MW253" s="635"/>
      <c r="MX253" s="635"/>
      <c r="MY253" s="635"/>
      <c r="MZ253" s="635"/>
      <c r="NA253" s="635"/>
      <c r="NB253" s="635"/>
      <c r="NC253" s="635"/>
      <c r="ND253" s="635"/>
      <c r="NE253" s="635"/>
      <c r="NF253" s="635"/>
      <c r="NG253" s="635"/>
      <c r="NH253" s="635"/>
      <c r="NI253" s="635"/>
      <c r="NJ253" s="635"/>
      <c r="NK253" s="635"/>
      <c r="NL253" s="635"/>
      <c r="NM253" s="635"/>
      <c r="NN253" s="635"/>
      <c r="NO253" s="635"/>
      <c r="NP253" s="635"/>
      <c r="NQ253" s="635"/>
      <c r="NR253" s="635"/>
      <c r="NS253" s="635"/>
      <c r="NT253" s="635"/>
      <c r="NU253" s="635"/>
      <c r="NV253" s="635"/>
      <c r="NW253" s="635"/>
      <c r="NX253" s="635"/>
      <c r="NY253" s="635"/>
      <c r="NZ253" s="635"/>
      <c r="OA253" s="635"/>
      <c r="OB253" s="635"/>
      <c r="OC253" s="635"/>
      <c r="OD253" s="635"/>
      <c r="OE253" s="635"/>
      <c r="OF253" s="635"/>
      <c r="OG253" s="635"/>
      <c r="OH253" s="635"/>
      <c r="OI253" s="635"/>
      <c r="OJ253" s="635"/>
      <c r="OK253" s="635"/>
      <c r="OL253" s="635"/>
      <c r="OM253" s="635"/>
      <c r="ON253" s="635"/>
      <c r="OO253" s="635"/>
      <c r="OP253" s="635"/>
      <c r="OQ253" s="635"/>
      <c r="OR253" s="635"/>
      <c r="OS253" s="635"/>
      <c r="OT253" s="635"/>
      <c r="OU253" s="635"/>
      <c r="OV253" s="635"/>
      <c r="OW253" s="635"/>
      <c r="OX253" s="635"/>
      <c r="OY253" s="635"/>
      <c r="OZ253" s="635"/>
      <c r="PA253" s="635"/>
      <c r="PB253" s="635"/>
      <c r="PC253" s="635"/>
      <c r="PD253" s="635"/>
      <c r="PE253" s="635"/>
      <c r="PF253" s="635"/>
      <c r="PG253" s="635"/>
      <c r="PH253" s="635"/>
      <c r="PI253" s="635"/>
      <c r="PJ253" s="635"/>
      <c r="PK253" s="635"/>
      <c r="PL253" s="635"/>
      <c r="PM253" s="635"/>
      <c r="PN253" s="635"/>
      <c r="PO253" s="635"/>
      <c r="PP253" s="635"/>
      <c r="PQ253" s="635"/>
      <c r="PR253" s="635"/>
      <c r="PS253" s="635"/>
      <c r="PT253" s="635"/>
      <c r="PU253" s="635"/>
      <c r="PV253" s="635"/>
      <c r="PW253" s="635"/>
      <c r="PX253" s="635"/>
      <c r="PY253" s="635"/>
      <c r="PZ253" s="635"/>
      <c r="QA253" s="635"/>
      <c r="QB253" s="635"/>
      <c r="QC253" s="635"/>
      <c r="QD253" s="635"/>
      <c r="QE253" s="635"/>
      <c r="QF253" s="635"/>
      <c r="QG253" s="635"/>
      <c r="QH253" s="635"/>
      <c r="QI253" s="635"/>
      <c r="QJ253" s="635"/>
      <c r="QK253" s="635"/>
      <c r="QL253" s="635"/>
      <c r="QM253" s="635"/>
      <c r="QN253" s="635"/>
      <c r="QO253" s="635"/>
      <c r="QP253" s="635"/>
      <c r="QQ253" s="635"/>
      <c r="QR253" s="635"/>
      <c r="QS253" s="635"/>
      <c r="QT253" s="635"/>
      <c r="QU253" s="635"/>
      <c r="QV253" s="635"/>
      <c r="QW253" s="635"/>
      <c r="QX253" s="635"/>
      <c r="QY253" s="635"/>
      <c r="QZ253" s="635"/>
      <c r="RA253" s="635"/>
      <c r="RB253" s="635"/>
      <c r="RC253" s="635"/>
      <c r="RD253" s="635"/>
      <c r="RE253" s="635"/>
      <c r="RF253" s="635"/>
      <c r="RG253" s="635"/>
      <c r="RH253" s="635"/>
      <c r="RI253" s="635"/>
      <c r="RJ253" s="635"/>
      <c r="RK253" s="635"/>
      <c r="RL253" s="635"/>
      <c r="RM253" s="635"/>
      <c r="RN253" s="635"/>
      <c r="RO253" s="635"/>
      <c r="RP253" s="635"/>
      <c r="RQ253" s="635"/>
      <c r="RR253" s="635"/>
      <c r="RS253" s="635"/>
      <c r="RT253" s="635"/>
      <c r="RU253" s="635"/>
      <c r="RV253" s="635"/>
      <c r="RW253" s="635"/>
      <c r="RX253" s="635"/>
      <c r="RY253" s="635"/>
      <c r="RZ253" s="635"/>
      <c r="SA253" s="635"/>
      <c r="SB253" s="635"/>
      <c r="SC253" s="635"/>
      <c r="SD253" s="635"/>
      <c r="SE253" s="635"/>
      <c r="SF253" s="635"/>
      <c r="SG253" s="635"/>
      <c r="SH253" s="635"/>
      <c r="SI253" s="635"/>
      <c r="SJ253" s="635"/>
      <c r="SK253" s="635"/>
      <c r="SL253" s="635"/>
      <c r="SM253" s="635"/>
      <c r="SN253" s="635"/>
      <c r="SO253" s="635"/>
      <c r="SP253" s="635"/>
      <c r="SQ253" s="635"/>
      <c r="SR253" s="635"/>
      <c r="SS253" s="635"/>
      <c r="ST253" s="635"/>
      <c r="SU253" s="635"/>
      <c r="SV253" s="635"/>
      <c r="SW253" s="635"/>
      <c r="SX253" s="635"/>
      <c r="SY253" s="635"/>
      <c r="SZ253" s="635"/>
      <c r="TA253" s="635"/>
      <c r="TB253" s="635"/>
      <c r="TC253" s="635"/>
      <c r="TD253" s="635"/>
      <c r="TE253" s="635"/>
      <c r="TF253" s="635"/>
      <c r="TG253" s="635"/>
      <c r="TH253" s="635"/>
      <c r="TI253" s="635"/>
      <c r="TJ253" s="635"/>
      <c r="TK253" s="635"/>
      <c r="TL253" s="635"/>
      <c r="TM253" s="635"/>
      <c r="TN253" s="635"/>
      <c r="TO253" s="635"/>
      <c r="TP253" s="635"/>
      <c r="TQ253" s="635"/>
      <c r="TR253" s="635"/>
      <c r="TS253" s="635"/>
      <c r="TT253" s="635"/>
      <c r="TU253" s="635"/>
      <c r="TV253" s="635"/>
      <c r="TW253" s="635"/>
      <c r="TX253" s="635"/>
      <c r="TY253" s="635"/>
      <c r="TZ253" s="635"/>
      <c r="UA253" s="635"/>
      <c r="UB253" s="635"/>
      <c r="UC253" s="635"/>
      <c r="UD253" s="635"/>
      <c r="UE253" s="635"/>
      <c r="UF253" s="635"/>
      <c r="UG253" s="635"/>
      <c r="UH253" s="635"/>
      <c r="UI253" s="635"/>
      <c r="UJ253" s="635"/>
      <c r="UK253" s="635"/>
      <c r="UL253" s="635"/>
      <c r="UM253" s="635"/>
      <c r="UN253" s="635"/>
      <c r="UO253" s="635"/>
      <c r="UP253" s="635"/>
      <c r="UQ253" s="635"/>
      <c r="UR253" s="635"/>
      <c r="US253" s="635"/>
      <c r="UT253" s="635"/>
      <c r="UU253" s="635"/>
      <c r="UV253" s="635"/>
      <c r="UW253" s="635"/>
      <c r="UX253" s="635"/>
      <c r="UY253" s="635"/>
      <c r="UZ253" s="635"/>
      <c r="VA253" s="635"/>
      <c r="VB253" s="635"/>
      <c r="VC253" s="635"/>
      <c r="VD253" s="635"/>
      <c r="VE253" s="635"/>
      <c r="VF253" s="635"/>
      <c r="VG253" s="635"/>
      <c r="VH253" s="635"/>
      <c r="VI253" s="635"/>
      <c r="VJ253" s="635"/>
      <c r="VK253" s="635"/>
      <c r="VL253" s="635"/>
      <c r="VM253" s="635"/>
      <c r="VN253" s="635"/>
      <c r="VO253" s="635"/>
      <c r="VP253" s="635"/>
      <c r="VQ253" s="635"/>
      <c r="VR253" s="635"/>
      <c r="VS253" s="635"/>
      <c r="VT253" s="635"/>
      <c r="VU253" s="635"/>
      <c r="VV253" s="635"/>
      <c r="VW253" s="635"/>
      <c r="VX253" s="635"/>
      <c r="VY253" s="635"/>
      <c r="VZ253" s="635"/>
      <c r="WA253" s="635"/>
      <c r="WB253" s="635"/>
      <c r="WC253" s="635"/>
      <c r="WD253" s="635"/>
      <c r="WE253" s="635"/>
      <c r="WF253" s="635"/>
      <c r="WG253" s="635"/>
      <c r="WH253" s="635"/>
      <c r="WI253" s="635"/>
      <c r="WJ253" s="635"/>
      <c r="WK253" s="635"/>
      <c r="WL253" s="635"/>
      <c r="WM253" s="635"/>
      <c r="WN253" s="635"/>
      <c r="WO253" s="635"/>
      <c r="WP253" s="635"/>
      <c r="WQ253" s="635"/>
      <c r="WR253" s="635"/>
      <c r="WS253" s="635"/>
      <c r="WT253" s="635"/>
      <c r="WU253" s="635"/>
      <c r="WV253" s="635"/>
      <c r="WW253" s="635"/>
      <c r="WX253" s="635"/>
      <c r="WY253" s="635"/>
      <c r="WZ253" s="635"/>
      <c r="XA253" s="635"/>
      <c r="XB253" s="635"/>
      <c r="XC253" s="635"/>
      <c r="XD253" s="635"/>
      <c r="XE253" s="635"/>
      <c r="XF253" s="635"/>
      <c r="XG253" s="635"/>
      <c r="XH253" s="635"/>
      <c r="XI253" s="635"/>
      <c r="XJ253" s="635"/>
      <c r="XK253" s="635"/>
      <c r="XL253" s="635"/>
      <c r="XM253" s="635"/>
      <c r="XN253" s="635"/>
      <c r="XO253" s="635"/>
      <c r="XP253" s="635"/>
      <c r="XQ253" s="635"/>
      <c r="XR253" s="635"/>
      <c r="XS253" s="635"/>
      <c r="XT253" s="635"/>
      <c r="XU253" s="635"/>
      <c r="XV253" s="635"/>
      <c r="XW253" s="635"/>
      <c r="XX253" s="635"/>
      <c r="XY253" s="635"/>
      <c r="XZ253" s="635"/>
      <c r="YA253" s="635"/>
      <c r="YB253" s="635"/>
      <c r="YC253" s="635"/>
      <c r="YD253" s="635"/>
      <c r="YE253" s="635"/>
      <c r="YF253" s="635"/>
      <c r="YG253" s="635"/>
      <c r="YH253" s="635"/>
      <c r="YI253" s="635"/>
      <c r="YJ253" s="635"/>
      <c r="YK253" s="635"/>
      <c r="YL253" s="635"/>
      <c r="YM253" s="635"/>
      <c r="YN253" s="635"/>
      <c r="YO253" s="635"/>
      <c r="YP253" s="635"/>
      <c r="YQ253" s="635"/>
      <c r="YR253" s="635"/>
      <c r="YS253" s="635"/>
      <c r="YT253" s="635"/>
      <c r="YU253" s="635"/>
      <c r="YV253" s="635"/>
      <c r="YW253" s="635"/>
      <c r="YX253" s="635"/>
      <c r="YY253" s="635"/>
      <c r="YZ253" s="635"/>
      <c r="ZA253" s="635"/>
      <c r="ZB253" s="635"/>
      <c r="ZC253" s="635"/>
      <c r="ZD253" s="635"/>
      <c r="ZE253" s="635"/>
      <c r="ZF253" s="635"/>
      <c r="ZG253" s="635"/>
      <c r="ZH253" s="635"/>
      <c r="ZI253" s="635"/>
      <c r="ZJ253" s="635"/>
      <c r="ZK253" s="635"/>
      <c r="ZL253" s="635"/>
      <c r="ZM253" s="635"/>
      <c r="ZN253" s="635"/>
      <c r="ZO253" s="635"/>
      <c r="ZP253" s="635"/>
      <c r="ZQ253" s="635"/>
      <c r="ZR253" s="635"/>
      <c r="ZS253" s="635"/>
      <c r="ZT253" s="635"/>
      <c r="ZU253" s="635"/>
      <c r="ZV253" s="635"/>
      <c r="ZW253" s="635"/>
      <c r="ZX253" s="635"/>
      <c r="ZY253" s="638"/>
      <c r="ZZ253" s="621"/>
      <c r="AAA253" s="587"/>
      <c r="AAB253"/>
      <c r="AAC253"/>
      <c r="AAD253" s="112"/>
      <c r="AAE253" s="550">
        <f t="shared" ref="AAE253:AAE262" si="909">IF(S.InvolveHearing=TRUE,1,0)</f>
        <v>1</v>
      </c>
      <c r="AAF253" s="582" t="s">
        <v>172</v>
      </c>
      <c r="AAG253" s="77"/>
      <c r="AAH253" s="77"/>
      <c r="AAI253" s="77"/>
      <c r="AAJ253" s="77"/>
      <c r="AAK253" s="77"/>
      <c r="AAL253" s="83" t="str">
        <f>IF(S.InvolveHearing=TRUE,"Enter hearing dates","No hearings planned")</f>
        <v>Enter hearing dates</v>
      </c>
      <c r="AAM253" s="112"/>
      <c r="AAU253" s="44"/>
    </row>
    <row r="254" spans="1:732" s="23" customFormat="1" ht="18" customHeight="1">
      <c r="A254" s="557"/>
      <c r="B254" s="427" t="s">
        <v>278</v>
      </c>
      <c r="C254" s="168"/>
      <c r="D254" s="741" t="s">
        <v>370</v>
      </c>
      <c r="E254" s="741"/>
      <c r="F254" s="741"/>
      <c r="G254" s="667">
        <f>AAG254</f>
        <v>41533</v>
      </c>
      <c r="H254" s="526" t="s">
        <v>273</v>
      </c>
      <c r="I254" s="626"/>
      <c r="J254" s="590"/>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6"/>
      <c r="ZZ254" s="50"/>
      <c r="AAA254" s="587"/>
      <c r="AAB254"/>
      <c r="AAC254"/>
      <c r="AAD254" s="112"/>
      <c r="AAE254" s="550">
        <f t="shared" si="909"/>
        <v>1</v>
      </c>
      <c r="AAF254" s="582" t="s">
        <v>172</v>
      </c>
      <c r="AAG254" s="78">
        <f>S.FirstHearingDate</f>
        <v>41533</v>
      </c>
      <c r="AAH254" s="39" t="s">
        <v>0</v>
      </c>
      <c r="AAI254" s="39"/>
      <c r="AAJ254" s="56"/>
      <c r="AAK254" s="56"/>
      <c r="AAL254" s="56"/>
      <c r="AAM254" s="112"/>
      <c r="AAU254" s="44"/>
    </row>
    <row r="255" spans="1:732" s="23" customFormat="1" ht="15" hidden="1" outlineLevel="1">
      <c r="A255" s="557"/>
      <c r="B255" s="487" t="s">
        <v>199</v>
      </c>
      <c r="C255" s="168"/>
      <c r="D255" s="741" t="s">
        <v>279</v>
      </c>
      <c r="E255" s="741"/>
      <c r="F255" s="741"/>
      <c r="G255" s="527">
        <f>AAG255</f>
        <v>41533</v>
      </c>
      <c r="H255" s="527" t="str">
        <f>AAH255</f>
        <v>5 p.m.</v>
      </c>
      <c r="I255" s="626"/>
      <c r="J255" s="591"/>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7"/>
      <c r="ZZ255" s="50"/>
      <c r="AAA255" s="587"/>
      <c r="AAB255"/>
      <c r="AAC255"/>
      <c r="AAD255" s="112"/>
      <c r="AAE255" s="550">
        <f t="shared" si="909"/>
        <v>1</v>
      </c>
      <c r="AAF255" s="582" t="s">
        <v>172</v>
      </c>
      <c r="AAG255" s="78">
        <f>G254</f>
        <v>41533</v>
      </c>
      <c r="AAH255" s="529" t="str">
        <f>H254</f>
        <v>5 p.m.</v>
      </c>
      <c r="AAI255" s="77"/>
      <c r="AAJ255" s="77"/>
      <c r="AAK255" s="77"/>
      <c r="AAL255" s="79"/>
      <c r="AAM255" s="112"/>
      <c r="AAU255" s="44"/>
    </row>
    <row r="256" spans="1:732" s="23" customFormat="1" ht="15" hidden="1" outlineLevel="1">
      <c r="A256" s="557"/>
      <c r="B256" s="487" t="s">
        <v>200</v>
      </c>
      <c r="C256" s="168"/>
      <c r="D256" s="741" t="s">
        <v>279</v>
      </c>
      <c r="E256" s="741"/>
      <c r="F256" s="741"/>
      <c r="G256" s="527">
        <f t="shared" ref="G256:G261" si="910">AAG256</f>
        <v>41533</v>
      </c>
      <c r="H256" s="527" t="str">
        <f t="shared" ref="H256:H260" si="911">AAH256</f>
        <v>5 p.m.</v>
      </c>
      <c r="I256" s="626"/>
      <c r="J256" s="591"/>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7"/>
      <c r="ZZ256" s="50"/>
      <c r="AAA256" s="587"/>
      <c r="AAB256"/>
      <c r="AAC256"/>
      <c r="AAD256" s="112"/>
      <c r="AAE256" s="550">
        <f t="shared" si="909"/>
        <v>1</v>
      </c>
      <c r="AAF256" s="582" t="s">
        <v>172</v>
      </c>
      <c r="AAG256" s="78">
        <f>G254</f>
        <v>41533</v>
      </c>
      <c r="AAH256" s="529" t="str">
        <f>H254</f>
        <v>5 p.m.</v>
      </c>
      <c r="AAI256" s="77"/>
      <c r="AAJ256" s="57"/>
      <c r="AAK256" s="57"/>
      <c r="AAL256" s="80"/>
      <c r="AAM256" s="112"/>
      <c r="AAU256" s="44"/>
    </row>
    <row r="257" spans="1:732" s="23" customFormat="1" ht="15" hidden="1" outlineLevel="1">
      <c r="A257" s="557"/>
      <c r="B257" s="487" t="s">
        <v>201</v>
      </c>
      <c r="C257" s="168"/>
      <c r="D257" s="741" t="s">
        <v>279</v>
      </c>
      <c r="E257" s="741"/>
      <c r="F257" s="741"/>
      <c r="G257" s="527">
        <f t="shared" si="910"/>
        <v>41533</v>
      </c>
      <c r="H257" s="527" t="str">
        <f t="shared" si="911"/>
        <v>5 p.m.</v>
      </c>
      <c r="I257" s="626"/>
      <c r="J257" s="591"/>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7"/>
      <c r="ZZ257" s="50"/>
      <c r="AAA257" s="587"/>
      <c r="AAB257"/>
      <c r="AAC257"/>
      <c r="AAD257" s="112"/>
      <c r="AAE257" s="550">
        <f t="shared" si="909"/>
        <v>1</v>
      </c>
      <c r="AAF257" s="582" t="s">
        <v>172</v>
      </c>
      <c r="AAG257" s="78">
        <f>G254</f>
        <v>41533</v>
      </c>
      <c r="AAH257" s="529" t="str">
        <f>H254</f>
        <v>5 p.m.</v>
      </c>
      <c r="AAI257" s="77"/>
      <c r="AAJ257" s="57"/>
      <c r="AAK257" s="57"/>
      <c r="AAL257" s="80"/>
      <c r="AAM257" s="112"/>
      <c r="AAU257" s="44"/>
    </row>
    <row r="258" spans="1:732" s="23" customFormat="1" ht="15" hidden="1" outlineLevel="1">
      <c r="A258" s="557"/>
      <c r="B258" s="487" t="s">
        <v>202</v>
      </c>
      <c r="C258" s="168"/>
      <c r="D258" s="741" t="s">
        <v>279</v>
      </c>
      <c r="E258" s="741"/>
      <c r="F258" s="741"/>
      <c r="G258" s="527">
        <f t="shared" si="910"/>
        <v>41533</v>
      </c>
      <c r="H258" s="527" t="str">
        <f t="shared" si="911"/>
        <v>5 p.m.</v>
      </c>
      <c r="I258" s="626"/>
      <c r="J258" s="591"/>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7"/>
      <c r="ZZ258" s="50"/>
      <c r="AAA258" s="587"/>
      <c r="AAB258"/>
      <c r="AAC258"/>
      <c r="AAD258" s="112"/>
      <c r="AAE258" s="550">
        <f t="shared" si="909"/>
        <v>1</v>
      </c>
      <c r="AAF258" s="582" t="s">
        <v>172</v>
      </c>
      <c r="AAG258" s="78">
        <f>G254</f>
        <v>41533</v>
      </c>
      <c r="AAH258" s="529" t="str">
        <f>H254</f>
        <v>5 p.m.</v>
      </c>
      <c r="AAI258" s="77"/>
      <c r="AAJ258" s="57"/>
      <c r="AAK258" s="57"/>
      <c r="AAL258" s="80"/>
      <c r="AAM258" s="112"/>
      <c r="AAU258" s="44"/>
    </row>
    <row r="259" spans="1:732" s="23" customFormat="1" ht="15" hidden="1" outlineLevel="1">
      <c r="A259" s="557"/>
      <c r="B259" s="487" t="s">
        <v>203</v>
      </c>
      <c r="C259" s="168"/>
      <c r="D259" s="741" t="s">
        <v>279</v>
      </c>
      <c r="E259" s="741"/>
      <c r="F259" s="741"/>
      <c r="G259" s="527">
        <f t="shared" si="910"/>
        <v>41533</v>
      </c>
      <c r="H259" s="527" t="str">
        <f t="shared" si="911"/>
        <v>5 p.m.</v>
      </c>
      <c r="I259" s="626"/>
      <c r="J259" s="591"/>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7"/>
      <c r="ZZ259" s="50"/>
      <c r="AAA259" s="587"/>
      <c r="AAB259"/>
      <c r="AAC259"/>
      <c r="AAD259" s="112"/>
      <c r="AAE259" s="550">
        <f t="shared" si="909"/>
        <v>1</v>
      </c>
      <c r="AAF259" s="582" t="s">
        <v>172</v>
      </c>
      <c r="AAG259" s="78">
        <f>G254</f>
        <v>41533</v>
      </c>
      <c r="AAH259" s="529" t="str">
        <f>H254</f>
        <v>5 p.m.</v>
      </c>
      <c r="AAI259" s="77"/>
      <c r="AAJ259" s="57"/>
      <c r="AAK259" s="57"/>
      <c r="AAL259" s="80"/>
      <c r="AAM259" s="112"/>
      <c r="AAU259" s="44"/>
    </row>
    <row r="260" spans="1:732" s="23" customFormat="1" ht="15" hidden="1" outlineLevel="1">
      <c r="A260" s="557"/>
      <c r="B260" s="487" t="s">
        <v>204</v>
      </c>
      <c r="C260" s="168"/>
      <c r="D260" s="741" t="s">
        <v>279</v>
      </c>
      <c r="E260" s="741"/>
      <c r="F260" s="741"/>
      <c r="G260" s="527">
        <f t="shared" si="910"/>
        <v>41533</v>
      </c>
      <c r="H260" s="527" t="str">
        <f t="shared" si="911"/>
        <v>5 p.m.</v>
      </c>
      <c r="I260" s="626"/>
      <c r="J260" s="591"/>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7"/>
      <c r="ZZ260" s="50"/>
      <c r="AAA260" s="587"/>
      <c r="AAB260"/>
      <c r="AAC260"/>
      <c r="AAD260" s="112"/>
      <c r="AAE260" s="550">
        <f t="shared" si="909"/>
        <v>1</v>
      </c>
      <c r="AAF260" s="582" t="s">
        <v>172</v>
      </c>
      <c r="AAG260" s="78">
        <f>G254</f>
        <v>41533</v>
      </c>
      <c r="AAH260" s="529" t="str">
        <f>H254</f>
        <v>5 p.m.</v>
      </c>
      <c r="AAI260" s="77"/>
      <c r="AAJ260" s="57"/>
      <c r="AAK260" s="57"/>
      <c r="AAL260" s="80"/>
      <c r="AAM260" s="112"/>
      <c r="AAU260" s="44"/>
    </row>
    <row r="261" spans="1:732" s="23" customFormat="1" ht="15" hidden="1" collapsed="1">
      <c r="A261" s="557"/>
      <c r="B261" s="488" t="s">
        <v>205</v>
      </c>
      <c r="C261" s="168"/>
      <c r="D261" s="741" t="s">
        <v>279</v>
      </c>
      <c r="E261" s="741"/>
      <c r="F261" s="741"/>
      <c r="G261" s="527">
        <f t="shared" si="910"/>
        <v>41533</v>
      </c>
      <c r="H261" s="528" t="str">
        <f>H254</f>
        <v>5 p.m.</v>
      </c>
      <c r="I261" s="626"/>
      <c r="J261" s="591"/>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7"/>
      <c r="ZZ261" s="50"/>
      <c r="AAA261" s="587"/>
      <c r="AAB261"/>
      <c r="AAC261"/>
      <c r="AAD261" s="112"/>
      <c r="AAE261" s="550">
        <f t="shared" si="909"/>
        <v>1</v>
      </c>
      <c r="AAF261" s="582" t="s">
        <v>172</v>
      </c>
      <c r="AAG261" s="78">
        <f>G254</f>
        <v>41533</v>
      </c>
      <c r="AAH261" s="529" t="str">
        <f>H254</f>
        <v>5 p.m.</v>
      </c>
      <c r="AAI261" s="77"/>
      <c r="AAJ261" s="57"/>
      <c r="AAK261" s="57"/>
      <c r="AAL261" s="80"/>
      <c r="AAM261" s="112"/>
      <c r="AAU261" s="44"/>
      <c r="AAV261"/>
      <c r="AAW261"/>
      <c r="AAX261"/>
      <c r="AAY261"/>
      <c r="AAZ261"/>
      <c r="ABA261"/>
      <c r="ABB261"/>
      <c r="ABC261"/>
      <c r="ABD261"/>
    </row>
    <row r="262" spans="1:732" s="23" customFormat="1" ht="15" outlineLevel="1">
      <c r="A262" s="557"/>
      <c r="B262" s="410" t="s">
        <v>167</v>
      </c>
      <c r="C262" s="168"/>
      <c r="D262" s="277" t="s">
        <v>157</v>
      </c>
      <c r="E262" s="368">
        <f>NETWORKDAYS(G262,H262,S.DDL_DEQClosed)</f>
        <v>1</v>
      </c>
      <c r="F262" s="491">
        <f t="shared" ref="F262" ca="1" si="912">NETWORKDAYS(TODAY(),H262)</f>
        <v>-36</v>
      </c>
      <c r="G262" s="525">
        <f t="shared" ref="G262:H276" si="913">AAG262</f>
        <v>41435</v>
      </c>
      <c r="H262" s="525">
        <f t="shared" si="913"/>
        <v>41435</v>
      </c>
      <c r="I262" s="626"/>
      <c r="J262" s="591"/>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7"/>
      <c r="ZZ262" s="50"/>
      <c r="AAA262" s="587"/>
      <c r="AAB262"/>
      <c r="AAC262"/>
      <c r="AAD262" s="112"/>
      <c r="AAE262" s="550">
        <f t="shared" si="909"/>
        <v>1</v>
      </c>
      <c r="AAF262" s="112"/>
      <c r="AAG262" s="78">
        <f t="shared" ref="AAG262" si="914">S.BANNER.NoticeStart</f>
        <v>41435</v>
      </c>
      <c r="AAH262" s="78">
        <f>G262</f>
        <v>41435</v>
      </c>
      <c r="AAI262" s="63"/>
      <c r="AAJ262" s="57"/>
      <c r="AAK262" s="57"/>
      <c r="AAL262" s="57"/>
      <c r="AAM262" s="112"/>
      <c r="AAU262" s="44"/>
      <c r="AAV262"/>
      <c r="AAW262"/>
      <c r="AAX262"/>
      <c r="AAY262"/>
      <c r="AAZ262"/>
      <c r="ABA262"/>
      <c r="ABB262"/>
      <c r="ABC262"/>
      <c r="ABD262"/>
    </row>
    <row r="263" spans="1:732" ht="15" hidden="1" outlineLevel="2">
      <c r="A263" s="557"/>
      <c r="B263" s="428" t="s">
        <v>164</v>
      </c>
      <c r="C263" s="714"/>
      <c r="D263" s="177" t="s">
        <v>0</v>
      </c>
      <c r="E263" s="345" t="s">
        <v>0</v>
      </c>
      <c r="F263" s="214" t="s">
        <v>0</v>
      </c>
      <c r="G263" s="501"/>
      <c r="H263" s="356"/>
      <c r="I263" s="587"/>
      <c r="J263" s="591"/>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7"/>
      <c r="ZZ263" s="36"/>
      <c r="AAA263" s="587"/>
      <c r="AAD263" s="112"/>
      <c r="AAE263" s="550">
        <f t="shared" ref="AAE263:AAE281" si="915">IF(S.InvolveNotice=TRUE,1,0)</f>
        <v>1</v>
      </c>
      <c r="AAF263" s="582" t="s">
        <v>172</v>
      </c>
      <c r="AAG263" s="76" t="s">
        <v>0</v>
      </c>
      <c r="AAH263" s="76"/>
      <c r="AAI263" s="76"/>
      <c r="AAJ263" s="87"/>
      <c r="AAK263" s="87"/>
      <c r="AAL263" s="57"/>
      <c r="AAM263" s="112"/>
      <c r="AAN263"/>
      <c r="AAT263" s="23"/>
      <c r="AAU263" s="44"/>
    </row>
    <row r="264" spans="1:732" ht="15" hidden="1" outlineLevel="2">
      <c r="A264" s="557"/>
      <c r="B264" s="429" t="s">
        <v>337</v>
      </c>
      <c r="C264" s="489"/>
      <c r="D264" s="278" t="s">
        <v>384</v>
      </c>
      <c r="E264" s="368">
        <f t="shared" ref="E264:E269" si="916">NETWORKDAYS(G264,H264,S.DDL_DEQClosed)</f>
        <v>1</v>
      </c>
      <c r="F264" s="491">
        <f t="shared" ref="F264:F269" ca="1" si="917">NETWORKDAYS(TODAY(),H264)</f>
        <v>-36</v>
      </c>
      <c r="G264" s="525">
        <f t="shared" si="913"/>
        <v>41435</v>
      </c>
      <c r="H264" s="369">
        <f t="shared" ref="H264:H269" si="918">AAH264</f>
        <v>41435</v>
      </c>
      <c r="I264" s="626"/>
      <c r="J264" s="591"/>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7"/>
      <c r="ZZ264" s="50"/>
      <c r="AAA264" s="587"/>
      <c r="AAD264" s="112"/>
      <c r="AAE264" s="550">
        <f t="shared" si="915"/>
        <v>1</v>
      </c>
      <c r="AAF264" s="112"/>
      <c r="AAG264" s="78">
        <f>H262</f>
        <v>41435</v>
      </c>
      <c r="AAH264" s="78">
        <f>G264</f>
        <v>41435</v>
      </c>
      <c r="AAI264" s="63"/>
      <c r="AAJ264" s="57"/>
      <c r="AAK264" s="57"/>
      <c r="AAL264" s="57" t="s">
        <v>0</v>
      </c>
      <c r="AAM264" s="112"/>
      <c r="AAN264"/>
      <c r="AAT264" s="23"/>
      <c r="AAU264" s="44"/>
    </row>
    <row r="265" spans="1:732" ht="15" hidden="1" outlineLevel="2">
      <c r="A265" s="557"/>
      <c r="B265" s="429" t="s">
        <v>98</v>
      </c>
      <c r="C265" s="489"/>
      <c r="D265" s="278" t="s">
        <v>390</v>
      </c>
      <c r="E265" s="368">
        <f t="shared" si="916"/>
        <v>1</v>
      </c>
      <c r="F265" s="491">
        <f t="shared" ca="1" si="917"/>
        <v>-36</v>
      </c>
      <c r="G265" s="525">
        <f t="shared" si="913"/>
        <v>41435</v>
      </c>
      <c r="H265" s="369">
        <f t="shared" si="918"/>
        <v>41435</v>
      </c>
      <c r="I265" s="626"/>
      <c r="J265" s="591"/>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7"/>
      <c r="ZZ265" s="50"/>
      <c r="AAA265" s="587"/>
      <c r="AAD265" s="112"/>
      <c r="AAE265" s="550">
        <f t="shared" si="915"/>
        <v>1</v>
      </c>
      <c r="AAF265" s="112"/>
      <c r="AAG265" s="78">
        <f>H264</f>
        <v>41435</v>
      </c>
      <c r="AAH265" s="78">
        <f t="shared" ref="AAH265:AAH269" si="919">G265</f>
        <v>41435</v>
      </c>
      <c r="AAI265" s="63"/>
      <c r="AAJ265" s="57"/>
      <c r="AAK265" s="57"/>
      <c r="AAL265" s="57"/>
      <c r="AAM265" s="112"/>
      <c r="AAN265"/>
      <c r="AAT265" s="23"/>
      <c r="AAU265" s="44"/>
    </row>
    <row r="266" spans="1:732" ht="15" hidden="1" outlineLevel="2">
      <c r="A266" s="557"/>
      <c r="B266" s="430" t="s">
        <v>99</v>
      </c>
      <c r="C266" s="489"/>
      <c r="D266" s="279" t="s">
        <v>372</v>
      </c>
      <c r="E266" s="368">
        <f t="shared" si="916"/>
        <v>1</v>
      </c>
      <c r="F266" s="491">
        <f t="shared" ca="1" si="917"/>
        <v>-36</v>
      </c>
      <c r="G266" s="525">
        <f t="shared" si="913"/>
        <v>41435</v>
      </c>
      <c r="H266" s="369">
        <f t="shared" si="918"/>
        <v>41435</v>
      </c>
      <c r="I266" s="626"/>
      <c r="J266" s="591"/>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7"/>
      <c r="ZZ266" s="50"/>
      <c r="AAA266" s="587"/>
      <c r="AAD266" s="112"/>
      <c r="AAE266" s="550">
        <f t="shared" si="915"/>
        <v>1</v>
      </c>
      <c r="AAF266" s="112"/>
      <c r="AAG266" s="78">
        <f t="shared" ref="AAG266:AAG269" si="920">H265</f>
        <v>41435</v>
      </c>
      <c r="AAH266" s="78">
        <f t="shared" si="919"/>
        <v>41435</v>
      </c>
      <c r="AAI266" s="63"/>
      <c r="AAJ266" s="57"/>
      <c r="AAK266" s="57"/>
      <c r="AAL266" s="57"/>
      <c r="AAM266" s="112"/>
      <c r="AAN266"/>
      <c r="AAT266" s="23"/>
      <c r="AAU266" s="44"/>
    </row>
    <row r="267" spans="1:732" ht="15" hidden="1" outlineLevel="2">
      <c r="A267" s="557"/>
      <c r="B267" s="431" t="s">
        <v>100</v>
      </c>
      <c r="C267" s="489"/>
      <c r="D267" s="279" t="s">
        <v>372</v>
      </c>
      <c r="E267" s="368">
        <f t="shared" si="916"/>
        <v>1</v>
      </c>
      <c r="F267" s="491">
        <f t="shared" ca="1" si="917"/>
        <v>-36</v>
      </c>
      <c r="G267" s="525">
        <f t="shared" si="913"/>
        <v>41435</v>
      </c>
      <c r="H267" s="369">
        <f t="shared" si="918"/>
        <v>41435</v>
      </c>
      <c r="I267" s="626"/>
      <c r="J267" s="591"/>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7"/>
      <c r="ZZ267" s="50"/>
      <c r="AAA267" s="587"/>
      <c r="AAD267" s="112"/>
      <c r="AAE267" s="550">
        <f t="shared" si="915"/>
        <v>1</v>
      </c>
      <c r="AAF267" s="112"/>
      <c r="AAG267" s="78">
        <f t="shared" si="920"/>
        <v>41435</v>
      </c>
      <c r="AAH267" s="78">
        <f t="shared" si="919"/>
        <v>41435</v>
      </c>
      <c r="AAI267" s="63"/>
      <c r="AAJ267" s="57"/>
      <c r="AAK267" s="57"/>
      <c r="AAL267" s="57"/>
      <c r="AAM267" s="112"/>
      <c r="AAN267"/>
      <c r="AAT267" s="23"/>
      <c r="AAU267" s="44"/>
    </row>
    <row r="268" spans="1:732" ht="15" hidden="1" outlineLevel="2">
      <c r="A268" s="557"/>
      <c r="B268" s="432" t="s">
        <v>101</v>
      </c>
      <c r="C268" s="489"/>
      <c r="D268" s="279" t="s">
        <v>372</v>
      </c>
      <c r="E268" s="368">
        <f t="shared" si="916"/>
        <v>1</v>
      </c>
      <c r="F268" s="491">
        <f t="shared" ca="1" si="917"/>
        <v>-36</v>
      </c>
      <c r="G268" s="525">
        <f t="shared" si="913"/>
        <v>41435</v>
      </c>
      <c r="H268" s="369">
        <f t="shared" si="918"/>
        <v>41435</v>
      </c>
      <c r="I268" s="626"/>
      <c r="J268" s="591"/>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7"/>
      <c r="ZZ268" s="50"/>
      <c r="AAA268" s="587"/>
      <c r="AAD268" s="112"/>
      <c r="AAE268" s="550">
        <f t="shared" si="915"/>
        <v>1</v>
      </c>
      <c r="AAF268" s="112"/>
      <c r="AAG268" s="78">
        <f t="shared" si="920"/>
        <v>41435</v>
      </c>
      <c r="AAH268" s="78">
        <f t="shared" si="919"/>
        <v>41435</v>
      </c>
      <c r="AAI268" s="63"/>
      <c r="AAJ268" s="57"/>
      <c r="AAK268" s="57"/>
      <c r="AAL268" s="57"/>
      <c r="AAM268" s="112"/>
      <c r="AAN268"/>
      <c r="AAT268" s="23"/>
      <c r="AAU268" s="44"/>
    </row>
    <row r="269" spans="1:732" ht="15" hidden="1" outlineLevel="2">
      <c r="A269" s="557"/>
      <c r="B269" s="433" t="s">
        <v>102</v>
      </c>
      <c r="C269" s="489"/>
      <c r="D269" s="279" t="s">
        <v>372</v>
      </c>
      <c r="E269" s="368">
        <f t="shared" si="916"/>
        <v>1</v>
      </c>
      <c r="F269" s="491">
        <f t="shared" ca="1" si="917"/>
        <v>-36</v>
      </c>
      <c r="G269" s="525">
        <f t="shared" si="913"/>
        <v>41435</v>
      </c>
      <c r="H269" s="369">
        <f t="shared" si="918"/>
        <v>41435</v>
      </c>
      <c r="I269" s="626"/>
      <c r="J269" s="591"/>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7"/>
      <c r="ZZ269" s="50"/>
      <c r="AAA269" s="587"/>
      <c r="AAD269" s="112"/>
      <c r="AAE269" s="550">
        <f t="shared" si="915"/>
        <v>1</v>
      </c>
      <c r="AAF269" s="112"/>
      <c r="AAG269" s="78">
        <f t="shared" si="920"/>
        <v>41435</v>
      </c>
      <c r="AAH269" s="78">
        <f t="shared" si="919"/>
        <v>41435</v>
      </c>
      <c r="AAI269" s="63"/>
      <c r="AAJ269" s="57"/>
      <c r="AAK269" s="57"/>
      <c r="AAL269" s="57"/>
      <c r="AAM269" s="112"/>
      <c r="AAN269"/>
      <c r="AAT269" s="23"/>
      <c r="AAU269" s="44"/>
    </row>
    <row r="270" spans="1:732" ht="15" hidden="1" outlineLevel="2">
      <c r="A270" s="557"/>
      <c r="B270" s="434" t="s">
        <v>163</v>
      </c>
      <c r="C270" s="714"/>
      <c r="D270" s="195"/>
      <c r="E270" s="345"/>
      <c r="F270" s="366"/>
      <c r="G270" s="451"/>
      <c r="H270" s="367"/>
      <c r="I270" s="587"/>
      <c r="J270" s="591"/>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7"/>
      <c r="ZZ270" s="36"/>
      <c r="AAA270" s="587"/>
      <c r="AAD270" s="112"/>
      <c r="AAE270" s="550">
        <f t="shared" si="915"/>
        <v>1</v>
      </c>
      <c r="AAF270" s="582" t="s">
        <v>172</v>
      </c>
      <c r="AAG270" s="63"/>
      <c r="AAH270" s="63"/>
      <c r="AAI270" s="63"/>
      <c r="AAJ270" s="57"/>
      <c r="AAK270" s="57"/>
      <c r="AAL270" s="57"/>
      <c r="AAM270" s="112"/>
      <c r="AAN270"/>
      <c r="AAT270" s="23"/>
      <c r="AAU270" s="44"/>
    </row>
    <row r="271" spans="1:732" ht="15" outlineLevel="1" collapsed="1">
      <c r="A271" s="557"/>
      <c r="B271" s="415" t="s">
        <v>269</v>
      </c>
      <c r="C271" s="168"/>
      <c r="D271" s="277" t="s">
        <v>377</v>
      </c>
      <c r="E271" s="368">
        <f>NETWORKDAYS(G271,H271,S.DDL_DEQClosed)</f>
        <v>28</v>
      </c>
      <c r="F271" s="491">
        <f t="shared" ref="F271:F288" ca="1" si="921">NETWORKDAYS(TODAY(),H271)</f>
        <v>-8</v>
      </c>
      <c r="G271" s="369">
        <f t="shared" si="913"/>
        <v>41435</v>
      </c>
      <c r="H271" s="369">
        <f>AAH271</f>
        <v>41473</v>
      </c>
      <c r="I271" s="626"/>
      <c r="J271" s="591"/>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7"/>
      <c r="ZZ271" s="50"/>
      <c r="AAA271" s="587"/>
      <c r="AAD271" s="112"/>
      <c r="AAE271" s="550">
        <f t="shared" si="915"/>
        <v>1</v>
      </c>
      <c r="AAF271" s="112"/>
      <c r="AAG271" s="78">
        <f>S.BANNER.NoticeStart</f>
        <v>41435</v>
      </c>
      <c r="AAH271" s="78">
        <f>G300</f>
        <v>41473</v>
      </c>
      <c r="AAI271" s="63"/>
      <c r="AAJ271" s="57"/>
      <c r="AAK271" s="57"/>
      <c r="AAL271" s="57"/>
      <c r="AAM271" s="112"/>
      <c r="AAN271"/>
      <c r="AAT271" s="23"/>
      <c r="AAU271" s="44"/>
    </row>
    <row r="272" spans="1:732" ht="87.75" customHeight="1" outlineLevel="1">
      <c r="A272" s="557"/>
      <c r="B272" s="746" t="s">
        <v>340</v>
      </c>
      <c r="C272" s="746"/>
      <c r="D272" s="746"/>
      <c r="E272" s="746"/>
      <c r="F272" s="746"/>
      <c r="G272" s="746"/>
      <c r="H272" s="746"/>
      <c r="I272" s="587"/>
      <c r="J272" s="591"/>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7"/>
      <c r="ZZ272" s="36"/>
      <c r="AAA272" s="587"/>
      <c r="AAD272" s="112"/>
      <c r="AAE272" s="550">
        <f t="shared" si="915"/>
        <v>1</v>
      </c>
      <c r="AAF272" s="582" t="s">
        <v>172</v>
      </c>
      <c r="AAG272" s="63"/>
      <c r="AAH272" s="63"/>
      <c r="AAI272" s="63"/>
      <c r="AAJ272" s="57"/>
      <c r="AAK272" s="57"/>
      <c r="AAL272" s="95"/>
      <c r="AAM272" s="112"/>
      <c r="AAN272"/>
      <c r="AAT272" s="23"/>
      <c r="AAU272" s="44"/>
    </row>
    <row r="273" spans="1:732" ht="15" outlineLevel="1">
      <c r="A273" s="557"/>
      <c r="B273" s="410" t="str">
        <f>AAL273</f>
        <v>a. INVITATION.TO.COMMENT (blank in folder 4)</v>
      </c>
      <c r="C273" s="168"/>
      <c r="D273" s="277" t="s">
        <v>358</v>
      </c>
      <c r="E273" s="368">
        <f t="shared" ref="E273:E276" si="922">NETWORKDAYS(G273,H273,S.DDL_DEQClosed)</f>
        <v>28</v>
      </c>
      <c r="F273" s="491">
        <f t="shared" ca="1" si="921"/>
        <v>-8</v>
      </c>
      <c r="G273" s="369">
        <f t="shared" si="913"/>
        <v>41435</v>
      </c>
      <c r="H273" s="369">
        <f>AAH273</f>
        <v>41473</v>
      </c>
      <c r="I273" s="626"/>
      <c r="J273" s="591"/>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7"/>
      <c r="ZZ273" s="50"/>
      <c r="AAA273" s="587"/>
      <c r="AAD273" s="112"/>
      <c r="AAE273" s="550">
        <f t="shared" si="915"/>
        <v>1</v>
      </c>
      <c r="AAF273" s="112"/>
      <c r="AAG273" s="78">
        <f>G271</f>
        <v>41435</v>
      </c>
      <c r="AAH273" s="78">
        <f>H271</f>
        <v>41473</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7"/>
      <c r="B274" s="410" t="str">
        <f>AAL274</f>
        <v>b. PROPOSED.RULES</v>
      </c>
      <c r="C274" s="231" t="s">
        <v>70</v>
      </c>
      <c r="D274" s="277" t="s">
        <v>391</v>
      </c>
      <c r="E274" s="368">
        <f t="shared" si="922"/>
        <v>28</v>
      </c>
      <c r="F274" s="491">
        <f t="shared" ca="1" si="921"/>
        <v>-8</v>
      </c>
      <c r="G274" s="369">
        <f t="shared" si="913"/>
        <v>41435</v>
      </c>
      <c r="H274" s="369">
        <f>AAH274</f>
        <v>41473</v>
      </c>
      <c r="I274" s="626"/>
      <c r="J274" s="591"/>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7"/>
      <c r="ZZ274" s="50"/>
      <c r="AAA274" s="587"/>
      <c r="AAD274" s="112"/>
      <c r="AAE274" s="550">
        <f t="shared" si="915"/>
        <v>1</v>
      </c>
      <c r="AAF274" s="112"/>
      <c r="AAG274" s="78">
        <f>G271</f>
        <v>41435</v>
      </c>
      <c r="AAH274" s="78">
        <f>H271</f>
        <v>41473</v>
      </c>
      <c r="AAI274" s="77"/>
      <c r="AAJ274" s="77"/>
      <c r="AAK274" s="77"/>
      <c r="AAL274" s="89" t="str">
        <f>"b. "&amp;S.CodeName&amp;"PROPOSED.RULES"</f>
        <v>b. PROPOSED.RULES</v>
      </c>
      <c r="AAM274" s="112"/>
      <c r="AAN274"/>
      <c r="AAT274" s="23"/>
      <c r="AAU274" s="44"/>
    </row>
    <row r="275" spans="1:732" s="23" customFormat="1" ht="15" outlineLevel="1">
      <c r="A275" s="557"/>
      <c r="B275" s="417" t="s">
        <v>176</v>
      </c>
      <c r="C275" s="168"/>
      <c r="D275" s="278" t="s">
        <v>391</v>
      </c>
      <c r="E275" s="368">
        <f t="shared" si="922"/>
        <v>28</v>
      </c>
      <c r="F275" s="491">
        <f t="shared" ref="F275" ca="1" si="923">NETWORKDAYS(TODAY(),H275)</f>
        <v>-8</v>
      </c>
      <c r="G275" s="369">
        <f t="shared" si="913"/>
        <v>41435</v>
      </c>
      <c r="H275" s="369">
        <f>AAH275</f>
        <v>41473</v>
      </c>
      <c r="I275" s="626"/>
      <c r="J275" s="591"/>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7"/>
      <c r="ZZ275" s="50"/>
      <c r="AAA275" s="587"/>
      <c r="AAB275"/>
      <c r="AAC275"/>
      <c r="AAD275" s="112"/>
      <c r="AAE275" s="550">
        <f t="shared" si="915"/>
        <v>1</v>
      </c>
      <c r="AAF275" s="112"/>
      <c r="AAG275" s="78">
        <f>G271</f>
        <v>41435</v>
      </c>
      <c r="AAH275" s="78">
        <f>H271</f>
        <v>41473</v>
      </c>
      <c r="AAI275" s="77"/>
      <c r="AAJ275" s="77"/>
      <c r="AAK275" s="77"/>
      <c r="AAL275" s="57"/>
      <c r="AAM275" s="112"/>
      <c r="AAU275" s="44"/>
      <c r="AAV275"/>
      <c r="AAW275"/>
      <c r="AAX275"/>
      <c r="AAY275"/>
      <c r="AAZ275"/>
      <c r="ABA275"/>
      <c r="ABB275"/>
      <c r="ABC275"/>
      <c r="ABD275"/>
    </row>
    <row r="276" spans="1:732" ht="15" outlineLevel="1">
      <c r="A276" s="557"/>
      <c r="B276" s="418" t="s">
        <v>366</v>
      </c>
      <c r="C276" s="168"/>
      <c r="D276" s="277" t="s">
        <v>358</v>
      </c>
      <c r="E276" s="368">
        <f t="shared" si="922"/>
        <v>28</v>
      </c>
      <c r="F276" s="491">
        <f t="shared" ca="1" si="921"/>
        <v>-8</v>
      </c>
      <c r="G276" s="369">
        <f t="shared" si="913"/>
        <v>41435</v>
      </c>
      <c r="H276" s="369">
        <f>AAH276</f>
        <v>41473</v>
      </c>
      <c r="I276" s="626"/>
      <c r="J276" s="591"/>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7"/>
      <c r="ZZ276" s="50"/>
      <c r="AAA276" s="587"/>
      <c r="AAD276" s="112"/>
      <c r="AAE276" s="550">
        <f t="shared" si="915"/>
        <v>1</v>
      </c>
      <c r="AAF276" s="112"/>
      <c r="AAG276" s="78">
        <f>G271</f>
        <v>41435</v>
      </c>
      <c r="AAH276" s="78">
        <f>H271</f>
        <v>41473</v>
      </c>
      <c r="AAI276" s="77"/>
      <c r="AAJ276" s="77"/>
      <c r="AAK276" s="77"/>
      <c r="AAL276" s="57"/>
      <c r="AAM276" s="112"/>
      <c r="AAN276"/>
      <c r="AAT276" s="23"/>
      <c r="AAU276" s="44"/>
    </row>
    <row r="277" spans="1:732" ht="15" outlineLevel="1">
      <c r="A277" s="557"/>
      <c r="B277" s="327" t="s">
        <v>35</v>
      </c>
      <c r="C277" s="168"/>
      <c r="D277" s="174"/>
      <c r="E277" s="182"/>
      <c r="F277" s="182"/>
      <c r="G277" s="174"/>
      <c r="H277" s="174"/>
      <c r="I277" s="587"/>
      <c r="J277" s="591"/>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7"/>
      <c r="ZZ277" s="36"/>
      <c r="AAA277" s="587"/>
      <c r="AAD277" s="112"/>
      <c r="AAE277" s="550">
        <f t="shared" si="915"/>
        <v>1</v>
      </c>
      <c r="AAF277" s="582" t="s">
        <v>172</v>
      </c>
      <c r="AAG277" s="76"/>
      <c r="AAH277" s="76"/>
      <c r="AAI277" s="77"/>
      <c r="AAJ277" s="77"/>
      <c r="AAK277" s="77"/>
      <c r="AAL277" s="57"/>
      <c r="AAM277" s="112"/>
      <c r="AAN277"/>
      <c r="AAT277" s="23"/>
      <c r="AAU277" s="44"/>
    </row>
    <row r="278" spans="1:732" ht="15" outlineLevel="1">
      <c r="A278" s="557"/>
      <c r="B278" s="327" t="s">
        <v>39</v>
      </c>
      <c r="C278" s="168"/>
      <c r="D278" s="174"/>
      <c r="E278" s="182"/>
      <c r="F278" s="182"/>
      <c r="G278" s="174"/>
      <c r="H278" s="174"/>
      <c r="I278" s="587"/>
      <c r="J278" s="591"/>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7"/>
      <c r="ZZ278" s="36"/>
      <c r="AAA278" s="587"/>
      <c r="AAD278" s="112"/>
      <c r="AAE278" s="550">
        <f t="shared" si="915"/>
        <v>1</v>
      </c>
      <c r="AAF278" s="582" t="s">
        <v>172</v>
      </c>
      <c r="AAG278" s="76"/>
      <c r="AAH278" s="76"/>
      <c r="AAI278" s="76"/>
      <c r="AAJ278" s="57"/>
      <c r="AAK278" s="57"/>
      <c r="AAL278" s="57"/>
      <c r="AAM278" s="112"/>
      <c r="AAN278"/>
      <c r="AAT278" s="23"/>
      <c r="AAU278" s="44"/>
    </row>
    <row r="279" spans="1:732" ht="15" outlineLevel="1">
      <c r="A279" s="557"/>
      <c r="B279" s="327" t="s">
        <v>38</v>
      </c>
      <c r="C279" s="168"/>
      <c r="D279" s="174"/>
      <c r="E279" s="182"/>
      <c r="F279" s="182"/>
      <c r="G279" s="174"/>
      <c r="H279" s="174"/>
      <c r="I279" s="587"/>
      <c r="J279" s="591"/>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7"/>
      <c r="ZZ279" s="36"/>
      <c r="AAA279" s="587"/>
      <c r="AAD279" s="112"/>
      <c r="AAE279" s="550">
        <f t="shared" si="915"/>
        <v>1</v>
      </c>
      <c r="AAF279" s="582" t="s">
        <v>172</v>
      </c>
      <c r="AAG279" s="76"/>
      <c r="AAH279" s="76"/>
      <c r="AAI279" s="76"/>
      <c r="AAJ279" s="57"/>
      <c r="AAK279" s="57"/>
      <c r="AAL279" s="57"/>
      <c r="AAM279" s="112"/>
      <c r="AAN279"/>
      <c r="AAT279" s="23"/>
      <c r="AAU279" s="44"/>
    </row>
    <row r="280" spans="1:732" ht="16.5" customHeight="1" outlineLevel="1">
      <c r="A280" s="557"/>
      <c r="B280" s="327" t="s">
        <v>152</v>
      </c>
      <c r="C280" s="168"/>
      <c r="D280" s="174"/>
      <c r="E280" s="182"/>
      <c r="F280" s="182"/>
      <c r="G280" s="174"/>
      <c r="H280" s="174"/>
      <c r="I280" s="587"/>
      <c r="J280" s="591"/>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7"/>
      <c r="ZZ280" s="36"/>
      <c r="AAA280" s="587"/>
      <c r="AAD280" s="112"/>
      <c r="AAE280" s="550">
        <f t="shared" si="915"/>
        <v>1</v>
      </c>
      <c r="AAF280" s="582" t="s">
        <v>172</v>
      </c>
      <c r="AAG280" s="76"/>
      <c r="AAH280" s="76"/>
      <c r="AAI280" s="76" t="s">
        <v>0</v>
      </c>
      <c r="AAJ280" s="57"/>
      <c r="AAK280" s="57"/>
      <c r="AAL280" s="57"/>
      <c r="AAM280" s="112"/>
      <c r="AAN280"/>
      <c r="AAT280" s="23"/>
      <c r="AAU280" s="44"/>
    </row>
    <row r="281" spans="1:732" ht="15" outlineLevel="1">
      <c r="A281" s="557"/>
      <c r="B281" s="327" t="s">
        <v>121</v>
      </c>
      <c r="C281" s="168"/>
      <c r="D281" s="174"/>
      <c r="E281" s="182"/>
      <c r="F281" s="182"/>
      <c r="G281" s="174"/>
      <c r="H281" s="174"/>
      <c r="I281" s="587"/>
      <c r="J281" s="591"/>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7"/>
      <c r="ZZ281" s="36"/>
      <c r="AAA281" s="587"/>
      <c r="AAD281" s="112"/>
      <c r="AAE281" s="550">
        <f t="shared" si="915"/>
        <v>1</v>
      </c>
      <c r="AAF281" s="582" t="s">
        <v>172</v>
      </c>
      <c r="AAG281" s="76"/>
      <c r="AAH281" s="76"/>
      <c r="AAI281" s="76"/>
      <c r="AAJ281" s="57"/>
      <c r="AAK281" s="57"/>
      <c r="AAL281" s="57"/>
      <c r="AAM281" s="112"/>
      <c r="AAN281"/>
      <c r="AAT281" s="23"/>
      <c r="AAU281" s="44"/>
    </row>
    <row r="282" spans="1:732" ht="15" hidden="1" outlineLevel="1">
      <c r="A282" s="557"/>
      <c r="B282" s="419" t="s">
        <v>346</v>
      </c>
      <c r="C282" s="168"/>
      <c r="D282" s="174"/>
      <c r="E282" s="182"/>
      <c r="F282" s="182"/>
      <c r="G282" s="174"/>
      <c r="H282" s="174"/>
      <c r="I282" s="587"/>
      <c r="J282" s="591"/>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7"/>
      <c r="ZZ282" s="36"/>
      <c r="AAA282" s="587"/>
      <c r="AAD282" s="112"/>
      <c r="AAE282" s="550">
        <f>IF(S.InvolveFee=TRUE,1,0)</f>
        <v>0</v>
      </c>
      <c r="AAF282" s="582" t="s">
        <v>172</v>
      </c>
      <c r="AAG282" s="76"/>
      <c r="AAH282" s="76"/>
      <c r="AAI282" s="76"/>
      <c r="AAJ282" s="57"/>
      <c r="AAK282" s="57"/>
      <c r="AAL282" s="88" t="str">
        <f>IF(S.InvolveFee=TRUE,"Integrate FEE.INSERT","Delete Fee section")</f>
        <v>Delete Fee section</v>
      </c>
      <c r="AAM282" s="112"/>
      <c r="AAN282"/>
      <c r="AAT282" s="23"/>
      <c r="AAU282" s="44"/>
    </row>
    <row r="283" spans="1:732" ht="15" outlineLevel="1">
      <c r="A283" s="557"/>
      <c r="B283" s="420" t="s">
        <v>36</v>
      </c>
      <c r="C283" s="168"/>
      <c r="D283" s="174"/>
      <c r="E283" s="182"/>
      <c r="F283" s="182"/>
      <c r="G283" s="174"/>
      <c r="H283" s="174"/>
      <c r="I283" s="587"/>
      <c r="J283" s="591"/>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7"/>
      <c r="ZZ283" s="36"/>
      <c r="AAA283" s="587"/>
      <c r="AAD283" s="112"/>
      <c r="AAE283" s="550">
        <f>IF(S.InvolveNotice=TRUE,1,0)</f>
        <v>1</v>
      </c>
      <c r="AAF283" s="582" t="s">
        <v>172</v>
      </c>
      <c r="AAG283" s="76"/>
      <c r="AAH283" s="76"/>
      <c r="AAI283" s="76"/>
      <c r="AAJ283" s="57"/>
      <c r="AAK283" s="57"/>
      <c r="AAL283" s="57"/>
      <c r="AAM283" s="112"/>
      <c r="AAN283"/>
      <c r="AAT283" s="23"/>
      <c r="AAU283" s="44"/>
    </row>
    <row r="284" spans="1:732" ht="15" outlineLevel="1">
      <c r="A284" s="557"/>
      <c r="B284" s="410" t="str">
        <f>AAL284</f>
        <v>d. SUPPORTING.DOCS</v>
      </c>
      <c r="C284" s="168"/>
      <c r="D284" s="277" t="s">
        <v>358</v>
      </c>
      <c r="E284" s="368">
        <f>NETWORKDAYS(G284,H284,S.DDL_DEQClosed)</f>
        <v>28</v>
      </c>
      <c r="F284" s="491">
        <f t="shared" ca="1" si="921"/>
        <v>-8</v>
      </c>
      <c r="G284" s="369">
        <f t="shared" ref="G284" si="924">AAG284</f>
        <v>41435</v>
      </c>
      <c r="H284" s="369">
        <f>AAH284</f>
        <v>41473</v>
      </c>
      <c r="I284" s="626"/>
      <c r="J284" s="591"/>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7"/>
      <c r="ZZ284" s="50"/>
      <c r="AAA284" s="587"/>
      <c r="AAD284" s="112"/>
      <c r="AAE284" s="550">
        <f>IF(S.InvolveNotice=TRUE,1,0)</f>
        <v>1</v>
      </c>
      <c r="AAF284" s="112"/>
      <c r="AAG284" s="78">
        <f>G271</f>
        <v>41435</v>
      </c>
      <c r="AAH284" s="78">
        <f>H271</f>
        <v>41473</v>
      </c>
      <c r="AAI284" s="77"/>
      <c r="AAJ284" s="77"/>
      <c r="AAK284" s="77"/>
      <c r="AAL284" s="89" t="str">
        <f>"d. "&amp;S.CodeName&amp;"SUPPORTING.DOCS"</f>
        <v>d. SUPPORTING.DOCS</v>
      </c>
      <c r="AAM284" s="112"/>
      <c r="AAN284"/>
      <c r="AAT284" s="23"/>
      <c r="AAU284" s="44"/>
    </row>
    <row r="285" spans="1:732" ht="15" outlineLevel="1">
      <c r="A285" s="557"/>
      <c r="B285" s="410" t="str">
        <f>AAL285</f>
        <v>e. SIP</v>
      </c>
      <c r="C285" s="168"/>
      <c r="D285" s="277" t="s">
        <v>47</v>
      </c>
      <c r="E285" s="368">
        <f t="shared" ref="E285:E288" si="925">NETWORKDAYS(G285,H285,S.DDL_DEQClosed)</f>
        <v>28</v>
      </c>
      <c r="F285" s="491">
        <f t="shared" ca="1" si="921"/>
        <v>-8</v>
      </c>
      <c r="G285" s="369">
        <f t="shared" ref="G285:G287" si="926">AAG285</f>
        <v>41435</v>
      </c>
      <c r="H285" s="369">
        <f>AAH285</f>
        <v>41473</v>
      </c>
      <c r="I285" s="626"/>
      <c r="J285" s="591"/>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7"/>
      <c r="ZZ285" s="50"/>
      <c r="AAA285" s="587"/>
      <c r="AAD285" s="112"/>
      <c r="AAE285" s="550">
        <f>IF(S.InvolveSIP=TRUE,1,0)</f>
        <v>1</v>
      </c>
      <c r="AAF285" s="112"/>
      <c r="AAG285" s="78">
        <f>G271</f>
        <v>41435</v>
      </c>
      <c r="AAH285" s="78">
        <f>H271</f>
        <v>41473</v>
      </c>
      <c r="AAI285" s="77"/>
      <c r="AAJ285" s="77"/>
      <c r="AAK285" s="77"/>
      <c r="AAL285" s="89" t="str">
        <f>IF(S.InvolveSIP=TRUE,"e. "&amp;S.CodeName&amp;"SIP","SIP not involved")</f>
        <v>e. SIP</v>
      </c>
      <c r="AAM285" s="112"/>
      <c r="AAN285"/>
      <c r="AAT285" s="23"/>
      <c r="AAU285" s="44"/>
    </row>
    <row r="286" spans="1:732" ht="15" outlineLevel="1">
      <c r="A286" s="557"/>
      <c r="B286" s="416" t="str">
        <f>AAL286</f>
        <v>Draft ##AD if needed</v>
      </c>
      <c r="C286" s="231" t="s">
        <v>70</v>
      </c>
      <c r="D286" s="277" t="s">
        <v>360</v>
      </c>
      <c r="E286" s="368">
        <f t="shared" si="925"/>
        <v>28</v>
      </c>
      <c r="F286" s="491">
        <f t="shared" ca="1" si="921"/>
        <v>-8</v>
      </c>
      <c r="G286" s="369">
        <f t="shared" si="926"/>
        <v>41435</v>
      </c>
      <c r="H286" s="369">
        <f>AAH286</f>
        <v>41473</v>
      </c>
      <c r="I286" s="626"/>
      <c r="J286" s="591"/>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7"/>
      <c r="ZZ286" s="50"/>
      <c r="AAA286" s="587"/>
      <c r="AAD286" s="112"/>
      <c r="AAE286" s="550">
        <f>IF(S.InvolveNotice=TRUE,1,0)</f>
        <v>1</v>
      </c>
      <c r="AAF286" s="112"/>
      <c r="AAG286" s="78">
        <f>G271</f>
        <v>41435</v>
      </c>
      <c r="AAH286" s="78">
        <f>H271</f>
        <v>41473</v>
      </c>
      <c r="AAI286" s="77"/>
      <c r="AAJ286" s="77"/>
      <c r="AAK286" s="77"/>
      <c r="AAL286" s="89" t="str">
        <f>"Draft "&amp;S.CodeName&amp;"##AD if needed"</f>
        <v>Draft ##AD if needed</v>
      </c>
      <c r="AAM286" s="112"/>
      <c r="AAN286"/>
      <c r="AAT286" s="23"/>
      <c r="AAU286" s="44"/>
    </row>
    <row r="287" spans="1:732" ht="15" outlineLevel="1">
      <c r="A287" s="557"/>
      <c r="B287" s="416" t="s">
        <v>103</v>
      </c>
      <c r="C287" s="168"/>
      <c r="D287" s="278" t="s">
        <v>391</v>
      </c>
      <c r="E287" s="368">
        <f t="shared" si="925"/>
        <v>28</v>
      </c>
      <c r="F287" s="491">
        <f t="shared" ca="1" si="921"/>
        <v>-8</v>
      </c>
      <c r="G287" s="369">
        <f t="shared" si="926"/>
        <v>41435</v>
      </c>
      <c r="H287" s="369">
        <f>AAH287</f>
        <v>41473</v>
      </c>
      <c r="I287" s="626"/>
      <c r="J287" s="591"/>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7"/>
      <c r="ZZ287" s="50"/>
      <c r="AAA287" s="587"/>
      <c r="AAD287" s="112"/>
      <c r="AAE287" s="550">
        <f>IF(S.InvolveHearing=TRUE,1,0)</f>
        <v>1</v>
      </c>
      <c r="AAF287" s="112"/>
      <c r="AAG287" s="78">
        <f>G271</f>
        <v>41435</v>
      </c>
      <c r="AAH287" s="78">
        <f>H271</f>
        <v>41473</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7"/>
      <c r="B288" s="748" t="s">
        <v>299</v>
      </c>
      <c r="C288" s="748"/>
      <c r="D288" s="277" t="s">
        <v>391</v>
      </c>
      <c r="E288" s="368">
        <f t="shared" si="925"/>
        <v>28</v>
      </c>
      <c r="F288" s="491">
        <f t="shared" ca="1" si="921"/>
        <v>-8</v>
      </c>
      <c r="G288" s="369">
        <f t="shared" ref="G288" si="927">AAG288</f>
        <v>41435</v>
      </c>
      <c r="H288" s="369">
        <f>AAH288</f>
        <v>41473</v>
      </c>
      <c r="I288" s="626"/>
      <c r="J288" s="591"/>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7"/>
      <c r="ZZ288" s="50"/>
      <c r="AAA288" s="587"/>
      <c r="AAD288" s="112"/>
      <c r="AAE288" s="550">
        <f>IF(S.InvolveNotice=TRUE,1,0)</f>
        <v>1</v>
      </c>
      <c r="AAF288" s="112"/>
      <c r="AAG288" s="78">
        <f>G271</f>
        <v>41435</v>
      </c>
      <c r="AAH288" s="78">
        <f>H271</f>
        <v>41473</v>
      </c>
      <c r="AAI288" s="77"/>
      <c r="AAJ288" s="661" t="s">
        <v>0</v>
      </c>
      <c r="AAK288" s="77"/>
      <c r="AAL288" s="57"/>
      <c r="AAM288" s="112"/>
      <c r="AAN288"/>
      <c r="AAT288" s="23"/>
      <c r="AAU288" s="44"/>
    </row>
    <row r="289" spans="1:732" ht="15.75" customHeight="1" outlineLevel="1">
      <c r="A289" s="557"/>
      <c r="B289" s="421" t="s">
        <v>265</v>
      </c>
      <c r="C289" s="183"/>
      <c r="D289" s="153"/>
      <c r="E289" s="154"/>
      <c r="F289" s="154"/>
      <c r="G289" s="153"/>
      <c r="H289" s="153"/>
      <c r="I289" s="587"/>
      <c r="J289" s="591"/>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7"/>
      <c r="ZZ289" s="36"/>
      <c r="AAA289" s="587"/>
      <c r="AAD289" s="112"/>
      <c r="AAE289" s="550">
        <f>IF(S.InvolveCommittee=TRUE,1,0)</f>
        <v>1</v>
      </c>
      <c r="AAF289" s="582" t="s">
        <v>172</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7"/>
      <c r="B290" s="421" t="s">
        <v>266</v>
      </c>
      <c r="C290" s="183" t="s">
        <v>0</v>
      </c>
      <c r="D290" s="153"/>
      <c r="E290" s="154"/>
      <c r="F290" s="154"/>
      <c r="G290" s="153"/>
      <c r="H290" s="153"/>
      <c r="I290" s="587"/>
      <c r="J290" s="591"/>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7"/>
      <c r="ZZ290" s="36"/>
      <c r="AAA290" s="587"/>
      <c r="AAD290" s="112"/>
      <c r="AAE290" s="550">
        <f>IF(S.InvolveNotice=TRUE,1,0)</f>
        <v>1</v>
      </c>
      <c r="AAF290" s="582" t="s">
        <v>172</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7"/>
      <c r="B291" s="421" t="s">
        <v>267</v>
      </c>
      <c r="C291" s="183"/>
      <c r="D291" s="153"/>
      <c r="E291" s="154"/>
      <c r="F291" s="154"/>
      <c r="G291" s="153"/>
      <c r="H291" s="153"/>
      <c r="I291" s="587"/>
      <c r="J291" s="591"/>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7"/>
      <c r="ZZ291" s="36"/>
      <c r="AAA291" s="587"/>
      <c r="AAD291" s="112"/>
      <c r="AAE291" s="550">
        <f>IF(S.InvolveSIP=TRUE,1,0)</f>
        <v>1</v>
      </c>
      <c r="AAF291" s="582" t="s">
        <v>172</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7"/>
      <c r="B292" s="421" t="s">
        <v>268</v>
      </c>
      <c r="C292" s="183"/>
      <c r="D292" s="153"/>
      <c r="E292" s="154"/>
      <c r="F292" s="154"/>
      <c r="G292" s="153"/>
      <c r="H292" s="153"/>
      <c r="I292" s="587"/>
      <c r="J292" s="591"/>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7"/>
      <c r="ZZ292" s="36"/>
      <c r="AAA292" s="587"/>
      <c r="AAD292" s="112"/>
      <c r="AAE292" s="550">
        <f t="shared" ref="AAE292:AAE310" si="928">IF(S.InvolveNotice=TRUE,1,0)</f>
        <v>1</v>
      </c>
      <c r="AAF292" s="582" t="s">
        <v>172</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7"/>
      <c r="B293" s="422" t="s">
        <v>298</v>
      </c>
      <c r="C293" s="184"/>
      <c r="D293" s="153"/>
      <c r="E293" s="154"/>
      <c r="F293" s="154"/>
      <c r="G293" s="153"/>
      <c r="H293" s="153"/>
      <c r="I293" s="587"/>
      <c r="J293" s="591"/>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7"/>
      <c r="ZZ293" s="36"/>
      <c r="AAA293" s="587"/>
      <c r="AAD293" s="112"/>
      <c r="AAE293" s="550">
        <f t="shared" si="928"/>
        <v>1</v>
      </c>
      <c r="AAF293" s="582" t="s">
        <v>172</v>
      </c>
      <c r="AAG293" s="76"/>
      <c r="AAH293" s="76"/>
      <c r="AAI293" s="77"/>
      <c r="AAJ293" s="77"/>
      <c r="AAK293" s="77"/>
      <c r="AAL293" s="80"/>
      <c r="AAM293" s="112"/>
      <c r="AAN293"/>
      <c r="AAT293" s="23"/>
      <c r="AAU293" s="44"/>
    </row>
    <row r="294" spans="1:732" ht="15.75" customHeight="1" outlineLevel="1">
      <c r="A294" s="557"/>
      <c r="B294" s="423" t="s">
        <v>76</v>
      </c>
      <c r="C294" s="239"/>
      <c r="D294" s="279" t="s">
        <v>372</v>
      </c>
      <c r="E294" s="368">
        <f>NETWORKDAYS(G294,H294,S.DDL_DEQClosed)</f>
        <v>1</v>
      </c>
      <c r="F294" s="491">
        <f ca="1">NETWORKDAYS(TODAY(),H294)</f>
        <v>-8</v>
      </c>
      <c r="G294" s="369">
        <f t="shared" ref="G294:G297" si="929">AAG294</f>
        <v>41473</v>
      </c>
      <c r="H294" s="369">
        <f>AAH294</f>
        <v>41473</v>
      </c>
      <c r="I294" s="626"/>
      <c r="J294" s="591"/>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7"/>
      <c r="ZZ294" s="50"/>
      <c r="AAA294" s="587"/>
      <c r="AAD294" s="112"/>
      <c r="AAE294" s="550">
        <f t="shared" si="928"/>
        <v>1</v>
      </c>
      <c r="AAF294" s="112"/>
      <c r="AAG294" s="78">
        <f>H288</f>
        <v>41473</v>
      </c>
      <c r="AAH294" s="78">
        <f t="shared" ref="AAH294:AAH297" si="930">G294</f>
        <v>41473</v>
      </c>
      <c r="AAI294" s="77"/>
      <c r="AAJ294" s="77"/>
      <c r="AAK294" s="77"/>
      <c r="AAL294" s="57"/>
      <c r="AAM294" s="112"/>
      <c r="AAN294"/>
      <c r="AAT294" s="23"/>
      <c r="AAU294" s="44"/>
    </row>
    <row r="295" spans="1:732" ht="15.75" customHeight="1" outlineLevel="1">
      <c r="A295" s="557"/>
      <c r="B295" s="424" t="s">
        <v>77</v>
      </c>
      <c r="C295" s="239"/>
      <c r="D295" s="279" t="s">
        <v>372</v>
      </c>
      <c r="E295" s="368">
        <f>NETWORKDAYS(G295,H295,S.DDL_DEQClosed)</f>
        <v>1</v>
      </c>
      <c r="F295" s="491">
        <f ca="1">NETWORKDAYS(TODAY(),H295)</f>
        <v>-8</v>
      </c>
      <c r="G295" s="369">
        <f t="shared" si="929"/>
        <v>41473</v>
      </c>
      <c r="H295" s="369">
        <f>AAH295</f>
        <v>41473</v>
      </c>
      <c r="I295" s="626"/>
      <c r="J295" s="591"/>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7"/>
      <c r="ZZ295" s="50"/>
      <c r="AAA295" s="587"/>
      <c r="AAD295" s="112"/>
      <c r="AAE295" s="550">
        <f t="shared" si="928"/>
        <v>1</v>
      </c>
      <c r="AAF295" s="112"/>
      <c r="AAG295" s="78">
        <f>H294</f>
        <v>41473</v>
      </c>
      <c r="AAH295" s="78">
        <f t="shared" si="930"/>
        <v>41473</v>
      </c>
      <c r="AAI295" s="77"/>
      <c r="AAJ295" s="77"/>
      <c r="AAK295" s="77"/>
      <c r="AAL295" s="57"/>
      <c r="AAM295" s="112"/>
      <c r="AAN295"/>
      <c r="AAT295" s="23"/>
      <c r="AAU295" s="44"/>
    </row>
    <row r="296" spans="1:732" ht="15.75" customHeight="1" outlineLevel="1">
      <c r="A296" s="557"/>
      <c r="B296" s="425" t="s">
        <v>78</v>
      </c>
      <c r="C296" s="239"/>
      <c r="D296" s="279" t="s">
        <v>372</v>
      </c>
      <c r="E296" s="368">
        <f>NETWORKDAYS(G296,H296,S.DDL_DEQClosed)</f>
        <v>1</v>
      </c>
      <c r="F296" s="491">
        <f ca="1">NETWORKDAYS(TODAY(),H296)</f>
        <v>-8</v>
      </c>
      <c r="G296" s="369">
        <f t="shared" si="929"/>
        <v>41473</v>
      </c>
      <c r="H296" s="369">
        <f>AAH296</f>
        <v>41473</v>
      </c>
      <c r="I296" s="626"/>
      <c r="J296" s="591"/>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7"/>
      <c r="ZZ296" s="50"/>
      <c r="AAA296" s="587"/>
      <c r="AAD296" s="112"/>
      <c r="AAE296" s="550">
        <f t="shared" si="928"/>
        <v>1</v>
      </c>
      <c r="AAF296" s="112"/>
      <c r="AAG296" s="78">
        <f>H295</f>
        <v>41473</v>
      </c>
      <c r="AAH296" s="78">
        <f t="shared" si="930"/>
        <v>41473</v>
      </c>
      <c r="AAI296" s="77"/>
      <c r="AAJ296" s="77"/>
      <c r="AAK296" s="77"/>
      <c r="AAL296" s="57"/>
      <c r="AAM296" s="112"/>
      <c r="AAN296"/>
      <c r="AAT296" s="23"/>
      <c r="AAU296" s="44"/>
    </row>
    <row r="297" spans="1:732" ht="15.75" customHeight="1" outlineLevel="1">
      <c r="A297" s="557"/>
      <c r="B297" s="426" t="s">
        <v>79</v>
      </c>
      <c r="C297" s="239"/>
      <c r="D297" s="279" t="s">
        <v>372</v>
      </c>
      <c r="E297" s="368">
        <f>NETWORKDAYS(G297,H297,S.DDL_DEQClosed)</f>
        <v>1</v>
      </c>
      <c r="F297" s="491">
        <f ca="1">NETWORKDAYS(TODAY(),H297)</f>
        <v>-8</v>
      </c>
      <c r="G297" s="369">
        <f t="shared" si="929"/>
        <v>41473</v>
      </c>
      <c r="H297" s="369">
        <f>AAH297</f>
        <v>41473</v>
      </c>
      <c r="I297" s="626"/>
      <c r="J297" s="591"/>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7"/>
      <c r="ZZ297" s="50"/>
      <c r="AAA297" s="587"/>
      <c r="AAD297" s="112"/>
      <c r="AAE297" s="550">
        <f t="shared" si="928"/>
        <v>1</v>
      </c>
      <c r="AAF297" s="112"/>
      <c r="AAG297" s="78">
        <f>H296</f>
        <v>41473</v>
      </c>
      <c r="AAH297" s="78">
        <f t="shared" si="930"/>
        <v>41473</v>
      </c>
      <c r="AAI297" s="77"/>
      <c r="AAJ297" s="77"/>
      <c r="AAK297" s="77"/>
      <c r="AAL297" s="57"/>
      <c r="AAM297" s="112"/>
      <c r="AAN297"/>
      <c r="AAT297" s="23"/>
      <c r="AAU297" s="44"/>
    </row>
    <row r="298" spans="1:732" ht="86.25" customHeight="1" outlineLevel="1">
      <c r="A298" s="557"/>
      <c r="B298" s="747" t="s">
        <v>339</v>
      </c>
      <c r="C298" s="747"/>
      <c r="D298" s="747"/>
      <c r="E298" s="747"/>
      <c r="F298" s="747"/>
      <c r="G298" s="747"/>
      <c r="H298" s="747"/>
      <c r="I298" s="587"/>
      <c r="J298" s="591"/>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7"/>
      <c r="ZZ298" s="36"/>
      <c r="AAA298" s="587"/>
      <c r="AAD298" s="112"/>
      <c r="AAE298" s="550">
        <f t="shared" si="928"/>
        <v>1</v>
      </c>
      <c r="AAF298" s="582" t="s">
        <v>172</v>
      </c>
      <c r="AAG298" s="63"/>
      <c r="AAH298" s="63"/>
      <c r="AAI298" s="77"/>
      <c r="AAJ298" s="77"/>
      <c r="AAK298" s="77"/>
      <c r="AAL298" s="57"/>
      <c r="AAM298" s="112"/>
      <c r="AAN298"/>
      <c r="AAT298" s="23"/>
      <c r="AAU298" s="44"/>
    </row>
    <row r="299" spans="1:732" ht="15.75" outlineLevel="1">
      <c r="A299" s="557"/>
      <c r="B299" s="395" t="s">
        <v>50</v>
      </c>
      <c r="C299" s="240"/>
      <c r="D299" s="281" t="s">
        <v>0</v>
      </c>
      <c r="E299" s="282"/>
      <c r="F299" s="282"/>
      <c r="G299" s="283"/>
      <c r="H299" s="283"/>
      <c r="I299" s="587"/>
      <c r="J299" s="591"/>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7"/>
      <c r="ZZ299" s="36"/>
      <c r="AAA299" s="587"/>
      <c r="AAD299" s="112"/>
      <c r="AAE299" s="550">
        <f t="shared" si="928"/>
        <v>1</v>
      </c>
      <c r="AAF299" s="582" t="s">
        <v>172</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7"/>
      <c r="B300" s="375" t="s">
        <v>88</v>
      </c>
      <c r="C300" s="168"/>
      <c r="D300" s="279" t="s">
        <v>376</v>
      </c>
      <c r="E300" s="368">
        <f>NETWORKDAYS(G300,H300,S.DDL_DEQClosed)</f>
        <v>1</v>
      </c>
      <c r="F300" s="491">
        <f ca="1">NETWORKDAYS(TODAY(),H300)</f>
        <v>-8</v>
      </c>
      <c r="G300" s="369">
        <f t="shared" ref="G300:H300" si="931">AAG300</f>
        <v>41473</v>
      </c>
      <c r="H300" s="370">
        <f t="shared" si="931"/>
        <v>41473</v>
      </c>
      <c r="I300" s="626"/>
      <c r="J300" s="591"/>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7"/>
      <c r="ZZ300" s="50"/>
      <c r="AAA300" s="587"/>
      <c r="AAD300" s="112"/>
      <c r="AAE300" s="550">
        <f t="shared" si="928"/>
        <v>1</v>
      </c>
      <c r="AAF300" s="112"/>
      <c r="AAG300" s="78">
        <f>G301</f>
        <v>41473</v>
      </c>
      <c r="AAH300" s="78">
        <f>G300</f>
        <v>41473</v>
      </c>
      <c r="AAI300" s="77"/>
      <c r="AAJ300" s="661" t="s">
        <v>0</v>
      </c>
      <c r="AAK300" s="77"/>
      <c r="AAL300" s="57"/>
      <c r="AAM300" s="112"/>
      <c r="AAN300"/>
      <c r="AAT300" s="23"/>
      <c r="AAU300" s="44"/>
    </row>
    <row r="301" spans="1:732" s="23" customFormat="1" ht="15" outlineLevel="1">
      <c r="A301" s="557"/>
      <c r="B301" s="412" t="s">
        <v>162</v>
      </c>
      <c r="C301" s="168"/>
      <c r="D301" s="277" t="s">
        <v>392</v>
      </c>
      <c r="E301" s="368">
        <f>NETWORKDAYS(G301,H301,S.DDL_DEQClosed)</f>
        <v>1</v>
      </c>
      <c r="F301" s="491">
        <f ca="1">NETWORKDAYS(TODAY(),H301)</f>
        <v>-8</v>
      </c>
      <c r="G301" s="495">
        <f>AAG301</f>
        <v>41473</v>
      </c>
      <c r="H301" s="496">
        <f>AAH301</f>
        <v>41473</v>
      </c>
      <c r="I301" s="626"/>
      <c r="J301" s="591"/>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7"/>
      <c r="ZZ301" s="50"/>
      <c r="AAA301" s="587"/>
      <c r="AAB301"/>
      <c r="AAC301"/>
      <c r="AAD301" s="112"/>
      <c r="AAE301" s="550">
        <f t="shared" si="928"/>
        <v>1</v>
      </c>
      <c r="AAF301" s="112"/>
      <c r="AAG301" s="78">
        <f>WORKDAY(S.SubmitNoticeToSOS,-20,S.DDL_DEQClosed)</f>
        <v>41473</v>
      </c>
      <c r="AAH301" s="78">
        <f>G301</f>
        <v>41473</v>
      </c>
      <c r="AAI301" s="77"/>
      <c r="AAJ301" s="77"/>
      <c r="AAK301" s="77"/>
      <c r="AAL301" s="57"/>
      <c r="AAM301" s="112"/>
      <c r="AAU301" s="44"/>
      <c r="AAV301"/>
      <c r="AAW301"/>
      <c r="AAX301"/>
      <c r="AAY301"/>
      <c r="AAZ301"/>
      <c r="ABA301"/>
      <c r="ABB301"/>
      <c r="ABC301"/>
      <c r="ABD301"/>
    </row>
    <row r="302" spans="1:732" ht="15" outlineLevel="1">
      <c r="A302" s="557"/>
      <c r="B302" s="413" t="s">
        <v>31</v>
      </c>
      <c r="C302" s="691"/>
      <c r="D302" s="153"/>
      <c r="E302" s="659"/>
      <c r="F302" s="659"/>
      <c r="G302" s="660"/>
      <c r="H302" s="660"/>
      <c r="I302" s="587"/>
      <c r="J302" s="591"/>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7"/>
      <c r="ZZ302" s="36"/>
      <c r="AAA302" s="587"/>
      <c r="AAD302" s="112"/>
      <c r="AAE302" s="550">
        <f t="shared" si="928"/>
        <v>1</v>
      </c>
      <c r="AAF302" s="582" t="s">
        <v>172</v>
      </c>
      <c r="AAG302" s="76"/>
      <c r="AAH302" s="76"/>
      <c r="AAI302" s="77"/>
      <c r="AAJ302" s="77"/>
      <c r="AAK302" s="77"/>
      <c r="AAL302" s="57"/>
      <c r="AAM302" s="112"/>
      <c r="AAN302"/>
      <c r="AAT302" s="23"/>
      <c r="AAU302" s="44"/>
    </row>
    <row r="303" spans="1:732" ht="15.75" customHeight="1" outlineLevel="1">
      <c r="A303" s="557"/>
      <c r="B303" s="413" t="s">
        <v>150</v>
      </c>
      <c r="C303" s="691"/>
      <c r="D303" s="153"/>
      <c r="E303" s="659"/>
      <c r="F303" s="659"/>
      <c r="G303" s="660"/>
      <c r="H303" s="660"/>
      <c r="I303" s="587"/>
      <c r="J303" s="591"/>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7"/>
      <c r="ZZ303" s="36"/>
      <c r="AAA303" s="587"/>
      <c r="AAD303" s="112"/>
      <c r="AAE303" s="550">
        <f t="shared" si="928"/>
        <v>1</v>
      </c>
      <c r="AAF303" s="582" t="s">
        <v>172</v>
      </c>
      <c r="AAG303" s="76"/>
      <c r="AAH303" s="76"/>
      <c r="AAI303" s="77" t="s">
        <v>0</v>
      </c>
      <c r="AAJ303" s="77"/>
      <c r="AAK303" s="77"/>
      <c r="AAL303" s="57"/>
      <c r="AAM303" s="112"/>
      <c r="AAN303"/>
      <c r="AAT303" s="23"/>
      <c r="AAU303" s="44"/>
    </row>
    <row r="304" spans="1:732" ht="15" outlineLevel="1">
      <c r="A304" s="557"/>
      <c r="B304" s="414" t="s">
        <v>173</v>
      </c>
      <c r="C304" s="168"/>
      <c r="D304" s="278" t="s">
        <v>391</v>
      </c>
      <c r="E304" s="368">
        <f>NETWORKDAYS(G304,H304,S.DDL_DEQClosed)</f>
        <v>1</v>
      </c>
      <c r="F304" s="491">
        <f ca="1">NETWORKDAYS(TODAY(),H304)</f>
        <v>-3</v>
      </c>
      <c r="G304" s="496">
        <f t="shared" ref="G304:H306" si="932">AAG304</f>
        <v>41480</v>
      </c>
      <c r="H304" s="495">
        <f t="shared" si="932"/>
        <v>41480</v>
      </c>
      <c r="I304" s="626"/>
      <c r="J304" s="591"/>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7"/>
      <c r="ZZ304" s="50"/>
      <c r="AAA304" s="587"/>
      <c r="AAD304" s="112"/>
      <c r="AAE304" s="550">
        <f t="shared" si="928"/>
        <v>1</v>
      </c>
      <c r="AAF304" s="112"/>
      <c r="AAG304" s="78">
        <f>H304</f>
        <v>41480</v>
      </c>
      <c r="AAH304" s="78">
        <f>WORKDAY(G301,5,S.DDL_DEQClosed)</f>
        <v>41480</v>
      </c>
      <c r="AAI304" s="77"/>
      <c r="AAJ304" s="77"/>
      <c r="AAK304" s="77"/>
      <c r="AAL304" s="57"/>
      <c r="AAM304" s="112"/>
      <c r="AAN304"/>
      <c r="AAT304" s="23"/>
      <c r="AAU304" s="44"/>
    </row>
    <row r="305" spans="1:732" ht="15" outlineLevel="1">
      <c r="A305" s="557"/>
      <c r="B305" s="415" t="s">
        <v>66</v>
      </c>
      <c r="C305" s="168"/>
      <c r="D305" s="277" t="s">
        <v>358</v>
      </c>
      <c r="E305" s="368">
        <f>NETWORKDAYS(G305,H305,S.DDL_DEQClosed)</f>
        <v>12</v>
      </c>
      <c r="F305" s="491">
        <f ca="1">NETWORKDAYS(TODAY(),H305)</f>
        <v>10</v>
      </c>
      <c r="G305" s="495">
        <f t="shared" si="932"/>
        <v>41480</v>
      </c>
      <c r="H305" s="495">
        <f t="shared" si="932"/>
        <v>41495</v>
      </c>
      <c r="I305" s="626"/>
      <c r="J305" s="591"/>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7"/>
      <c r="ZZ305" s="50"/>
      <c r="AAA305" s="587"/>
      <c r="AAD305" s="112"/>
      <c r="AAE305" s="550">
        <f t="shared" si="928"/>
        <v>1</v>
      </c>
      <c r="AAF305" s="112"/>
      <c r="AAG305" s="78">
        <f>H304</f>
        <v>41480</v>
      </c>
      <c r="AAH305" s="78">
        <f>G308</f>
        <v>41495</v>
      </c>
      <c r="AAI305" s="77"/>
      <c r="AAJ305" s="77"/>
      <c r="AAK305" s="77"/>
      <c r="AAL305" s="57"/>
      <c r="AAM305" s="112"/>
      <c r="AAN305"/>
      <c r="AAT305" s="23"/>
      <c r="AAU305" s="44"/>
    </row>
    <row r="306" spans="1:732" ht="15" outlineLevel="1">
      <c r="A306" s="557"/>
      <c r="B306" s="415" t="s">
        <v>49</v>
      </c>
      <c r="C306" s="168"/>
      <c r="D306" s="277" t="s">
        <v>391</v>
      </c>
      <c r="E306" s="368">
        <f>NETWORKDAYS(G306,H306,S.DDL_DEQClosed)</f>
        <v>12</v>
      </c>
      <c r="F306" s="491">
        <f ca="1">NETWORKDAYS(TODAY(),H306)</f>
        <v>10</v>
      </c>
      <c r="G306" s="495">
        <f t="shared" si="932"/>
        <v>41480</v>
      </c>
      <c r="H306" s="495">
        <f t="shared" si="932"/>
        <v>41495</v>
      </c>
      <c r="I306" s="626"/>
      <c r="J306" s="591"/>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7"/>
      <c r="ZZ306" s="50"/>
      <c r="AAA306" s="587"/>
      <c r="AAD306" s="112"/>
      <c r="AAE306" s="550">
        <f t="shared" si="928"/>
        <v>1</v>
      </c>
      <c r="AAF306" s="112"/>
      <c r="AAG306" s="78">
        <f>H304</f>
        <v>41480</v>
      </c>
      <c r="AAH306" s="78">
        <f>G309</f>
        <v>41495</v>
      </c>
      <c r="AAI306" s="77"/>
      <c r="AAJ306" s="77"/>
      <c r="AAK306" s="77"/>
      <c r="AAL306" s="57"/>
      <c r="AAM306" s="112"/>
      <c r="AAN306"/>
      <c r="AAT306" s="23"/>
      <c r="AAU306" s="44"/>
    </row>
    <row r="307" spans="1:732" ht="15" outlineLevel="1">
      <c r="A307" s="557"/>
      <c r="B307" s="671" t="s">
        <v>322</v>
      </c>
      <c r="C307" s="168"/>
      <c r="D307" s="277" t="s">
        <v>391</v>
      </c>
      <c r="E307" s="368">
        <f t="shared" ref="E307:E309" si="933">NETWORKDAYS(G307,H307,S.DDL_DEQClosed)</f>
        <v>3</v>
      </c>
      <c r="F307" s="491">
        <f t="shared" ref="F307:F312" ca="1" si="934">NETWORKDAYS(TODAY(),H307)</f>
        <v>12</v>
      </c>
      <c r="G307" s="369">
        <f t="shared" ref="G307:H309" si="935">AAG307</f>
        <v>41495</v>
      </c>
      <c r="H307" s="369">
        <f>AAH307</f>
        <v>41499</v>
      </c>
      <c r="I307" s="626"/>
      <c r="J307" s="591"/>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7"/>
      <c r="ZZ307" s="50"/>
      <c r="AAA307" s="587"/>
      <c r="AAD307" s="112"/>
      <c r="AAE307" s="550">
        <f t="shared" si="928"/>
        <v>1</v>
      </c>
      <c r="AAF307" s="112"/>
      <c r="AAG307" s="78">
        <f>WORKDAY(S.MgrNoticeApproval,-2,S.DDL_DEQClosed)</f>
        <v>41495</v>
      </c>
      <c r="AAH307" s="78">
        <f>S.MgrNoticeApproval</f>
        <v>41499</v>
      </c>
      <c r="AAI307" s="77"/>
      <c r="AAJ307" s="77"/>
      <c r="AAK307" s="77"/>
      <c r="AAL307" s="89" t="str">
        <f>"Obtain "&amp;S.CodeName&amp;" BUDGET-REVIEW.FISCAL.4.00"</f>
        <v>Obtain  BUDGET-REVIEW.FISCAL.4.00</v>
      </c>
      <c r="AAM307" s="112"/>
      <c r="AAN307"/>
      <c r="AAT307" s="23"/>
      <c r="AAU307" s="44"/>
    </row>
    <row r="308" spans="1:732" ht="15" outlineLevel="1">
      <c r="A308" s="557"/>
      <c r="B308" s="416" t="s">
        <v>323</v>
      </c>
      <c r="C308" s="168"/>
      <c r="D308" s="277" t="s">
        <v>391</v>
      </c>
      <c r="E308" s="368">
        <f t="shared" si="933"/>
        <v>1</v>
      </c>
      <c r="F308" s="491">
        <f t="shared" ca="1" si="934"/>
        <v>10</v>
      </c>
      <c r="G308" s="369">
        <f t="shared" si="935"/>
        <v>41495</v>
      </c>
      <c r="H308" s="370">
        <f t="shared" si="935"/>
        <v>41495</v>
      </c>
      <c r="I308" s="626"/>
      <c r="J308" s="591"/>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7"/>
      <c r="ZZ308" s="50"/>
      <c r="AAA308" s="587"/>
      <c r="AAD308" s="112"/>
      <c r="AAE308" s="550">
        <f t="shared" si="928"/>
        <v>1</v>
      </c>
      <c r="AAF308" s="112"/>
      <c r="AAG308" s="78">
        <f>AAG307</f>
        <v>41495</v>
      </c>
      <c r="AAH308" s="78">
        <f t="shared" ref="AAH308:AAH310" si="936">G308</f>
        <v>41495</v>
      </c>
      <c r="AAI308" s="77"/>
      <c r="AAJ308" s="77"/>
      <c r="AAK308" s="77"/>
      <c r="AAL308" s="89" t="str">
        <f>"Verify "&amp;S.CodeName&amp;"compilation of PROPOSED.RULES"</f>
        <v>Verify compilation of PROPOSED.RULES</v>
      </c>
      <c r="AAM308" s="112"/>
      <c r="AAN308"/>
      <c r="AAT308" s="23"/>
      <c r="AAU308" s="44"/>
    </row>
    <row r="309" spans="1:732" ht="15" outlineLevel="1">
      <c r="A309" s="557"/>
      <c r="B309" s="658" t="s">
        <v>300</v>
      </c>
      <c r="C309" s="168"/>
      <c r="D309" s="279" t="s">
        <v>393</v>
      </c>
      <c r="E309" s="368">
        <f t="shared" si="933"/>
        <v>3</v>
      </c>
      <c r="F309" s="491">
        <f t="shared" ca="1" si="934"/>
        <v>12</v>
      </c>
      <c r="G309" s="369">
        <f>AAG309</f>
        <v>41495</v>
      </c>
      <c r="H309" s="369">
        <f t="shared" si="935"/>
        <v>41499</v>
      </c>
      <c r="I309" s="626"/>
      <c r="J309" s="591"/>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7"/>
      <c r="ZZ309" s="50"/>
      <c r="AAA309" s="587"/>
      <c r="AAD309" s="112"/>
      <c r="AAE309" s="550">
        <f t="shared" si="928"/>
        <v>1</v>
      </c>
      <c r="AAF309" s="112"/>
      <c r="AAG309" s="78">
        <f>WORKDAY(AAG310,-2,S.DDL_DEQClosed)</f>
        <v>41495</v>
      </c>
      <c r="AAH309" s="78">
        <f>G310</f>
        <v>41499</v>
      </c>
      <c r="AAI309" s="77"/>
      <c r="AAJ309" s="77"/>
      <c r="AAK309" s="77"/>
      <c r="AAL309" s="57"/>
      <c r="AAM309" s="112"/>
      <c r="AAN309"/>
      <c r="AAT309" s="23"/>
      <c r="AAU309" s="44"/>
    </row>
    <row r="310" spans="1:732" ht="15.75" customHeight="1" outlineLevel="1">
      <c r="A310" s="557"/>
      <c r="B310" s="415" t="s">
        <v>274</v>
      </c>
      <c r="C310" s="168"/>
      <c r="D310" s="277" t="s">
        <v>391</v>
      </c>
      <c r="E310" s="447">
        <f>NETWORKDAYS(G310,H310,S.DDL_DEQClosed)</f>
        <v>1</v>
      </c>
      <c r="F310" s="491">
        <f t="shared" ca="1" si="934"/>
        <v>12</v>
      </c>
      <c r="G310" s="369">
        <f>AAG310</f>
        <v>41499</v>
      </c>
      <c r="H310" s="370">
        <f>AAH310</f>
        <v>41499</v>
      </c>
      <c r="I310" s="626"/>
      <c r="J310" s="591"/>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7"/>
      <c r="ZZ310" s="50"/>
      <c r="AAA310" s="587"/>
      <c r="AAD310" s="112"/>
      <c r="AAE310" s="550">
        <f t="shared" si="928"/>
        <v>1</v>
      </c>
      <c r="AAF310" s="112"/>
      <c r="AAG310" s="78">
        <f>WORKDAY(S.SubmitNoticeToSOS,-2,S.DDL_DEQClosed)</f>
        <v>41499</v>
      </c>
      <c r="AAH310" s="78">
        <f t="shared" si="936"/>
        <v>41499</v>
      </c>
      <c r="AAI310" s="77"/>
      <c r="AAJ310" s="77"/>
      <c r="AAK310" s="77"/>
      <c r="AAL310" s="57"/>
      <c r="AAM310" s="112"/>
      <c r="AAN310"/>
      <c r="AAT310" s="23"/>
      <c r="AAU310" s="44"/>
    </row>
    <row r="311" spans="1:732" ht="15" outlineLevel="1">
      <c r="A311" s="557"/>
      <c r="B311" s="343" t="s">
        <v>48</v>
      </c>
      <c r="C311" s="168"/>
      <c r="D311" s="277" t="s">
        <v>47</v>
      </c>
      <c r="E311" s="447">
        <f t="shared" ref="E311" si="937">NETWORKDAYS(G311,H311,S.DDL_DEQClosed)</f>
        <v>1</v>
      </c>
      <c r="F311" s="491">
        <f t="shared" ca="1" si="934"/>
        <v>12</v>
      </c>
      <c r="G311" s="471">
        <f t="shared" ref="G311:H312" si="938">AAG311</f>
        <v>41499</v>
      </c>
      <c r="H311" s="369">
        <f t="shared" si="938"/>
        <v>41499</v>
      </c>
      <c r="I311" s="626"/>
      <c r="J311" s="591"/>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7"/>
      <c r="ZZ311" s="50"/>
      <c r="AAA311" s="587"/>
      <c r="AAD311" s="112"/>
      <c r="AAE311" s="550">
        <f>IF(S.InvolveSIP=TRUE,1,0)</f>
        <v>1</v>
      </c>
      <c r="AAF311" s="112"/>
      <c r="AAG311" s="78">
        <f>H310</f>
        <v>41499</v>
      </c>
      <c r="AAH311" s="78">
        <f t="shared" ref="AAH311" si="939">G311</f>
        <v>41499</v>
      </c>
      <c r="AAI311" s="77"/>
      <c r="AAJ311" s="77"/>
      <c r="AAK311" s="77"/>
      <c r="AAL311" s="57" t="s">
        <v>0</v>
      </c>
      <c r="AAM311" s="112"/>
      <c r="AAN311"/>
      <c r="AAT311" s="23"/>
      <c r="AAU311" s="44"/>
    </row>
    <row r="312" spans="1:732" ht="15" outlineLevel="1">
      <c r="A312" s="557"/>
      <c r="B312" s="343" t="s">
        <v>213</v>
      </c>
      <c r="C312" s="168"/>
      <c r="D312" s="277" t="s">
        <v>362</v>
      </c>
      <c r="E312" s="447">
        <f>NETWORKDAYS(G312,H312,S.DDL_DEQClosed)</f>
        <v>3</v>
      </c>
      <c r="F312" s="491">
        <f t="shared" ca="1" si="934"/>
        <v>14</v>
      </c>
      <c r="G312" s="369">
        <f t="shared" si="938"/>
        <v>41499</v>
      </c>
      <c r="H312" s="655">
        <f t="shared" si="938"/>
        <v>41501</v>
      </c>
      <c r="I312" s="626"/>
      <c r="J312" s="591"/>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7"/>
      <c r="ZZ312" s="50"/>
      <c r="AAA312" s="587"/>
      <c r="AAD312" s="112"/>
      <c r="AAE312" s="550">
        <f t="shared" ref="AAE312:AAE319" si="940">IF(S.InvolveNotice=TRUE,1,0)</f>
        <v>1</v>
      </c>
      <c r="AAF312" s="112"/>
      <c r="AAG312" s="78">
        <f>G310</f>
        <v>41499</v>
      </c>
      <c r="AAH312" s="78">
        <f>S.SubmitNoticeToSOS</f>
        <v>41501</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7"/>
      <c r="B313" s="284" t="s">
        <v>46</v>
      </c>
      <c r="C313" s="285"/>
      <c r="D313" s="281" t="s">
        <v>0</v>
      </c>
      <c r="E313" s="400"/>
      <c r="F313" s="400"/>
      <c r="G313" s="492"/>
      <c r="H313" s="469"/>
      <c r="I313" s="587"/>
      <c r="J313" s="591"/>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7"/>
      <c r="ZZ313" s="36"/>
      <c r="AAA313" s="587"/>
      <c r="AAD313" s="112"/>
      <c r="AAE313" s="550">
        <f t="shared" si="940"/>
        <v>1</v>
      </c>
      <c r="AAF313" s="582" t="s">
        <v>172</v>
      </c>
      <c r="AAG313" s="63" t="s">
        <v>0</v>
      </c>
      <c r="AAH313" s="63" t="s">
        <v>0</v>
      </c>
      <c r="AAI313" s="63"/>
      <c r="AAJ313" s="57"/>
      <c r="AAK313" s="57"/>
      <c r="AAL313" s="97" t="s">
        <v>0</v>
      </c>
      <c r="AAM313" s="112"/>
      <c r="AAN313"/>
      <c r="AAT313" s="23"/>
      <c r="AAU313" s="44"/>
    </row>
    <row r="314" spans="1:732" s="23" customFormat="1" ht="15.75" customHeight="1" outlineLevel="1">
      <c r="A314" s="557"/>
      <c r="B314" s="132" t="s">
        <v>264</v>
      </c>
      <c r="C314" s="231" t="s">
        <v>70</v>
      </c>
      <c r="D314" s="277" t="s">
        <v>186</v>
      </c>
      <c r="E314" s="372">
        <f t="shared" ref="E314" si="941">NETWORKDAYS(G314,H314,S.DDL_DEQClosed)</f>
        <v>12</v>
      </c>
      <c r="F314" s="491">
        <f t="shared" ref="F314" ca="1" si="942">NETWORKDAYS(TODAY(),H314,S.DDL_DEQClosed)</f>
        <v>25</v>
      </c>
      <c r="G314" s="664">
        <f>AAG314</f>
        <v>41501</v>
      </c>
      <c r="H314" s="663">
        <f>AAH314</f>
        <v>41518</v>
      </c>
      <c r="I314" s="626"/>
      <c r="J314" s="590"/>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7"/>
      <c r="ZZ314" s="50"/>
      <c r="AAA314" s="587"/>
      <c r="AAB314"/>
      <c r="AAC314"/>
      <c r="AAD314" s="112"/>
      <c r="AAE314" s="550">
        <f t="shared" si="940"/>
        <v>1</v>
      </c>
      <c r="AAF314" s="112" t="s">
        <v>0</v>
      </c>
      <c r="AAG314" s="78">
        <f>S.SubmitNoticeToSOS</f>
        <v>41501</v>
      </c>
      <c r="AAH314" s="78">
        <f>S.PublicNoticeInBulletin</f>
        <v>41518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7"/>
      <c r="B315" s="411" t="str">
        <f>AAL315</f>
        <v>SOS.EMAIL.PROOF</v>
      </c>
      <c r="C315" s="173"/>
      <c r="D315" s="161"/>
      <c r="E315" s="160"/>
      <c r="F315" s="160"/>
      <c r="G315" s="161"/>
      <c r="H315" s="161"/>
      <c r="I315" s="587"/>
      <c r="J315" s="591"/>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7"/>
      <c r="ZZ315" s="36"/>
      <c r="AAA315" s="587"/>
      <c r="AAD315" s="112"/>
      <c r="AAE315" s="550">
        <f t="shared" si="940"/>
        <v>1</v>
      </c>
      <c r="AAF315" s="582" t="s">
        <v>172</v>
      </c>
      <c r="AAG315" s="76"/>
      <c r="AAH315" s="76"/>
      <c r="AAI315" s="77"/>
      <c r="AAJ315" s="77"/>
      <c r="AAK315" s="77"/>
      <c r="AAL315" s="89" t="str">
        <f>S.CodeName&amp;"SOS.EMAIL.PROOF"</f>
        <v>SOS.EMAIL.PROOF</v>
      </c>
      <c r="AAM315" s="112"/>
      <c r="AAN315"/>
      <c r="AAT315" s="23"/>
      <c r="AAU315" s="44"/>
    </row>
    <row r="316" spans="1:732" ht="15" outlineLevel="1">
      <c r="A316" s="557"/>
      <c r="B316" s="411" t="str">
        <f>AAL316</f>
        <v>SOS.NOTICE.PROOF</v>
      </c>
      <c r="C316" s="173"/>
      <c r="D316" s="161"/>
      <c r="E316" s="160"/>
      <c r="F316" s="160"/>
      <c r="G316" s="161"/>
      <c r="H316" s="161"/>
      <c r="I316" s="587"/>
      <c r="J316" s="591"/>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7"/>
      <c r="ZZ316" s="36"/>
      <c r="AAA316" s="587"/>
      <c r="AAD316" s="112"/>
      <c r="AAE316" s="550">
        <f t="shared" si="940"/>
        <v>1</v>
      </c>
      <c r="AAF316" s="582" t="s">
        <v>172</v>
      </c>
      <c r="AAG316" s="76"/>
      <c r="AAH316" s="76"/>
      <c r="AAI316" s="77"/>
      <c r="AAJ316" s="77"/>
      <c r="AAK316" s="77"/>
      <c r="AAL316" s="89" t="str">
        <f>S.CodeName&amp;"SOS.NOTICE.PROOF"</f>
        <v>SOS.NOTICE.PROOF</v>
      </c>
      <c r="AAM316" s="112"/>
      <c r="AAN316"/>
      <c r="AAT316" s="23"/>
      <c r="AAU316" s="44"/>
    </row>
    <row r="317" spans="1:732" ht="15" outlineLevel="1">
      <c r="A317" s="557"/>
      <c r="B317" s="411" t="str">
        <f>AAL317</f>
        <v>SOS.FISCAL.PROOF</v>
      </c>
      <c r="C317" s="173"/>
      <c r="D317" s="161"/>
      <c r="E317" s="160"/>
      <c r="F317" s="160"/>
      <c r="G317" s="161"/>
      <c r="H317" s="161"/>
      <c r="I317" s="587"/>
      <c r="J317" s="591"/>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7"/>
      <c r="ZZ317" s="36"/>
      <c r="AAA317" s="587"/>
      <c r="AAD317" s="112"/>
      <c r="AAE317" s="550">
        <f t="shared" si="940"/>
        <v>1</v>
      </c>
      <c r="AAF317" s="582" t="s">
        <v>172</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7"/>
      <c r="B318" s="411" t="str">
        <f>AAL318</f>
        <v>SOS.HOUSING.COSTS</v>
      </c>
      <c r="C318" s="713"/>
      <c r="D318" s="161"/>
      <c r="E318" s="160"/>
      <c r="F318" s="160"/>
      <c r="G318" s="161"/>
      <c r="H318" s="161"/>
      <c r="I318" s="587"/>
      <c r="J318" s="591"/>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7"/>
      <c r="ZZ318" s="36"/>
      <c r="AAA318" s="587"/>
      <c r="AAD318" s="112"/>
      <c r="AAE318" s="550">
        <f t="shared" si="940"/>
        <v>1</v>
      </c>
      <c r="AAF318" s="582" t="s">
        <v>172</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7"/>
      <c r="B319" s="411" t="str">
        <f>AAL319</f>
        <v>LC.NOTICE</v>
      </c>
      <c r="C319" s="713"/>
      <c r="D319" s="161"/>
      <c r="E319" s="160"/>
      <c r="F319" s="160"/>
      <c r="G319" s="161"/>
      <c r="H319" s="161"/>
      <c r="I319" s="587"/>
      <c r="J319" s="591"/>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7"/>
      <c r="ZZ319" s="36"/>
      <c r="AAA319" s="587"/>
      <c r="AAB319"/>
      <c r="AAC319"/>
      <c r="AAD319" s="112"/>
      <c r="AAE319" s="550">
        <f t="shared" si="940"/>
        <v>1</v>
      </c>
      <c r="AAF319" s="582" t="s">
        <v>172</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7"/>
      <c r="B320" s="532" t="str">
        <f>AAL323</f>
        <v>No DAS involvement</v>
      </c>
      <c r="C320" s="193"/>
      <c r="D320" s="161"/>
      <c r="E320" s="160"/>
      <c r="F320" s="160"/>
      <c r="G320" s="161"/>
      <c r="H320" s="161"/>
      <c r="I320" s="626"/>
      <c r="J320" s="591"/>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7"/>
      <c r="ZZ320" s="36"/>
      <c r="AAA320" s="587"/>
      <c r="AAB320"/>
      <c r="AAC320"/>
      <c r="AAD320" s="112"/>
      <c r="AAE320" s="550">
        <f>IF(AND(S.InvolveFee=TRUE,S.DASApprovalRequired=FALSE),1,0)</f>
        <v>0</v>
      </c>
      <c r="AAF320" s="582" t="s">
        <v>172</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7"/>
      <c r="B321" s="328" t="str">
        <f>AAL321</f>
        <v>DAS.EXEMPT.EMAIL</v>
      </c>
      <c r="C321" s="713"/>
      <c r="D321" s="161"/>
      <c r="E321" s="160"/>
      <c r="F321" s="160"/>
      <c r="G321" s="161"/>
      <c r="H321" s="161"/>
      <c r="I321" s="626"/>
      <c r="J321" s="591"/>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7"/>
      <c r="ZZ321" s="36"/>
      <c r="AAA321" s="587"/>
      <c r="AAD321" s="112"/>
      <c r="AAE321" s="550">
        <f>IF(AND(S.InvolveFee=TRUE,S.DASApprovalRequired=FALSE),1,0)</f>
        <v>0</v>
      </c>
      <c r="AAF321" s="582" t="s">
        <v>172</v>
      </c>
      <c r="AAG321" s="76"/>
      <c r="AAH321" s="76"/>
      <c r="AAI321" s="77"/>
      <c r="AAJ321" s="77"/>
      <c r="AAK321" s="77"/>
      <c r="AAL321" s="89" t="str">
        <f>S.CodeName&amp;"DAS.EXEMPT.EMAIL"</f>
        <v>DAS.EXEMPT.EMAIL</v>
      </c>
      <c r="AAM321" s="112"/>
      <c r="AAN321"/>
      <c r="AAT321" s="23"/>
      <c r="AAU321" s="44"/>
    </row>
    <row r="322" spans="1:723" ht="15" hidden="1" outlineLevel="1">
      <c r="A322" s="557"/>
      <c r="B322" s="328" t="str">
        <f>AAL322</f>
        <v>DAS.EXEMPT.EMAIL.PROOF</v>
      </c>
      <c r="C322" s="173"/>
      <c r="D322" s="161"/>
      <c r="E322" s="160"/>
      <c r="F322" s="160"/>
      <c r="G322" s="161"/>
      <c r="H322" s="161"/>
      <c r="I322" s="626"/>
      <c r="J322" s="591"/>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6"/>
      <c r="ZZ322" s="36"/>
      <c r="AAA322" s="587"/>
      <c r="AAD322" s="112"/>
      <c r="AAE322" s="550">
        <f>IF(AND(S.InvolveFee=TRUE,S.DASApprovalRequired=FALSE),1,0)</f>
        <v>0</v>
      </c>
      <c r="AAF322" s="582" t="s">
        <v>172</v>
      </c>
      <c r="AAG322" s="76"/>
      <c r="AAH322" s="76"/>
      <c r="AAI322" s="77"/>
      <c r="AAJ322" s="77"/>
      <c r="AAK322" s="77"/>
      <c r="AAL322" s="89" t="str">
        <f>S.CodeName&amp;"DAS.EXEMPT.EMAIL.PROOF"</f>
        <v>DAS.EXEMPT.EMAIL.PROOF</v>
      </c>
      <c r="AAM322" s="112"/>
      <c r="AAN322"/>
      <c r="AAT322" s="23"/>
      <c r="AAU322" s="44"/>
    </row>
    <row r="323" spans="1:723" ht="15" outlineLevel="1">
      <c r="A323" s="557"/>
      <c r="B323" s="407" t="s">
        <v>161</v>
      </c>
      <c r="C323" s="168"/>
      <c r="D323" s="277" t="s">
        <v>158</v>
      </c>
      <c r="E323" s="447">
        <f t="shared" ref="E323" si="943">NETWORKDAYS(G323,H323,S.DDL_DEQClosed)</f>
        <v>1</v>
      </c>
      <c r="F323" s="491">
        <f t="shared" ref="F323" ca="1" si="944">NETWORKDAYS(TODAY(),H323)</f>
        <v>14</v>
      </c>
      <c r="G323" s="471">
        <f t="shared" ref="G323:H323" si="945">AAG323</f>
        <v>41501</v>
      </c>
      <c r="H323" s="369">
        <f t="shared" si="945"/>
        <v>41501</v>
      </c>
      <c r="I323" s="626"/>
      <c r="J323" s="591"/>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7"/>
      <c r="AAD323" s="112"/>
      <c r="AAE323" s="550">
        <f>IF(S.InvolveNotice=TRUE,1,0)</f>
        <v>1</v>
      </c>
      <c r="AAF323" s="112"/>
      <c r="AAG323" s="78">
        <f t="shared" ref="AAG323:AAG332" si="946">S.SubmitNoticeToSOS</f>
        <v>41501</v>
      </c>
      <c r="AAH323" s="78">
        <f>G323</f>
        <v>41501</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7"/>
      <c r="B324" s="362" t="s">
        <v>263</v>
      </c>
      <c r="C324" s="287" t="s">
        <v>90</v>
      </c>
      <c r="D324" s="185"/>
      <c r="E324" s="186"/>
      <c r="F324" s="186"/>
      <c r="G324" s="185"/>
      <c r="H324" s="185"/>
      <c r="I324" s="587"/>
      <c r="J324" s="591"/>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1"/>
      <c r="ZZ324" s="36"/>
      <c r="AAA324" s="587"/>
      <c r="AAD324" s="112"/>
      <c r="AAE324" s="550">
        <f>IF(S.InvolveNotice=TRUE,1,0)</f>
        <v>1</v>
      </c>
      <c r="AAF324" s="582" t="s">
        <v>172</v>
      </c>
      <c r="AAG324" s="76"/>
      <c r="AAH324" s="76"/>
      <c r="AAI324" s="77"/>
      <c r="AAJ324" s="77"/>
      <c r="AAK324" s="77"/>
      <c r="AAL324" s="57"/>
      <c r="AAM324" s="112"/>
      <c r="AAN324"/>
      <c r="AAT324" s="23"/>
      <c r="AAU324" s="44"/>
    </row>
    <row r="325" spans="1:723" ht="15" outlineLevel="1">
      <c r="A325" s="557"/>
      <c r="B325" s="408" t="s">
        <v>105</v>
      </c>
      <c r="C325" s="168"/>
      <c r="D325" s="185"/>
      <c r="E325" s="186"/>
      <c r="F325" s="186"/>
      <c r="G325" s="185"/>
      <c r="H325" s="185"/>
      <c r="I325" s="587"/>
      <c r="J325" s="591"/>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7"/>
      <c r="ZZ325" s="36"/>
      <c r="AAA325" s="587"/>
      <c r="AAD325" s="112"/>
      <c r="AAE325" s="550">
        <f>IF(S.InvolveNotice=TRUE,1,0)</f>
        <v>1</v>
      </c>
      <c r="AAF325" s="582" t="s">
        <v>172</v>
      </c>
      <c r="AAG325" s="76"/>
      <c r="AAH325" s="76"/>
      <c r="AAI325" s="77"/>
      <c r="AAJ325" s="77"/>
      <c r="AAK325" s="77"/>
      <c r="AAL325" s="57"/>
      <c r="AAM325" s="112"/>
      <c r="AAN325"/>
      <c r="AAT325" s="23"/>
      <c r="AAU325" s="44"/>
    </row>
    <row r="326" spans="1:723" ht="15" outlineLevel="1">
      <c r="A326" s="557"/>
      <c r="B326" s="408" t="s">
        <v>120</v>
      </c>
      <c r="C326" s="228" t="s">
        <v>90</v>
      </c>
      <c r="D326" s="185"/>
      <c r="E326" s="186"/>
      <c r="F326" s="186"/>
      <c r="G326" s="185"/>
      <c r="H326" s="185"/>
      <c r="I326" s="587"/>
      <c r="J326" s="595"/>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19"/>
      <c r="ZZ326" s="622"/>
      <c r="AAA326" s="587"/>
      <c r="AAD326" s="112"/>
      <c r="AAE326" s="550">
        <f>IF(S.InvolveHearing=TRUE,1,0)</f>
        <v>1</v>
      </c>
      <c r="AAF326" s="582" t="s">
        <v>172</v>
      </c>
      <c r="AAG326" s="76"/>
      <c r="AAH326" s="76"/>
      <c r="AAI326" s="77"/>
      <c r="AAJ326" s="77"/>
      <c r="AAK326" s="77"/>
      <c r="AAL326" s="57"/>
      <c r="AAM326" s="112"/>
      <c r="AAN326"/>
      <c r="AAT326" s="23"/>
      <c r="AAU326" s="44"/>
    </row>
    <row r="327" spans="1:723" ht="15" outlineLevel="1">
      <c r="A327" s="557"/>
      <c r="B327" s="408" t="s">
        <v>107</v>
      </c>
      <c r="C327" s="168"/>
      <c r="D327" s="185"/>
      <c r="E327" s="186"/>
      <c r="F327" s="186"/>
      <c r="G327" s="185"/>
      <c r="H327" s="185"/>
      <c r="I327" s="587"/>
      <c r="J327" s="595"/>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19"/>
      <c r="ZZ327" s="622"/>
      <c r="AAA327" s="587"/>
      <c r="AAD327" s="112"/>
      <c r="AAE327" s="550">
        <f t="shared" ref="AAE327:AAE338" si="947">IF(S.InvolveNotice=TRUE,1,0)</f>
        <v>1</v>
      </c>
      <c r="AAF327" s="582" t="s">
        <v>172</v>
      </c>
      <c r="AAG327" s="76"/>
      <c r="AAH327" s="76"/>
      <c r="AAI327" s="77"/>
      <c r="AAJ327" s="77"/>
      <c r="AAK327" s="77"/>
      <c r="AAL327" s="57"/>
      <c r="AAM327" s="112"/>
      <c r="AAN327"/>
      <c r="AAT327" s="23"/>
      <c r="AAU327" s="44"/>
    </row>
    <row r="328" spans="1:723" ht="15" outlineLevel="1">
      <c r="A328" s="557"/>
      <c r="B328" s="408" t="s">
        <v>106</v>
      </c>
      <c r="C328" s="168"/>
      <c r="D328" s="161"/>
      <c r="E328" s="160"/>
      <c r="F328" s="160"/>
      <c r="G328" s="161"/>
      <c r="H328" s="161"/>
      <c r="I328" s="587"/>
      <c r="J328" s="591"/>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7"/>
      <c r="ZZ328" s="36"/>
      <c r="AAA328" s="587"/>
      <c r="AAD328" s="112"/>
      <c r="AAE328" s="550">
        <f t="shared" si="947"/>
        <v>1</v>
      </c>
      <c r="AAF328" s="582" t="s">
        <v>172</v>
      </c>
      <c r="AAG328" s="76"/>
      <c r="AAH328" s="76"/>
      <c r="AAI328" s="77"/>
      <c r="AAJ328" s="77"/>
      <c r="AAK328" s="77"/>
      <c r="AAL328" s="57"/>
      <c r="AAM328" s="112"/>
      <c r="AAN328"/>
      <c r="AAT328" s="23"/>
      <c r="AAU328" s="44"/>
    </row>
    <row r="329" spans="1:723" ht="15" outlineLevel="1">
      <c r="A329" s="557"/>
      <c r="B329" s="409" t="str">
        <f>AAL329</f>
        <v>GOV.DELIVERY.CONTENT"</v>
      </c>
      <c r="C329" s="168"/>
      <c r="D329" s="161"/>
      <c r="E329" s="160"/>
      <c r="F329" s="160"/>
      <c r="G329" s="161"/>
      <c r="H329" s="161"/>
      <c r="I329" s="587"/>
      <c r="J329" s="591"/>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7"/>
      <c r="ZZ329" s="36"/>
      <c r="AAA329" s="587"/>
      <c r="AAD329" s="112"/>
      <c r="AAE329" s="550">
        <f t="shared" si="947"/>
        <v>1</v>
      </c>
      <c r="AAF329" s="582" t="s">
        <v>172</v>
      </c>
      <c r="AAG329" s="76"/>
      <c r="AAH329" s="76"/>
      <c r="AAI329" s="77"/>
      <c r="AAJ329" s="77"/>
      <c r="AAK329" s="77"/>
      <c r="AAL329" s="89" t="s">
        <v>308</v>
      </c>
      <c r="AAM329" s="112"/>
      <c r="AAN329"/>
      <c r="AAT329" s="23"/>
      <c r="AAU329" s="44"/>
    </row>
    <row r="330" spans="1:723" ht="15" outlineLevel="1">
      <c r="A330" s="557"/>
      <c r="B330" s="409" t="str">
        <f>AAL330</f>
        <v>Save AGENCY.MAILING.LIST</v>
      </c>
      <c r="C330" s="168"/>
      <c r="D330" s="161"/>
      <c r="E330" s="160"/>
      <c r="F330" s="160"/>
      <c r="G330" s="161"/>
      <c r="H330" s="161"/>
      <c r="I330" s="587"/>
      <c r="J330" s="591"/>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7"/>
      <c r="ZZ330" s="36"/>
      <c r="AAA330" s="587"/>
      <c r="AAD330" s="112"/>
      <c r="AAE330" s="550">
        <f t="shared" si="947"/>
        <v>1</v>
      </c>
      <c r="AAF330" s="582" t="s">
        <v>172</v>
      </c>
      <c r="AAG330" s="76"/>
      <c r="AAH330" s="76"/>
      <c r="AAI330" s="77"/>
      <c r="AAJ330" s="77"/>
      <c r="AAK330" s="77"/>
      <c r="AAL330" s="89" t="str">
        <f>"Save "&amp;S.CodeName&amp;"AGENCY.MAILING.LIST"</f>
        <v>Save AGENCY.MAILING.LIST</v>
      </c>
      <c r="AAM330" s="112"/>
      <c r="AAN330"/>
      <c r="AAT330" s="23"/>
      <c r="AAU330" s="44"/>
    </row>
    <row r="331" spans="1:723" ht="15" outlineLevel="1">
      <c r="A331" s="557"/>
      <c r="B331" s="328" t="str">
        <f>AAL331</f>
        <v>Save PROOF.OF.DELIVERY</v>
      </c>
      <c r="C331" s="168"/>
      <c r="D331" s="161"/>
      <c r="E331" s="160"/>
      <c r="F331" s="160"/>
      <c r="G331" s="161"/>
      <c r="H331" s="161"/>
      <c r="I331" s="587"/>
      <c r="J331" s="591"/>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7"/>
      <c r="ZZ331" s="36"/>
      <c r="AAA331" s="587"/>
      <c r="AAD331" s="112"/>
      <c r="AAE331" s="550">
        <f t="shared" si="947"/>
        <v>1</v>
      </c>
      <c r="AAF331" s="582" t="s">
        <v>172</v>
      </c>
      <c r="AAG331" s="76"/>
      <c r="AAH331" s="76"/>
      <c r="AAI331" s="77"/>
      <c r="AAJ331" s="77"/>
      <c r="AAK331" s="77"/>
      <c r="AAL331" s="89" t="str">
        <f>"Save "&amp;S.CodeName&amp;"PROOF.OF.DELIVERY"</f>
        <v>Save PROOF.OF.DELIVERY</v>
      </c>
      <c r="AAM331" s="112"/>
      <c r="AAN331"/>
      <c r="AAT331" s="23"/>
      <c r="AAU331" s="44"/>
    </row>
    <row r="332" spans="1:723" ht="15" outlineLevel="1">
      <c r="A332" s="557"/>
      <c r="B332" s="407" t="s">
        <v>160</v>
      </c>
      <c r="C332" s="168"/>
      <c r="D332" s="277" t="s">
        <v>394</v>
      </c>
      <c r="E332" s="447">
        <f t="shared" ref="E332" si="948">NETWORKDAYS(G332,H332,S.DDL_DEQClosed)</f>
        <v>1</v>
      </c>
      <c r="F332" s="491">
        <f t="shared" ref="F332" ca="1" si="949">NETWORKDAYS(TODAY(),H332)</f>
        <v>14</v>
      </c>
      <c r="G332" s="471">
        <f t="shared" ref="G332:H332" si="950">AAG332</f>
        <v>41501</v>
      </c>
      <c r="H332" s="369">
        <f t="shared" si="950"/>
        <v>41501</v>
      </c>
      <c r="I332" s="626"/>
      <c r="J332" s="591"/>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7"/>
      <c r="AAD332" s="112"/>
      <c r="AAE332" s="550">
        <f t="shared" si="947"/>
        <v>1</v>
      </c>
      <c r="AAF332" s="112"/>
      <c r="AAG332" s="78">
        <f t="shared" si="946"/>
        <v>41501</v>
      </c>
      <c r="AAH332" s="78">
        <f>G332</f>
        <v>41501</v>
      </c>
      <c r="AAI332" s="77"/>
      <c r="AAJ332" s="77"/>
      <c r="AAK332" s="77"/>
      <c r="AAL332" s="57"/>
      <c r="AAM332" s="112"/>
      <c r="AAN332"/>
      <c r="AAT332" s="23"/>
      <c r="AAU332" s="44"/>
    </row>
    <row r="333" spans="1:723" ht="15" outlineLevel="1">
      <c r="A333" s="557"/>
      <c r="B333" s="410" t="str">
        <f>AAL333</f>
        <v>Send KEY.LEG.NOTICE</v>
      </c>
      <c r="C333" s="715"/>
      <c r="D333" s="161"/>
      <c r="E333" s="160"/>
      <c r="F333" s="160"/>
      <c r="G333" s="161"/>
      <c r="H333" s="161"/>
      <c r="I333" s="587"/>
      <c r="J333" s="591"/>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7"/>
      <c r="ZZ333" s="36"/>
      <c r="AAA333" s="587"/>
      <c r="AAD333" s="112"/>
      <c r="AAE333" s="550">
        <f t="shared" si="947"/>
        <v>1</v>
      </c>
      <c r="AAF333" s="582" t="s">
        <v>172</v>
      </c>
      <c r="AAG333" s="76"/>
      <c r="AAH333" s="76"/>
      <c r="AAI333" s="77"/>
      <c r="AAJ333" s="77"/>
      <c r="AAK333" s="77"/>
      <c r="AAL333" s="89" t="str">
        <f>"Send "&amp;S.CodeName&amp;"KEY.LEG.NOTICE"</f>
        <v>Send KEY.LEG.NOTICE</v>
      </c>
      <c r="AAM333" s="112"/>
      <c r="AAN333"/>
      <c r="AAT333" s="23"/>
      <c r="AAU333" s="44"/>
    </row>
    <row r="334" spans="1:723" ht="15" outlineLevel="1">
      <c r="A334" s="557"/>
      <c r="B334" s="328" t="str">
        <f>AAL334</f>
        <v>Save KEY.LEG.PROOF</v>
      </c>
      <c r="C334" s="168"/>
      <c r="D334" s="161"/>
      <c r="E334" s="160"/>
      <c r="F334" s="160"/>
      <c r="G334" s="161"/>
      <c r="H334" s="161"/>
      <c r="I334" s="587"/>
      <c r="J334" s="591"/>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7"/>
      <c r="ZZ334" s="36"/>
      <c r="AAA334" s="587"/>
      <c r="AAD334" s="112"/>
      <c r="AAE334" s="550">
        <f t="shared" si="947"/>
        <v>1</v>
      </c>
      <c r="AAF334" s="582" t="s">
        <v>172</v>
      </c>
      <c r="AAG334" s="76"/>
      <c r="AAH334" s="76"/>
      <c r="AAI334" s="77"/>
      <c r="AAJ334" s="77"/>
      <c r="AAK334" s="77"/>
      <c r="AAL334" s="89" t="str">
        <f>"Save "&amp;S.CodeName&amp;"KEY.LEG.PROOF"</f>
        <v>Save KEY.LEG.PROOF</v>
      </c>
      <c r="AAM334" s="112"/>
      <c r="AAN334"/>
      <c r="AAT334" s="23"/>
      <c r="AAU334" s="44"/>
    </row>
    <row r="335" spans="1:723" ht="15" outlineLevel="1">
      <c r="A335" s="557"/>
      <c r="B335" s="362" t="s">
        <v>175</v>
      </c>
      <c r="C335" s="168"/>
      <c r="D335" s="161"/>
      <c r="E335" s="160"/>
      <c r="F335" s="160"/>
      <c r="G335" s="161"/>
      <c r="H335" s="161"/>
      <c r="I335" s="587"/>
      <c r="J335" s="591"/>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7"/>
      <c r="ZZ335" s="36"/>
      <c r="AAA335" s="587"/>
      <c r="AAD335" s="112"/>
      <c r="AAE335" s="550">
        <f t="shared" si="947"/>
        <v>1</v>
      </c>
      <c r="AAF335" s="582" t="s">
        <v>172</v>
      </c>
      <c r="AAG335" s="76"/>
      <c r="AAH335" s="76"/>
      <c r="AAI335" s="77"/>
      <c r="AAJ335" s="77"/>
      <c r="AAK335" s="77"/>
      <c r="AAL335" s="57"/>
      <c r="AAM335" s="112"/>
      <c r="AAN335"/>
      <c r="AAT335" s="23"/>
      <c r="AAU335" s="44"/>
    </row>
    <row r="336" spans="1:723" ht="15" outlineLevel="1">
      <c r="A336" s="557"/>
      <c r="B336" s="328" t="str">
        <f>AAL336</f>
        <v>Save ##PRINT.PROOF</v>
      </c>
      <c r="C336" s="168"/>
      <c r="D336" s="161"/>
      <c r="E336" s="160"/>
      <c r="F336" s="160"/>
      <c r="G336" s="161"/>
      <c r="H336" s="161"/>
      <c r="I336" s="587"/>
      <c r="J336" s="591"/>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7"/>
      <c r="ZZ336" s="36"/>
      <c r="AAA336" s="587"/>
      <c r="AAD336" s="112"/>
      <c r="AAE336" s="550">
        <f t="shared" si="947"/>
        <v>1</v>
      </c>
      <c r="AAF336" s="582" t="s">
        <v>172</v>
      </c>
      <c r="AAG336" s="76"/>
      <c r="AAH336" s="76"/>
      <c r="AAI336" s="77"/>
      <c r="AAJ336" s="77"/>
      <c r="AAK336" s="77"/>
      <c r="AAL336" s="89" t="str">
        <f>"Save "&amp;S.CodeName&amp;"##PRINT.PROOF"</f>
        <v>Save ##PRINT.PROOF</v>
      </c>
      <c r="AAM336" s="112"/>
      <c r="AAN336"/>
      <c r="AAT336" s="23"/>
      <c r="AAU336" s="44"/>
    </row>
    <row r="337" spans="1:732" ht="15.75" customHeight="1" outlineLevel="1">
      <c r="A337" s="557"/>
      <c r="B337" s="408" t="s">
        <v>45</v>
      </c>
      <c r="C337" s="168"/>
      <c r="D337" s="161"/>
      <c r="E337" s="160"/>
      <c r="F337" s="160"/>
      <c r="G337" s="161"/>
      <c r="H337" s="161"/>
      <c r="I337" s="587"/>
      <c r="J337" s="591"/>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7"/>
      <c r="ZZ337" s="36"/>
      <c r="AAA337" s="587"/>
      <c r="AAD337" s="112"/>
      <c r="AAE337" s="550">
        <f t="shared" si="947"/>
        <v>1</v>
      </c>
      <c r="AAF337" s="582" t="s">
        <v>172</v>
      </c>
      <c r="AAG337" s="76"/>
      <c r="AAH337" s="76"/>
      <c r="AAI337" s="77"/>
      <c r="AAJ337" s="77"/>
      <c r="AAK337" s="77"/>
      <c r="AAL337" s="57"/>
      <c r="AAM337" s="112"/>
      <c r="AAN337"/>
      <c r="AAT337" s="23"/>
      <c r="AAU337" s="44"/>
    </row>
    <row r="338" spans="1:732" ht="15" outlineLevel="1">
      <c r="A338" s="557"/>
      <c r="B338" s="286" t="str">
        <f>AAL338</f>
        <v>Save BULLETIN.PROOF</v>
      </c>
      <c r="C338" s="168"/>
      <c r="D338" s="161"/>
      <c r="E338" s="160"/>
      <c r="F338" s="160"/>
      <c r="G338" s="161"/>
      <c r="H338" s="161"/>
      <c r="I338" s="587"/>
      <c r="J338" s="591"/>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7"/>
      <c r="ZZ338" s="36"/>
      <c r="AAA338" s="587"/>
      <c r="AAD338" s="112"/>
      <c r="AAE338" s="550">
        <f t="shared" si="947"/>
        <v>1</v>
      </c>
      <c r="AAF338" s="582" t="s">
        <v>172</v>
      </c>
      <c r="AAG338" s="76"/>
      <c r="AAH338" s="76"/>
      <c r="AAI338" s="77"/>
      <c r="AAJ338" s="77"/>
      <c r="AAK338" s="77"/>
      <c r="AAL338" s="89" t="str">
        <f>"Save "&amp;S.CodeName&amp;"BULLETIN.PROOF"</f>
        <v>Save BULLETIN.PROOF</v>
      </c>
      <c r="AAM338" s="112"/>
      <c r="AAN338"/>
      <c r="AAT338" s="23"/>
      <c r="AAU338" s="44"/>
    </row>
    <row r="339" spans="1:732" ht="6" customHeight="1">
      <c r="A339" s="557"/>
      <c r="B339" s="288"/>
      <c r="C339" s="289"/>
      <c r="D339" s="290"/>
      <c r="E339" s="291" t="s">
        <v>0</v>
      </c>
      <c r="F339" s="291" t="s">
        <v>0</v>
      </c>
      <c r="G339" s="292"/>
      <c r="H339" s="292"/>
      <c r="I339" s="587"/>
      <c r="J339" s="591"/>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7"/>
      <c r="ZZ339" s="36"/>
      <c r="AAA339" s="587"/>
      <c r="AAD339" s="112"/>
      <c r="AAE339" s="550" t="s">
        <v>26</v>
      </c>
      <c r="AAF339" s="582" t="s">
        <v>172</v>
      </c>
      <c r="AAG339" s="63"/>
      <c r="AAH339" s="63"/>
      <c r="AAI339" s="77"/>
      <c r="AAJ339" s="77"/>
      <c r="AAK339" s="77"/>
      <c r="AAL339" s="57"/>
      <c r="AAM339" s="112"/>
      <c r="AAN339"/>
      <c r="AAT339" s="23"/>
      <c r="AAU339" s="44"/>
    </row>
    <row r="340" spans="1:732" s="23" customFormat="1" ht="18" customHeight="1">
      <c r="A340" s="557"/>
      <c r="B340" s="745" t="str">
        <f>AAL340</f>
        <v>5-Public Comment and Testimony</v>
      </c>
      <c r="C340" s="745"/>
      <c r="D340" s="745"/>
      <c r="E340" s="745"/>
      <c r="F340" s="745"/>
      <c r="G340" s="745"/>
      <c r="H340" s="745"/>
      <c r="I340" s="626"/>
      <c r="J340" s="592"/>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8"/>
      <c r="ZZ340" s="119"/>
      <c r="AAA340" s="587"/>
      <c r="AAB340"/>
      <c r="AAC340"/>
      <c r="AAD340" s="112"/>
      <c r="AAE340" s="550" t="s">
        <v>27</v>
      </c>
      <c r="AAF340" s="582" t="s">
        <v>172</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7"/>
      <c r="B341" s="234" t="s">
        <v>15</v>
      </c>
      <c r="C341" s="703"/>
      <c r="D341" s="150"/>
      <c r="E341" s="151" t="s">
        <v>15</v>
      </c>
      <c r="F341" s="235" t="s">
        <v>2</v>
      </c>
      <c r="G341" s="152" t="s">
        <v>86</v>
      </c>
      <c r="H341" s="152" t="s">
        <v>87</v>
      </c>
      <c r="I341" s="626"/>
      <c r="J341" s="592"/>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8"/>
      <c r="ZZ341" s="119"/>
      <c r="AAA341" s="587"/>
      <c r="AAB341"/>
      <c r="AAC341"/>
      <c r="AAD341" s="112"/>
      <c r="AAE341" s="550" t="s">
        <v>243</v>
      </c>
      <c r="AAF341" s="582" t="s">
        <v>172</v>
      </c>
      <c r="AAG341" s="112"/>
      <c r="AAH341" s="112"/>
      <c r="AAI341" s="77"/>
      <c r="AAJ341" s="90"/>
      <c r="AAK341" s="90"/>
      <c r="AAL341" s="76"/>
      <c r="AAM341" s="112"/>
      <c r="AAU341" s="44"/>
    </row>
    <row r="342" spans="1:732" ht="18" customHeight="1">
      <c r="A342" s="557"/>
      <c r="B342" s="202"/>
      <c r="C342" s="716"/>
      <c r="D342" s="202"/>
      <c r="E342" s="293" t="s">
        <v>0</v>
      </c>
      <c r="F342" s="465">
        <f>NETWORKDAYS(S.BANNER.HearingStart,S.BANNER.HearingEnd,S.DDL_DEQClosed)</f>
        <v>70</v>
      </c>
      <c r="G342" s="253">
        <f>AAG342</f>
        <v>41481</v>
      </c>
      <c r="H342" s="274">
        <f>AAH342</f>
        <v>41579</v>
      </c>
      <c r="I342" s="626"/>
      <c r="J342" s="628"/>
      <c r="K342" s="634"/>
      <c r="L342" s="634"/>
      <c r="M342" s="634"/>
      <c r="N342" s="634"/>
      <c r="O342" s="634"/>
      <c r="P342" s="634"/>
      <c r="Q342" s="634"/>
      <c r="R342" s="634"/>
      <c r="S342" s="634"/>
      <c r="T342" s="634"/>
      <c r="U342" s="634"/>
      <c r="V342" s="634"/>
      <c r="W342" s="634"/>
      <c r="X342" s="634"/>
      <c r="Y342" s="634"/>
      <c r="Z342" s="634"/>
      <c r="AA342" s="634"/>
      <c r="AB342" s="634"/>
      <c r="AC342" s="634"/>
      <c r="AD342" s="634"/>
      <c r="AE342" s="634"/>
      <c r="AF342" s="634"/>
      <c r="AG342" s="634"/>
      <c r="AH342" s="634"/>
      <c r="AI342" s="634"/>
      <c r="AJ342" s="634"/>
      <c r="AK342" s="634"/>
      <c r="AL342" s="634"/>
      <c r="AM342" s="634"/>
      <c r="AN342" s="634"/>
      <c r="AO342" s="634"/>
      <c r="AP342" s="634"/>
      <c r="AQ342" s="634"/>
      <c r="AR342" s="634"/>
      <c r="AS342" s="634"/>
      <c r="AT342" s="634"/>
      <c r="AU342" s="634"/>
      <c r="AV342" s="634"/>
      <c r="AW342" s="634"/>
      <c r="AX342" s="634"/>
      <c r="AY342" s="634"/>
      <c r="AZ342" s="634"/>
      <c r="BA342" s="634"/>
      <c r="BB342" s="634"/>
      <c r="BC342" s="634"/>
      <c r="BD342" s="634"/>
      <c r="BE342" s="634"/>
      <c r="BF342" s="634"/>
      <c r="BG342" s="634"/>
      <c r="BH342" s="634"/>
      <c r="BI342" s="634"/>
      <c r="BJ342" s="634"/>
      <c r="BK342" s="634"/>
      <c r="BL342" s="634"/>
      <c r="BM342" s="634"/>
      <c r="BN342" s="634"/>
      <c r="BO342" s="634"/>
      <c r="BP342" s="634"/>
      <c r="BQ342" s="634"/>
      <c r="BR342" s="634"/>
      <c r="BS342" s="634"/>
      <c r="BT342" s="634"/>
      <c r="BU342" s="634"/>
      <c r="BV342" s="634"/>
      <c r="BW342" s="634"/>
      <c r="BX342" s="634"/>
      <c r="BY342" s="634"/>
      <c r="BZ342" s="634"/>
      <c r="CA342" s="634"/>
      <c r="CB342" s="634"/>
      <c r="CC342" s="634"/>
      <c r="CD342" s="634"/>
      <c r="CE342" s="634"/>
      <c r="CF342" s="634"/>
      <c r="CG342" s="634"/>
      <c r="CH342" s="634"/>
      <c r="CI342" s="634"/>
      <c r="CJ342" s="634"/>
      <c r="CK342" s="634"/>
      <c r="CL342" s="634"/>
      <c r="CM342" s="634"/>
      <c r="CN342" s="634"/>
      <c r="CO342" s="634"/>
      <c r="CP342" s="634"/>
      <c r="CQ342" s="634"/>
      <c r="CR342" s="634"/>
      <c r="CS342" s="634"/>
      <c r="CT342" s="634"/>
      <c r="CU342" s="634"/>
      <c r="CV342" s="634"/>
      <c r="CW342" s="634"/>
      <c r="CX342" s="634"/>
      <c r="CY342" s="634"/>
      <c r="CZ342" s="634"/>
      <c r="DA342" s="634"/>
      <c r="DB342" s="634"/>
      <c r="DC342" s="634"/>
      <c r="DD342" s="634"/>
      <c r="DE342" s="634"/>
      <c r="DF342" s="634"/>
      <c r="DG342" s="634"/>
      <c r="DH342" s="634"/>
      <c r="DI342" s="634"/>
      <c r="DJ342" s="634"/>
      <c r="DK342" s="634"/>
      <c r="DL342" s="634"/>
      <c r="DM342" s="634"/>
      <c r="DN342" s="634"/>
      <c r="DO342" s="634"/>
      <c r="DP342" s="634"/>
      <c r="DQ342" s="634"/>
      <c r="DR342" s="634"/>
      <c r="DS342" s="634"/>
      <c r="DT342" s="634"/>
      <c r="DU342" s="634"/>
      <c r="DV342" s="634"/>
      <c r="DW342" s="634"/>
      <c r="DX342" s="634"/>
      <c r="DY342" s="634"/>
      <c r="DZ342" s="634"/>
      <c r="EA342" s="634"/>
      <c r="EB342" s="634"/>
      <c r="EC342" s="634"/>
      <c r="ED342" s="634"/>
      <c r="EE342" s="634"/>
      <c r="EF342" s="634"/>
      <c r="EG342" s="634"/>
      <c r="EH342" s="634"/>
      <c r="EI342" s="634"/>
      <c r="EJ342" s="634"/>
      <c r="EK342" s="634"/>
      <c r="EL342" s="634"/>
      <c r="EM342" s="634"/>
      <c r="EN342" s="634"/>
      <c r="EO342" s="634"/>
      <c r="EP342" s="634"/>
      <c r="EQ342" s="634"/>
      <c r="ER342" s="634"/>
      <c r="ES342" s="634"/>
      <c r="ET342" s="634"/>
      <c r="EU342" s="634"/>
      <c r="EV342" s="634"/>
      <c r="EW342" s="634"/>
      <c r="EX342" s="634"/>
      <c r="EY342" s="634"/>
      <c r="EZ342" s="634"/>
      <c r="FA342" s="634"/>
      <c r="FB342" s="634"/>
      <c r="FC342" s="634"/>
      <c r="FD342" s="634"/>
      <c r="FE342" s="634"/>
      <c r="FF342" s="634"/>
      <c r="FG342" s="634"/>
      <c r="FH342" s="634"/>
      <c r="FI342" s="634"/>
      <c r="FJ342" s="634"/>
      <c r="FK342" s="634"/>
      <c r="FL342" s="634"/>
      <c r="FM342" s="634"/>
      <c r="FN342" s="634"/>
      <c r="FO342" s="634"/>
      <c r="FP342" s="634"/>
      <c r="FQ342" s="634"/>
      <c r="FR342" s="634"/>
      <c r="FS342" s="634"/>
      <c r="FT342" s="634"/>
      <c r="FU342" s="634"/>
      <c r="FV342" s="634"/>
      <c r="FW342" s="634"/>
      <c r="FX342" s="634"/>
      <c r="FY342" s="634"/>
      <c r="FZ342" s="634"/>
      <c r="GA342" s="634"/>
      <c r="GB342" s="634"/>
      <c r="GC342" s="634"/>
      <c r="GD342" s="634"/>
      <c r="GE342" s="634"/>
      <c r="GF342" s="634"/>
      <c r="GG342" s="634"/>
      <c r="GH342" s="634"/>
      <c r="GI342" s="634"/>
      <c r="GJ342" s="634"/>
      <c r="GK342" s="634"/>
      <c r="GL342" s="634"/>
      <c r="GM342" s="634"/>
      <c r="GN342" s="634"/>
      <c r="GO342" s="634"/>
      <c r="GP342" s="634"/>
      <c r="GQ342" s="634"/>
      <c r="GR342" s="634"/>
      <c r="GS342" s="634"/>
      <c r="GT342" s="634"/>
      <c r="GU342" s="634"/>
      <c r="GV342" s="634"/>
      <c r="GW342" s="634"/>
      <c r="GX342" s="634"/>
      <c r="GY342" s="634"/>
      <c r="GZ342" s="634"/>
      <c r="HA342" s="634"/>
      <c r="HB342" s="634"/>
      <c r="HC342" s="634"/>
      <c r="HD342" s="634"/>
      <c r="HE342" s="634"/>
      <c r="HF342" s="634"/>
      <c r="HG342" s="634"/>
      <c r="HH342" s="634"/>
      <c r="HI342" s="634"/>
      <c r="HJ342" s="634"/>
      <c r="HK342" s="634"/>
      <c r="HL342" s="634"/>
      <c r="HM342" s="634"/>
      <c r="HN342" s="634"/>
      <c r="HO342" s="634"/>
      <c r="HP342" s="634"/>
      <c r="HQ342" s="634"/>
      <c r="HR342" s="634"/>
      <c r="HS342" s="634"/>
      <c r="HT342" s="634"/>
      <c r="HU342" s="634"/>
      <c r="HV342" s="634"/>
      <c r="HW342" s="634"/>
      <c r="HX342" s="634"/>
      <c r="HY342" s="634"/>
      <c r="HZ342" s="634"/>
      <c r="IA342" s="634"/>
      <c r="IB342" s="634"/>
      <c r="IC342" s="634"/>
      <c r="ID342" s="634"/>
      <c r="IE342" s="634"/>
      <c r="IF342" s="634"/>
      <c r="IG342" s="634"/>
      <c r="IH342" s="634"/>
      <c r="II342" s="634"/>
      <c r="IJ342" s="634"/>
      <c r="IK342" s="634"/>
      <c r="IL342" s="634"/>
      <c r="IM342" s="634"/>
      <c r="IN342" s="634"/>
      <c r="IO342" s="634"/>
      <c r="IP342" s="634"/>
      <c r="IQ342" s="634"/>
      <c r="IR342" s="634"/>
      <c r="IS342" s="634"/>
      <c r="IT342" s="634"/>
      <c r="IU342" s="634"/>
      <c r="IV342" s="634"/>
      <c r="IW342" s="634"/>
      <c r="IX342" s="634"/>
      <c r="IY342" s="634"/>
      <c r="IZ342" s="634"/>
      <c r="JA342" s="634"/>
      <c r="JB342" s="634"/>
      <c r="JC342" s="634"/>
      <c r="JD342" s="634"/>
      <c r="JE342" s="634"/>
      <c r="JF342" s="634"/>
      <c r="JG342" s="634"/>
      <c r="JH342" s="634"/>
      <c r="JI342" s="634"/>
      <c r="JJ342" s="634"/>
      <c r="JK342" s="634"/>
      <c r="JL342" s="634"/>
      <c r="JM342" s="634"/>
      <c r="JN342" s="634"/>
      <c r="JO342" s="634"/>
      <c r="JP342" s="634"/>
      <c r="JQ342" s="634"/>
      <c r="JR342" s="634"/>
      <c r="JS342" s="634"/>
      <c r="JT342" s="634"/>
      <c r="JU342" s="634"/>
      <c r="JV342" s="634"/>
      <c r="JW342" s="634"/>
      <c r="JX342" s="634"/>
      <c r="JY342" s="634"/>
      <c r="JZ342" s="634"/>
      <c r="KA342" s="634"/>
      <c r="KB342" s="634"/>
      <c r="KC342" s="634"/>
      <c r="KD342" s="634"/>
      <c r="KE342" s="634"/>
      <c r="KF342" s="634"/>
      <c r="KG342" s="634"/>
      <c r="KH342" s="634"/>
      <c r="KI342" s="634"/>
      <c r="KJ342" s="634"/>
      <c r="KK342" s="634"/>
      <c r="KL342" s="634"/>
      <c r="KM342" s="634"/>
      <c r="KN342" s="634"/>
      <c r="KO342" s="634"/>
      <c r="KP342" s="634"/>
      <c r="KQ342" s="634"/>
      <c r="KR342" s="634"/>
      <c r="KS342" s="634"/>
      <c r="KT342" s="634"/>
      <c r="KU342" s="634"/>
      <c r="KV342" s="634"/>
      <c r="KW342" s="634"/>
      <c r="KX342" s="634"/>
      <c r="KY342" s="634"/>
      <c r="KZ342" s="634"/>
      <c r="LA342" s="634"/>
      <c r="LB342" s="634"/>
      <c r="LC342" s="634"/>
      <c r="LD342" s="634"/>
      <c r="LE342" s="634"/>
      <c r="LF342" s="634"/>
      <c r="LG342" s="634"/>
      <c r="LH342" s="634"/>
      <c r="LI342" s="634"/>
      <c r="LJ342" s="634"/>
      <c r="LK342" s="634"/>
      <c r="LL342" s="634"/>
      <c r="LM342" s="634"/>
      <c r="LN342" s="634"/>
      <c r="LO342" s="634"/>
      <c r="LP342" s="634"/>
      <c r="LQ342" s="634"/>
      <c r="LR342" s="634"/>
      <c r="LS342" s="634"/>
      <c r="LT342" s="634"/>
      <c r="LU342" s="634"/>
      <c r="LV342" s="634"/>
      <c r="LW342" s="634"/>
      <c r="LX342" s="634"/>
      <c r="LY342" s="634"/>
      <c r="LZ342" s="634"/>
      <c r="MA342" s="634"/>
      <c r="MB342" s="634"/>
      <c r="MC342" s="634"/>
      <c r="MD342" s="634"/>
      <c r="ME342" s="634"/>
      <c r="MF342" s="634"/>
      <c r="MG342" s="634"/>
      <c r="MH342" s="634"/>
      <c r="MI342" s="634"/>
      <c r="MJ342" s="634"/>
      <c r="MK342" s="634"/>
      <c r="ML342" s="634"/>
      <c r="MM342" s="634"/>
      <c r="MN342" s="634"/>
      <c r="MO342" s="634"/>
      <c r="MP342" s="634"/>
      <c r="MQ342" s="634"/>
      <c r="MR342" s="634"/>
      <c r="MS342" s="634"/>
      <c r="MT342" s="634"/>
      <c r="MU342" s="634"/>
      <c r="MV342" s="634"/>
      <c r="MW342" s="634"/>
      <c r="MX342" s="634"/>
      <c r="MY342" s="634"/>
      <c r="MZ342" s="634"/>
      <c r="NA342" s="634"/>
      <c r="NB342" s="634"/>
      <c r="NC342" s="634"/>
      <c r="ND342" s="634"/>
      <c r="NE342" s="634"/>
      <c r="NF342" s="634"/>
      <c r="NG342" s="634"/>
      <c r="NH342" s="634"/>
      <c r="NI342" s="634"/>
      <c r="NJ342" s="634"/>
      <c r="NK342" s="634"/>
      <c r="NL342" s="634"/>
      <c r="NM342" s="634"/>
      <c r="NN342" s="634"/>
      <c r="NO342" s="634"/>
      <c r="NP342" s="634"/>
      <c r="NQ342" s="634"/>
      <c r="NR342" s="634"/>
      <c r="NS342" s="634"/>
      <c r="NT342" s="634"/>
      <c r="NU342" s="634"/>
      <c r="NV342" s="634"/>
      <c r="NW342" s="634"/>
      <c r="NX342" s="634"/>
      <c r="NY342" s="634"/>
      <c r="NZ342" s="634"/>
      <c r="OA342" s="634"/>
      <c r="OB342" s="634"/>
      <c r="OC342" s="634"/>
      <c r="OD342" s="634"/>
      <c r="OE342" s="634"/>
      <c r="OF342" s="634"/>
      <c r="OG342" s="634"/>
      <c r="OH342" s="634"/>
      <c r="OI342" s="634"/>
      <c r="OJ342" s="634"/>
      <c r="OK342" s="634"/>
      <c r="OL342" s="634"/>
      <c r="OM342" s="634"/>
      <c r="ON342" s="634"/>
      <c r="OO342" s="634"/>
      <c r="OP342" s="634"/>
      <c r="OQ342" s="634"/>
      <c r="OR342" s="634"/>
      <c r="OS342" s="634"/>
      <c r="OT342" s="634"/>
      <c r="OU342" s="634"/>
      <c r="OV342" s="634"/>
      <c r="OW342" s="634"/>
      <c r="OX342" s="634"/>
      <c r="OY342" s="634"/>
      <c r="OZ342" s="634"/>
      <c r="PA342" s="634"/>
      <c r="PB342" s="634"/>
      <c r="PC342" s="634"/>
      <c r="PD342" s="634"/>
      <c r="PE342" s="634"/>
      <c r="PF342" s="634"/>
      <c r="PG342" s="634"/>
      <c r="PH342" s="634"/>
      <c r="PI342" s="634"/>
      <c r="PJ342" s="634"/>
      <c r="PK342" s="634"/>
      <c r="PL342" s="634"/>
      <c r="PM342" s="634"/>
      <c r="PN342" s="634"/>
      <c r="PO342" s="634"/>
      <c r="PP342" s="634"/>
      <c r="PQ342" s="634"/>
      <c r="PR342" s="634"/>
      <c r="PS342" s="634"/>
      <c r="PT342" s="634"/>
      <c r="PU342" s="634"/>
      <c r="PV342" s="634"/>
      <c r="PW342" s="634"/>
      <c r="PX342" s="634"/>
      <c r="PY342" s="634"/>
      <c r="PZ342" s="634"/>
      <c r="QA342" s="634"/>
      <c r="QB342" s="634"/>
      <c r="QC342" s="634"/>
      <c r="QD342" s="634"/>
      <c r="QE342" s="634"/>
      <c r="QF342" s="634"/>
      <c r="QG342" s="634"/>
      <c r="QH342" s="634"/>
      <c r="QI342" s="634"/>
      <c r="QJ342" s="634"/>
      <c r="QK342" s="634"/>
      <c r="QL342" s="634"/>
      <c r="QM342" s="634"/>
      <c r="QN342" s="634"/>
      <c r="QO342" s="634"/>
      <c r="QP342" s="634"/>
      <c r="QQ342" s="634"/>
      <c r="QR342" s="634"/>
      <c r="QS342" s="634"/>
      <c r="QT342" s="634"/>
      <c r="QU342" s="634"/>
      <c r="QV342" s="634"/>
      <c r="QW342" s="634"/>
      <c r="QX342" s="634"/>
      <c r="QY342" s="634"/>
      <c r="QZ342" s="634"/>
      <c r="RA342" s="634"/>
      <c r="RB342" s="634"/>
      <c r="RC342" s="634"/>
      <c r="RD342" s="634"/>
      <c r="RE342" s="634"/>
      <c r="RF342" s="634"/>
      <c r="RG342" s="634"/>
      <c r="RH342" s="634"/>
      <c r="RI342" s="634"/>
      <c r="RJ342" s="634"/>
      <c r="RK342" s="634"/>
      <c r="RL342" s="634"/>
      <c r="RM342" s="634"/>
      <c r="RN342" s="634"/>
      <c r="RO342" s="634"/>
      <c r="RP342" s="634"/>
      <c r="RQ342" s="634"/>
      <c r="RR342" s="634"/>
      <c r="RS342" s="634"/>
      <c r="RT342" s="634"/>
      <c r="RU342" s="634"/>
      <c r="RV342" s="634"/>
      <c r="RW342" s="634"/>
      <c r="RX342" s="634"/>
      <c r="RY342" s="634"/>
      <c r="RZ342" s="634"/>
      <c r="SA342" s="634"/>
      <c r="SB342" s="634"/>
      <c r="SC342" s="634"/>
      <c r="SD342" s="634"/>
      <c r="SE342" s="634"/>
      <c r="SF342" s="634"/>
      <c r="SG342" s="634"/>
      <c r="SH342" s="634"/>
      <c r="SI342" s="634"/>
      <c r="SJ342" s="634"/>
      <c r="SK342" s="634"/>
      <c r="SL342" s="634"/>
      <c r="SM342" s="634"/>
      <c r="SN342" s="634"/>
      <c r="SO342" s="634"/>
      <c r="SP342" s="634"/>
      <c r="SQ342" s="634"/>
      <c r="SR342" s="634"/>
      <c r="SS342" s="634"/>
      <c r="ST342" s="634"/>
      <c r="SU342" s="634"/>
      <c r="SV342" s="634"/>
      <c r="SW342" s="634"/>
      <c r="SX342" s="634"/>
      <c r="SY342" s="634"/>
      <c r="SZ342" s="634"/>
      <c r="TA342" s="634"/>
      <c r="TB342" s="634"/>
      <c r="TC342" s="634"/>
      <c r="TD342" s="634"/>
      <c r="TE342" s="634"/>
      <c r="TF342" s="634"/>
      <c r="TG342" s="634"/>
      <c r="TH342" s="634"/>
      <c r="TI342" s="634"/>
      <c r="TJ342" s="634"/>
      <c r="TK342" s="634"/>
      <c r="TL342" s="634"/>
      <c r="TM342" s="634"/>
      <c r="TN342" s="634"/>
      <c r="TO342" s="634"/>
      <c r="TP342" s="634"/>
      <c r="TQ342" s="634"/>
      <c r="TR342" s="634"/>
      <c r="TS342" s="634"/>
      <c r="TT342" s="634"/>
      <c r="TU342" s="634"/>
      <c r="TV342" s="634"/>
      <c r="TW342" s="634"/>
      <c r="TX342" s="634"/>
      <c r="TY342" s="634"/>
      <c r="TZ342" s="634"/>
      <c r="UA342" s="634"/>
      <c r="UB342" s="634"/>
      <c r="UC342" s="634"/>
      <c r="UD342" s="634"/>
      <c r="UE342" s="634"/>
      <c r="UF342" s="634"/>
      <c r="UG342" s="634"/>
      <c r="UH342" s="634"/>
      <c r="UI342" s="634"/>
      <c r="UJ342" s="634"/>
      <c r="UK342" s="634"/>
      <c r="UL342" s="634"/>
      <c r="UM342" s="634"/>
      <c r="UN342" s="634"/>
      <c r="UO342" s="634"/>
      <c r="UP342" s="634"/>
      <c r="UQ342" s="634"/>
      <c r="UR342" s="634"/>
      <c r="US342" s="634"/>
      <c r="UT342" s="634"/>
      <c r="UU342" s="634"/>
      <c r="UV342" s="634"/>
      <c r="UW342" s="634"/>
      <c r="UX342" s="634"/>
      <c r="UY342" s="634"/>
      <c r="UZ342" s="634"/>
      <c r="VA342" s="634"/>
      <c r="VB342" s="634"/>
      <c r="VC342" s="634"/>
      <c r="VD342" s="634"/>
      <c r="VE342" s="634"/>
      <c r="VF342" s="634"/>
      <c r="VG342" s="634"/>
      <c r="VH342" s="634"/>
      <c r="VI342" s="634"/>
      <c r="VJ342" s="634"/>
      <c r="VK342" s="634"/>
      <c r="VL342" s="634"/>
      <c r="VM342" s="634"/>
      <c r="VN342" s="634"/>
      <c r="VO342" s="634"/>
      <c r="VP342" s="634"/>
      <c r="VQ342" s="634"/>
      <c r="VR342" s="634"/>
      <c r="VS342" s="634"/>
      <c r="VT342" s="634"/>
      <c r="VU342" s="634"/>
      <c r="VV342" s="634"/>
      <c r="VW342" s="634"/>
      <c r="VX342" s="634"/>
      <c r="VY342" s="634"/>
      <c r="VZ342" s="634"/>
      <c r="WA342" s="634"/>
      <c r="WB342" s="634"/>
      <c r="WC342" s="634"/>
      <c r="WD342" s="634"/>
      <c r="WE342" s="634"/>
      <c r="WF342" s="634"/>
      <c r="WG342" s="634"/>
      <c r="WH342" s="634"/>
      <c r="WI342" s="634"/>
      <c r="WJ342" s="634"/>
      <c r="WK342" s="634"/>
      <c r="WL342" s="634"/>
      <c r="WM342" s="634"/>
      <c r="WN342" s="634"/>
      <c r="WO342" s="634"/>
      <c r="WP342" s="634"/>
      <c r="WQ342" s="634"/>
      <c r="WR342" s="634"/>
      <c r="WS342" s="634"/>
      <c r="WT342" s="634"/>
      <c r="WU342" s="634"/>
      <c r="WV342" s="634"/>
      <c r="WW342" s="634"/>
      <c r="WX342" s="634"/>
      <c r="WY342" s="634"/>
      <c r="WZ342" s="634"/>
      <c r="XA342" s="634"/>
      <c r="XB342" s="634"/>
      <c r="XC342" s="634"/>
      <c r="XD342" s="634"/>
      <c r="XE342" s="634"/>
      <c r="XF342" s="634"/>
      <c r="XG342" s="634"/>
      <c r="XH342" s="634"/>
      <c r="XI342" s="634"/>
      <c r="XJ342" s="634"/>
      <c r="XK342" s="634"/>
      <c r="XL342" s="634"/>
      <c r="XM342" s="634"/>
      <c r="XN342" s="634"/>
      <c r="XO342" s="634"/>
      <c r="XP342" s="634"/>
      <c r="XQ342" s="634"/>
      <c r="XR342" s="634"/>
      <c r="XS342" s="634"/>
      <c r="XT342" s="634"/>
      <c r="XU342" s="634"/>
      <c r="XV342" s="634"/>
      <c r="XW342" s="634"/>
      <c r="XX342" s="634"/>
      <c r="XY342" s="634"/>
      <c r="XZ342" s="634"/>
      <c r="YA342" s="634"/>
      <c r="YB342" s="634"/>
      <c r="YC342" s="634"/>
      <c r="YD342" s="634"/>
      <c r="YE342" s="634"/>
      <c r="YF342" s="634"/>
      <c r="YG342" s="634"/>
      <c r="YH342" s="634"/>
      <c r="YI342" s="634"/>
      <c r="YJ342" s="634"/>
      <c r="YK342" s="634"/>
      <c r="YL342" s="634"/>
      <c r="YM342" s="634"/>
      <c r="YN342" s="634"/>
      <c r="YO342" s="634"/>
      <c r="YP342" s="634"/>
      <c r="YQ342" s="634"/>
      <c r="YR342" s="634"/>
      <c r="YS342" s="634"/>
      <c r="YT342" s="634"/>
      <c r="YU342" s="634"/>
      <c r="YV342" s="634"/>
      <c r="YW342" s="634"/>
      <c r="YX342" s="634"/>
      <c r="YY342" s="634"/>
      <c r="YZ342" s="634"/>
      <c r="ZA342" s="634"/>
      <c r="ZB342" s="634"/>
      <c r="ZC342" s="634"/>
      <c r="ZD342" s="634"/>
      <c r="ZE342" s="634"/>
      <c r="ZF342" s="634"/>
      <c r="ZG342" s="634"/>
      <c r="ZH342" s="634"/>
      <c r="ZI342" s="634"/>
      <c r="ZJ342" s="634"/>
      <c r="ZK342" s="634"/>
      <c r="ZL342" s="634"/>
      <c r="ZM342" s="634"/>
      <c r="ZN342" s="634"/>
      <c r="ZO342" s="634"/>
      <c r="ZP342" s="634"/>
      <c r="ZQ342" s="634"/>
      <c r="ZR342" s="634"/>
      <c r="ZS342" s="634"/>
      <c r="ZT342" s="634"/>
      <c r="ZU342" s="634"/>
      <c r="ZV342" s="634"/>
      <c r="ZW342" s="634"/>
      <c r="ZX342" s="634"/>
      <c r="ZY342" s="637"/>
      <c r="ZZ342" s="119"/>
      <c r="AAA342" s="587"/>
      <c r="AAD342" s="112"/>
      <c r="AAE342" s="550" t="s">
        <v>243</v>
      </c>
      <c r="AAF342" s="582" t="s">
        <v>172</v>
      </c>
      <c r="AAG342" s="78">
        <f>WORKDAY(S.SubmitNoticeToSOS-19,-1,S.DDL_DEQClosed)</f>
        <v>41481</v>
      </c>
      <c r="AAH342" s="78">
        <f>S.SubmitStaffRpt</f>
        <v>41579</v>
      </c>
      <c r="AAI342" s="77"/>
      <c r="AAJ342" s="77"/>
      <c r="AAK342" s="77"/>
      <c r="AAL342" s="65"/>
      <c r="AAM342" s="112"/>
      <c r="AAN342"/>
      <c r="AAT342" s="23"/>
      <c r="AAU342" s="44"/>
    </row>
    <row r="343" spans="1:732" ht="6" customHeight="1">
      <c r="A343" s="557"/>
      <c r="B343" s="206"/>
      <c r="C343" s="688"/>
      <c r="D343" s="180"/>
      <c r="E343" s="181"/>
      <c r="F343" s="181"/>
      <c r="G343" s="180"/>
      <c r="H343" s="180"/>
      <c r="I343" s="587"/>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7"/>
      <c r="AAD343" s="112"/>
      <c r="AAE343" s="550" t="s">
        <v>20</v>
      </c>
      <c r="AAF343" s="582" t="s">
        <v>172</v>
      </c>
      <c r="AAG343" s="63"/>
      <c r="AAH343" s="63"/>
      <c r="AAI343" s="77"/>
      <c r="AAJ343" s="77"/>
      <c r="AAK343" s="77"/>
      <c r="AAL343" s="57"/>
      <c r="AAM343" s="112"/>
      <c r="AAN343"/>
      <c r="AAT343" s="23"/>
      <c r="AAU343" s="44"/>
    </row>
    <row r="344" spans="1:732" ht="15" customHeight="1" outlineLevel="1">
      <c r="A344" s="557"/>
      <c r="B344" s="437" t="s">
        <v>207</v>
      </c>
      <c r="C344" s="168"/>
      <c r="D344" s="277" t="s">
        <v>157</v>
      </c>
      <c r="E344" s="447">
        <f>NETWORKDAYS(G344,H344,S.DDL_DEQClosed)</f>
        <v>36</v>
      </c>
      <c r="F344" s="490">
        <f ca="1">NETWORKDAYS(TODAY(),H344)</f>
        <v>36</v>
      </c>
      <c r="G344" s="448">
        <f>AAG344</f>
        <v>41481</v>
      </c>
      <c r="H344" s="448">
        <f>AAH344</f>
        <v>41533</v>
      </c>
      <c r="I344" s="626"/>
      <c r="J344" s="639"/>
      <c r="K344" s="640"/>
      <c r="L344" s="640"/>
      <c r="M344" s="640"/>
      <c r="N344" s="640"/>
      <c r="O344" s="640"/>
      <c r="P344" s="640"/>
      <c r="Q344" s="640"/>
      <c r="R344" s="640"/>
      <c r="S344" s="640"/>
      <c r="T344" s="640"/>
      <c r="U344" s="640"/>
      <c r="V344" s="640"/>
      <c r="W344" s="640"/>
      <c r="X344" s="640"/>
      <c r="Y344" s="640"/>
      <c r="Z344" s="640"/>
      <c r="AA344" s="640"/>
      <c r="AB344" s="640"/>
      <c r="AC344" s="640"/>
      <c r="AD344" s="640"/>
      <c r="AE344" s="640"/>
      <c r="AF344" s="640"/>
      <c r="AG344" s="640"/>
      <c r="AH344" s="640"/>
      <c r="AI344" s="640"/>
      <c r="AJ344" s="640"/>
      <c r="AK344" s="640"/>
      <c r="AL344" s="640"/>
      <c r="AM344" s="640"/>
      <c r="AN344" s="640"/>
      <c r="AO344" s="640"/>
      <c r="AP344" s="640"/>
      <c r="AQ344" s="640"/>
      <c r="AR344" s="640"/>
      <c r="AS344" s="640"/>
      <c r="AT344" s="640"/>
      <c r="AU344" s="640"/>
      <c r="AV344" s="640"/>
      <c r="AW344" s="640"/>
      <c r="AX344" s="640"/>
      <c r="AY344" s="640"/>
      <c r="AZ344" s="640"/>
      <c r="BA344" s="640"/>
      <c r="BB344" s="640"/>
      <c r="BC344" s="640"/>
      <c r="BD344" s="640"/>
      <c r="BE344" s="640"/>
      <c r="BF344" s="640"/>
      <c r="BG344" s="640"/>
      <c r="BH344" s="640"/>
      <c r="BI344" s="640"/>
      <c r="BJ344" s="640"/>
      <c r="BK344" s="640"/>
      <c r="BL344" s="640"/>
      <c r="BM344" s="640"/>
      <c r="BN344" s="640"/>
      <c r="BO344" s="640"/>
      <c r="BP344" s="640"/>
      <c r="BQ344" s="640"/>
      <c r="BR344" s="640"/>
      <c r="BS344" s="640"/>
      <c r="BT344" s="640"/>
      <c r="BU344" s="640"/>
      <c r="BV344" s="640"/>
      <c r="BW344" s="640"/>
      <c r="BX344" s="640"/>
      <c r="BY344" s="640"/>
      <c r="BZ344" s="640"/>
      <c r="CA344" s="640"/>
      <c r="CB344" s="640"/>
      <c r="CC344" s="640"/>
      <c r="CD344" s="640"/>
      <c r="CE344" s="640"/>
      <c r="CF344" s="640"/>
      <c r="CG344" s="640"/>
      <c r="CH344" s="640"/>
      <c r="CI344" s="640"/>
      <c r="CJ344" s="640"/>
      <c r="CK344" s="640"/>
      <c r="CL344" s="640"/>
      <c r="CM344" s="640"/>
      <c r="CN344" s="640"/>
      <c r="CO344" s="640"/>
      <c r="CP344" s="640"/>
      <c r="CQ344" s="640"/>
      <c r="CR344" s="640"/>
      <c r="CS344" s="640"/>
      <c r="CT344" s="640"/>
      <c r="CU344" s="640"/>
      <c r="CV344" s="640"/>
      <c r="CW344" s="640"/>
      <c r="CX344" s="640"/>
      <c r="CY344" s="640"/>
      <c r="CZ344" s="640"/>
      <c r="DA344" s="640"/>
      <c r="DB344" s="640"/>
      <c r="DC344" s="640"/>
      <c r="DD344" s="640"/>
      <c r="DE344" s="640"/>
      <c r="DF344" s="640"/>
      <c r="DG344" s="640"/>
      <c r="DH344" s="640"/>
      <c r="DI344" s="640"/>
      <c r="DJ344" s="640"/>
      <c r="DK344" s="640"/>
      <c r="DL344" s="640"/>
      <c r="DM344" s="640"/>
      <c r="DN344" s="640"/>
      <c r="DO344" s="640"/>
      <c r="DP344" s="640"/>
      <c r="DQ344" s="640"/>
      <c r="DR344" s="640"/>
      <c r="DS344" s="640"/>
      <c r="DT344" s="640"/>
      <c r="DU344" s="640"/>
      <c r="DV344" s="640"/>
      <c r="DW344" s="640"/>
      <c r="DX344" s="640"/>
      <c r="DY344" s="640"/>
      <c r="DZ344" s="640"/>
      <c r="EA344" s="640"/>
      <c r="EB344" s="640"/>
      <c r="EC344" s="640"/>
      <c r="ED344" s="640"/>
      <c r="EE344" s="640"/>
      <c r="EF344" s="640"/>
      <c r="EG344" s="640"/>
      <c r="EH344" s="640"/>
      <c r="EI344" s="640"/>
      <c r="EJ344" s="640"/>
      <c r="EK344" s="640"/>
      <c r="EL344" s="640"/>
      <c r="EM344" s="640"/>
      <c r="EN344" s="640"/>
      <c r="EO344" s="640"/>
      <c r="EP344" s="640"/>
      <c r="EQ344" s="640"/>
      <c r="ER344" s="640"/>
      <c r="ES344" s="640"/>
      <c r="ET344" s="640"/>
      <c r="EU344" s="640"/>
      <c r="EV344" s="640"/>
      <c r="EW344" s="640"/>
      <c r="EX344" s="640"/>
      <c r="EY344" s="640"/>
      <c r="EZ344" s="640"/>
      <c r="FA344" s="640"/>
      <c r="FB344" s="640"/>
      <c r="FC344" s="640"/>
      <c r="FD344" s="640"/>
      <c r="FE344" s="640"/>
      <c r="FF344" s="640"/>
      <c r="FG344" s="640"/>
      <c r="FH344" s="640"/>
      <c r="FI344" s="640"/>
      <c r="FJ344" s="640"/>
      <c r="FK344" s="640"/>
      <c r="FL344" s="640"/>
      <c r="FM344" s="640"/>
      <c r="FN344" s="640"/>
      <c r="FO344" s="640"/>
      <c r="FP344" s="640"/>
      <c r="FQ344" s="640"/>
      <c r="FR344" s="640"/>
      <c r="FS344" s="640"/>
      <c r="FT344" s="640"/>
      <c r="FU344" s="640"/>
      <c r="FV344" s="640"/>
      <c r="FW344" s="640"/>
      <c r="FX344" s="640"/>
      <c r="FY344" s="640"/>
      <c r="FZ344" s="640"/>
      <c r="GA344" s="640"/>
      <c r="GB344" s="640"/>
      <c r="GC344" s="640"/>
      <c r="GD344" s="640"/>
      <c r="GE344" s="640"/>
      <c r="GF344" s="640"/>
      <c r="GG344" s="640"/>
      <c r="GH344" s="640"/>
      <c r="GI344" s="640"/>
      <c r="GJ344" s="640"/>
      <c r="GK344" s="640"/>
      <c r="GL344" s="640"/>
      <c r="GM344" s="640"/>
      <c r="GN344" s="640"/>
      <c r="GO344" s="640"/>
      <c r="GP344" s="640"/>
      <c r="GQ344" s="640"/>
      <c r="GR344" s="640"/>
      <c r="GS344" s="640"/>
      <c r="GT344" s="640"/>
      <c r="GU344" s="640"/>
      <c r="GV344" s="640"/>
      <c r="GW344" s="640"/>
      <c r="GX344" s="640"/>
      <c r="GY344" s="640"/>
      <c r="GZ344" s="640"/>
      <c r="HA344" s="640"/>
      <c r="HB344" s="640"/>
      <c r="HC344" s="640"/>
      <c r="HD344" s="640"/>
      <c r="HE344" s="640"/>
      <c r="HF344" s="640"/>
      <c r="HG344" s="640"/>
      <c r="HH344" s="640"/>
      <c r="HI344" s="640"/>
      <c r="HJ344" s="640"/>
      <c r="HK344" s="640"/>
      <c r="HL344" s="640"/>
      <c r="HM344" s="640"/>
      <c r="HN344" s="640"/>
      <c r="HO344" s="640"/>
      <c r="HP344" s="640"/>
      <c r="HQ344" s="640"/>
      <c r="HR344" s="640"/>
      <c r="HS344" s="640"/>
      <c r="HT344" s="640"/>
      <c r="HU344" s="640"/>
      <c r="HV344" s="640"/>
      <c r="HW344" s="640"/>
      <c r="HX344" s="640"/>
      <c r="HY344" s="640"/>
      <c r="HZ344" s="640"/>
      <c r="IA344" s="640"/>
      <c r="IB344" s="640"/>
      <c r="IC344" s="640"/>
      <c r="ID344" s="640"/>
      <c r="IE344" s="640"/>
      <c r="IF344" s="640"/>
      <c r="IG344" s="640"/>
      <c r="IH344" s="640"/>
      <c r="II344" s="640"/>
      <c r="IJ344" s="640"/>
      <c r="IK344" s="640"/>
      <c r="IL344" s="640"/>
      <c r="IM344" s="640"/>
      <c r="IN344" s="640"/>
      <c r="IO344" s="640"/>
      <c r="IP344" s="640"/>
      <c r="IQ344" s="640"/>
      <c r="IR344" s="640"/>
      <c r="IS344" s="640"/>
      <c r="IT344" s="640"/>
      <c r="IU344" s="640"/>
      <c r="IV344" s="640"/>
      <c r="IW344" s="640"/>
      <c r="IX344" s="640"/>
      <c r="IY344" s="640"/>
      <c r="IZ344" s="640"/>
      <c r="JA344" s="640"/>
      <c r="JB344" s="640"/>
      <c r="JC344" s="640"/>
      <c r="JD344" s="640"/>
      <c r="JE344" s="640"/>
      <c r="JF344" s="640"/>
      <c r="JG344" s="640"/>
      <c r="JH344" s="640"/>
      <c r="JI344" s="640"/>
      <c r="JJ344" s="640"/>
      <c r="JK344" s="640"/>
      <c r="JL344" s="640"/>
      <c r="JM344" s="640"/>
      <c r="JN344" s="640"/>
      <c r="JO344" s="640"/>
      <c r="JP344" s="640"/>
      <c r="JQ344" s="640"/>
      <c r="JR344" s="640"/>
      <c r="JS344" s="640"/>
      <c r="JT344" s="640"/>
      <c r="JU344" s="640"/>
      <c r="JV344" s="640"/>
      <c r="JW344" s="640"/>
      <c r="JX344" s="640"/>
      <c r="JY344" s="640"/>
      <c r="JZ344" s="640"/>
      <c r="KA344" s="640"/>
      <c r="KB344" s="640"/>
      <c r="KC344" s="640"/>
      <c r="KD344" s="640"/>
      <c r="KE344" s="640"/>
      <c r="KF344" s="640"/>
      <c r="KG344" s="640"/>
      <c r="KH344" s="640"/>
      <c r="KI344" s="640"/>
      <c r="KJ344" s="640"/>
      <c r="KK344" s="640"/>
      <c r="KL344" s="640"/>
      <c r="KM344" s="640"/>
      <c r="KN344" s="640"/>
      <c r="KO344" s="640"/>
      <c r="KP344" s="640"/>
      <c r="KQ344" s="640"/>
      <c r="KR344" s="640"/>
      <c r="KS344" s="640"/>
      <c r="KT344" s="640"/>
      <c r="KU344" s="640"/>
      <c r="KV344" s="640"/>
      <c r="KW344" s="640"/>
      <c r="KX344" s="640"/>
      <c r="KY344" s="640"/>
      <c r="KZ344" s="640"/>
      <c r="LA344" s="640"/>
      <c r="LB344" s="640"/>
      <c r="LC344" s="640"/>
      <c r="LD344" s="640"/>
      <c r="LE344" s="640"/>
      <c r="LF344" s="640"/>
      <c r="LG344" s="640"/>
      <c r="LH344" s="640"/>
      <c r="LI344" s="640"/>
      <c r="LJ344" s="640"/>
      <c r="LK344" s="640"/>
      <c r="LL344" s="640"/>
      <c r="LM344" s="640"/>
      <c r="LN344" s="640"/>
      <c r="LO344" s="640"/>
      <c r="LP344" s="640"/>
      <c r="LQ344" s="640"/>
      <c r="LR344" s="640"/>
      <c r="LS344" s="640"/>
      <c r="LT344" s="640"/>
      <c r="LU344" s="640"/>
      <c r="LV344" s="640"/>
      <c r="LW344" s="640"/>
      <c r="LX344" s="640"/>
      <c r="LY344" s="640"/>
      <c r="LZ344" s="640"/>
      <c r="MA344" s="640"/>
      <c r="MB344" s="640"/>
      <c r="MC344" s="640"/>
      <c r="MD344" s="640"/>
      <c r="ME344" s="640"/>
      <c r="MF344" s="640"/>
      <c r="MG344" s="640"/>
      <c r="MH344" s="640"/>
      <c r="MI344" s="640"/>
      <c r="MJ344" s="640"/>
      <c r="MK344" s="640"/>
      <c r="ML344" s="640"/>
      <c r="MM344" s="640"/>
      <c r="MN344" s="640"/>
      <c r="MO344" s="640"/>
      <c r="MP344" s="640"/>
      <c r="MQ344" s="640"/>
      <c r="MR344" s="640"/>
      <c r="MS344" s="640"/>
      <c r="MT344" s="640"/>
      <c r="MU344" s="640"/>
      <c r="MV344" s="640"/>
      <c r="MW344" s="640"/>
      <c r="MX344" s="640"/>
      <c r="MY344" s="640"/>
      <c r="MZ344" s="640"/>
      <c r="NA344" s="640"/>
      <c r="NB344" s="640"/>
      <c r="NC344" s="640"/>
      <c r="ND344" s="640"/>
      <c r="NE344" s="640"/>
      <c r="NF344" s="640"/>
      <c r="NG344" s="640"/>
      <c r="NH344" s="640"/>
      <c r="NI344" s="640"/>
      <c r="NJ344" s="640"/>
      <c r="NK344" s="640"/>
      <c r="NL344" s="640"/>
      <c r="NM344" s="640"/>
      <c r="NN344" s="640"/>
      <c r="NO344" s="640"/>
      <c r="NP344" s="640"/>
      <c r="NQ344" s="640"/>
      <c r="NR344" s="640"/>
      <c r="NS344" s="640"/>
      <c r="NT344" s="640"/>
      <c r="NU344" s="640"/>
      <c r="NV344" s="640"/>
      <c r="NW344" s="640"/>
      <c r="NX344" s="640"/>
      <c r="NY344" s="640"/>
      <c r="NZ344" s="640"/>
      <c r="OA344" s="640"/>
      <c r="OB344" s="640"/>
      <c r="OC344" s="640"/>
      <c r="OD344" s="640"/>
      <c r="OE344" s="640"/>
      <c r="OF344" s="640"/>
      <c r="OG344" s="640"/>
      <c r="OH344" s="640"/>
      <c r="OI344" s="640"/>
      <c r="OJ344" s="640"/>
      <c r="OK344" s="640"/>
      <c r="OL344" s="640"/>
      <c r="OM344" s="640"/>
      <c r="ON344" s="640"/>
      <c r="OO344" s="640"/>
      <c r="OP344" s="640"/>
      <c r="OQ344" s="640"/>
      <c r="OR344" s="640"/>
      <c r="OS344" s="640"/>
      <c r="OT344" s="640"/>
      <c r="OU344" s="640"/>
      <c r="OV344" s="640"/>
      <c r="OW344" s="640"/>
      <c r="OX344" s="640"/>
      <c r="OY344" s="640"/>
      <c r="OZ344" s="640"/>
      <c r="PA344" s="640"/>
      <c r="PB344" s="640"/>
      <c r="PC344" s="640"/>
      <c r="PD344" s="640"/>
      <c r="PE344" s="640"/>
      <c r="PF344" s="640"/>
      <c r="PG344" s="640"/>
      <c r="PH344" s="640"/>
      <c r="PI344" s="640"/>
      <c r="PJ344" s="640"/>
      <c r="PK344" s="640"/>
      <c r="PL344" s="640"/>
      <c r="PM344" s="640"/>
      <c r="PN344" s="640"/>
      <c r="PO344" s="640"/>
      <c r="PP344" s="640"/>
      <c r="PQ344" s="640"/>
      <c r="PR344" s="640"/>
      <c r="PS344" s="640"/>
      <c r="PT344" s="640"/>
      <c r="PU344" s="640"/>
      <c r="PV344" s="640"/>
      <c r="PW344" s="640"/>
      <c r="PX344" s="640"/>
      <c r="PY344" s="640"/>
      <c r="PZ344" s="640"/>
      <c r="QA344" s="640"/>
      <c r="QB344" s="640"/>
      <c r="QC344" s="640"/>
      <c r="QD344" s="640"/>
      <c r="QE344" s="640"/>
      <c r="QF344" s="640"/>
      <c r="QG344" s="640"/>
      <c r="QH344" s="640"/>
      <c r="QI344" s="640"/>
      <c r="QJ344" s="640"/>
      <c r="QK344" s="640"/>
      <c r="QL344" s="640"/>
      <c r="QM344" s="640"/>
      <c r="QN344" s="640"/>
      <c r="QO344" s="640"/>
      <c r="QP344" s="640"/>
      <c r="QQ344" s="640"/>
      <c r="QR344" s="640"/>
      <c r="QS344" s="640"/>
      <c r="QT344" s="640"/>
      <c r="QU344" s="640"/>
      <c r="QV344" s="640"/>
      <c r="QW344" s="640"/>
      <c r="QX344" s="640"/>
      <c r="QY344" s="640"/>
      <c r="QZ344" s="640"/>
      <c r="RA344" s="640"/>
      <c r="RB344" s="640"/>
      <c r="RC344" s="640"/>
      <c r="RD344" s="640"/>
      <c r="RE344" s="640"/>
      <c r="RF344" s="640"/>
      <c r="RG344" s="640"/>
      <c r="RH344" s="640"/>
      <c r="RI344" s="640"/>
      <c r="RJ344" s="640"/>
      <c r="RK344" s="640"/>
      <c r="RL344" s="640"/>
      <c r="RM344" s="640"/>
      <c r="RN344" s="640"/>
      <c r="RO344" s="640"/>
      <c r="RP344" s="640"/>
      <c r="RQ344" s="640"/>
      <c r="RR344" s="640"/>
      <c r="RS344" s="640"/>
      <c r="RT344" s="640"/>
      <c r="RU344" s="640"/>
      <c r="RV344" s="640"/>
      <c r="RW344" s="640"/>
      <c r="RX344" s="640"/>
      <c r="RY344" s="640"/>
      <c r="RZ344" s="640"/>
      <c r="SA344" s="640"/>
      <c r="SB344" s="640"/>
      <c r="SC344" s="640"/>
      <c r="SD344" s="640"/>
      <c r="SE344" s="640"/>
      <c r="SF344" s="640"/>
      <c r="SG344" s="640"/>
      <c r="SH344" s="640"/>
      <c r="SI344" s="640"/>
      <c r="SJ344" s="640"/>
      <c r="SK344" s="640"/>
      <c r="SL344" s="640"/>
      <c r="SM344" s="640"/>
      <c r="SN344" s="640"/>
      <c r="SO344" s="640"/>
      <c r="SP344" s="640"/>
      <c r="SQ344" s="640"/>
      <c r="SR344" s="640"/>
      <c r="SS344" s="640"/>
      <c r="ST344" s="640"/>
      <c r="SU344" s="640"/>
      <c r="SV344" s="640"/>
      <c r="SW344" s="640"/>
      <c r="SX344" s="640"/>
      <c r="SY344" s="640"/>
      <c r="SZ344" s="640"/>
      <c r="TA344" s="640"/>
      <c r="TB344" s="640"/>
      <c r="TC344" s="640"/>
      <c r="TD344" s="640"/>
      <c r="TE344" s="640"/>
      <c r="TF344" s="640"/>
      <c r="TG344" s="640"/>
      <c r="TH344" s="640"/>
      <c r="TI344" s="640"/>
      <c r="TJ344" s="640"/>
      <c r="TK344" s="640"/>
      <c r="TL344" s="640"/>
      <c r="TM344" s="640"/>
      <c r="TN344" s="640"/>
      <c r="TO344" s="640"/>
      <c r="TP344" s="640"/>
      <c r="TQ344" s="640"/>
      <c r="TR344" s="640"/>
      <c r="TS344" s="640"/>
      <c r="TT344" s="640"/>
      <c r="TU344" s="640"/>
      <c r="TV344" s="640"/>
      <c r="TW344" s="640"/>
      <c r="TX344" s="640"/>
      <c r="TY344" s="640"/>
      <c r="TZ344" s="640"/>
      <c r="UA344" s="640"/>
      <c r="UB344" s="640"/>
      <c r="UC344" s="640"/>
      <c r="UD344" s="640"/>
      <c r="UE344" s="640"/>
      <c r="UF344" s="640"/>
      <c r="UG344" s="640"/>
      <c r="UH344" s="640"/>
      <c r="UI344" s="640"/>
      <c r="UJ344" s="640"/>
      <c r="UK344" s="640"/>
      <c r="UL344" s="640"/>
      <c r="UM344" s="640"/>
      <c r="UN344" s="640"/>
      <c r="UO344" s="640"/>
      <c r="UP344" s="640"/>
      <c r="UQ344" s="640"/>
      <c r="UR344" s="640"/>
      <c r="US344" s="640"/>
      <c r="UT344" s="640"/>
      <c r="UU344" s="640"/>
      <c r="UV344" s="640"/>
      <c r="UW344" s="640"/>
      <c r="UX344" s="640"/>
      <c r="UY344" s="640"/>
      <c r="UZ344" s="640"/>
      <c r="VA344" s="640"/>
      <c r="VB344" s="640"/>
      <c r="VC344" s="640"/>
      <c r="VD344" s="640"/>
      <c r="VE344" s="640"/>
      <c r="VF344" s="640"/>
      <c r="VG344" s="640"/>
      <c r="VH344" s="640"/>
      <c r="VI344" s="640"/>
      <c r="VJ344" s="640"/>
      <c r="VK344" s="640"/>
      <c r="VL344" s="640"/>
      <c r="VM344" s="640"/>
      <c r="VN344" s="640"/>
      <c r="VO344" s="640"/>
      <c r="VP344" s="640"/>
      <c r="VQ344" s="640"/>
      <c r="VR344" s="640"/>
      <c r="VS344" s="640"/>
      <c r="VT344" s="640"/>
      <c r="VU344" s="640"/>
      <c r="VV344" s="640"/>
      <c r="VW344" s="640"/>
      <c r="VX344" s="640"/>
      <c r="VY344" s="640"/>
      <c r="VZ344" s="640"/>
      <c r="WA344" s="640"/>
      <c r="WB344" s="640"/>
      <c r="WC344" s="640"/>
      <c r="WD344" s="640"/>
      <c r="WE344" s="640"/>
      <c r="WF344" s="640"/>
      <c r="WG344" s="640"/>
      <c r="WH344" s="640"/>
      <c r="WI344" s="640"/>
      <c r="WJ344" s="640"/>
      <c r="WK344" s="640"/>
      <c r="WL344" s="640"/>
      <c r="WM344" s="640"/>
      <c r="WN344" s="640"/>
      <c r="WO344" s="640"/>
      <c r="WP344" s="640"/>
      <c r="WQ344" s="640"/>
      <c r="WR344" s="640"/>
      <c r="WS344" s="640"/>
      <c r="WT344" s="640"/>
      <c r="WU344" s="640"/>
      <c r="WV344" s="640"/>
      <c r="WW344" s="640"/>
      <c r="WX344" s="640"/>
      <c r="WY344" s="640"/>
      <c r="WZ344" s="640"/>
      <c r="XA344" s="640"/>
      <c r="XB344" s="640"/>
      <c r="XC344" s="640"/>
      <c r="XD344" s="640"/>
      <c r="XE344" s="640"/>
      <c r="XF344" s="640"/>
      <c r="XG344" s="640"/>
      <c r="XH344" s="640"/>
      <c r="XI344" s="640"/>
      <c r="XJ344" s="640"/>
      <c r="XK344" s="640"/>
      <c r="XL344" s="640"/>
      <c r="XM344" s="640"/>
      <c r="XN344" s="640"/>
      <c r="XO344" s="640"/>
      <c r="XP344" s="640"/>
      <c r="XQ344" s="640"/>
      <c r="XR344" s="640"/>
      <c r="XS344" s="640"/>
      <c r="XT344" s="640"/>
      <c r="XU344" s="640"/>
      <c r="XV344" s="640"/>
      <c r="XW344" s="640"/>
      <c r="XX344" s="640"/>
      <c r="XY344" s="640"/>
      <c r="XZ344" s="640"/>
      <c r="YA344" s="640"/>
      <c r="YB344" s="640"/>
      <c r="YC344" s="640"/>
      <c r="YD344" s="640"/>
      <c r="YE344" s="640"/>
      <c r="YF344" s="640"/>
      <c r="YG344" s="640"/>
      <c r="YH344" s="640"/>
      <c r="YI344" s="640"/>
      <c r="YJ344" s="640"/>
      <c r="YK344" s="640"/>
      <c r="YL344" s="640"/>
      <c r="YM344" s="640"/>
      <c r="YN344" s="640"/>
      <c r="YO344" s="640"/>
      <c r="YP344" s="640"/>
      <c r="YQ344" s="640"/>
      <c r="YR344" s="640"/>
      <c r="YS344" s="640"/>
      <c r="YT344" s="640"/>
      <c r="YU344" s="640"/>
      <c r="YV344" s="640"/>
      <c r="YW344" s="640"/>
      <c r="YX344" s="640"/>
      <c r="YY344" s="640"/>
      <c r="YZ344" s="640"/>
      <c r="ZA344" s="640"/>
      <c r="ZB344" s="640"/>
      <c r="ZC344" s="640"/>
      <c r="ZD344" s="640"/>
      <c r="ZE344" s="640"/>
      <c r="ZF344" s="640"/>
      <c r="ZG344" s="640"/>
      <c r="ZH344" s="640"/>
      <c r="ZI344" s="640"/>
      <c r="ZJ344" s="640"/>
      <c r="ZK344" s="640"/>
      <c r="ZL344" s="640"/>
      <c r="ZM344" s="640"/>
      <c r="ZN344" s="640"/>
      <c r="ZO344" s="640"/>
      <c r="ZP344" s="640"/>
      <c r="ZQ344" s="640"/>
      <c r="ZR344" s="640"/>
      <c r="ZS344" s="640"/>
      <c r="ZT344" s="640"/>
      <c r="ZU344" s="640"/>
      <c r="ZV344" s="640"/>
      <c r="ZW344" s="640"/>
      <c r="ZX344" s="640"/>
      <c r="ZY344" s="50"/>
      <c r="ZZ344" s="50"/>
      <c r="AAA344" s="587"/>
      <c r="AAD344" s="112"/>
      <c r="AAE344" s="550">
        <f t="shared" ref="AAE344:AAE372" si="951">IF(AND(S.InvolveNotice=TRUE,S.InvolveHearing=TRUE),1,0)</f>
        <v>1</v>
      </c>
      <c r="AAF344" s="583"/>
      <c r="AAG344" s="78">
        <f>S.BANNER.HearingStart</f>
        <v>41481</v>
      </c>
      <c r="AAH344" s="78">
        <f>S.FirstHearingDate</f>
        <v>41533</v>
      </c>
      <c r="AAI344" s="77"/>
      <c r="AAJ344" s="77"/>
      <c r="AAK344" s="77"/>
      <c r="AAL344" s="57"/>
      <c r="AAM344" s="112"/>
      <c r="AAN344"/>
      <c r="AAT344" s="23"/>
      <c r="AAU344" s="44"/>
    </row>
    <row r="345" spans="1:732" ht="15" customHeight="1" outlineLevel="1">
      <c r="A345" s="557"/>
      <c r="B345" s="346" t="s">
        <v>44</v>
      </c>
      <c r="C345" s="168"/>
      <c r="D345" s="294"/>
      <c r="E345" s="449"/>
      <c r="F345" s="449"/>
      <c r="G345" s="450"/>
      <c r="H345" s="450"/>
      <c r="I345" s="587"/>
      <c r="J345" s="591"/>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7"/>
      <c r="ZZ345" s="36"/>
      <c r="AAA345" s="587"/>
      <c r="AAD345" s="112"/>
      <c r="AAE345" s="550">
        <f t="shared" si="951"/>
        <v>1</v>
      </c>
      <c r="AAF345" s="582" t="s">
        <v>172</v>
      </c>
      <c r="AAG345" s="76"/>
      <c r="AAH345" s="76"/>
      <c r="AAI345" s="77"/>
      <c r="AAJ345" s="77"/>
      <c r="AAK345" s="77"/>
      <c r="AAL345" s="57"/>
      <c r="AAM345" s="112"/>
      <c r="AAN345"/>
      <c r="AAT345" s="23"/>
      <c r="AAU345" s="44"/>
    </row>
    <row r="346" spans="1:732" ht="15" customHeight="1" outlineLevel="1">
      <c r="A346" s="557"/>
      <c r="B346" s="346" t="s">
        <v>43</v>
      </c>
      <c r="C346" s="231" t="s">
        <v>70</v>
      </c>
      <c r="D346" s="145"/>
      <c r="E346" s="400"/>
      <c r="F346" s="400"/>
      <c r="G346" s="401"/>
      <c r="H346" s="401"/>
      <c r="I346" s="587"/>
      <c r="J346" s="591"/>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7"/>
      <c r="ZZ346" s="36"/>
      <c r="AAA346" s="587"/>
      <c r="AAD346" s="112"/>
      <c r="AAE346" s="550">
        <f t="shared" si="951"/>
        <v>1</v>
      </c>
      <c r="AAF346" s="582" t="s">
        <v>172</v>
      </c>
      <c r="AAG346" s="76"/>
      <c r="AAH346" s="76"/>
      <c r="AAI346" s="77"/>
      <c r="AAJ346" s="77"/>
      <c r="AAK346" s="77"/>
      <c r="AAL346" s="57"/>
      <c r="AAM346" s="112"/>
      <c r="AAN346"/>
      <c r="AAT346" s="23"/>
      <c r="AAU346" s="44"/>
    </row>
    <row r="347" spans="1:732" ht="15" customHeight="1" outlineLevel="1">
      <c r="A347" s="557"/>
      <c r="B347" s="437" t="s">
        <v>153</v>
      </c>
      <c r="C347" s="296"/>
      <c r="D347" s="277" t="s">
        <v>358</v>
      </c>
      <c r="E347" s="447">
        <f>NETWORKDAYS(G347,H347,S.DDL_DEQClosed)</f>
        <v>36</v>
      </c>
      <c r="F347" s="490">
        <f ca="1">NETWORKDAYS(TODAY(),H347)</f>
        <v>36</v>
      </c>
      <c r="G347" s="448">
        <f>AAG347</f>
        <v>41481</v>
      </c>
      <c r="H347" s="448">
        <f>AAH347</f>
        <v>41533</v>
      </c>
      <c r="I347" s="626"/>
      <c r="J347" s="591"/>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7"/>
      <c r="AAD347" s="112"/>
      <c r="AAE347" s="550">
        <f t="shared" si="951"/>
        <v>1</v>
      </c>
      <c r="AAF347" s="112"/>
      <c r="AAG347" s="78">
        <f>S.BANNER.HearingStart</f>
        <v>41481</v>
      </c>
      <c r="AAH347" s="78">
        <f>S.FirstHearingDate</f>
        <v>41533</v>
      </c>
      <c r="AAI347" s="77"/>
      <c r="AAJ347" s="77"/>
      <c r="AAK347" s="77"/>
      <c r="AAL347" s="57"/>
      <c r="AAM347" s="112"/>
      <c r="AAN347"/>
      <c r="AAT347" s="23"/>
      <c r="AAU347" s="44"/>
    </row>
    <row r="348" spans="1:732" ht="15" customHeight="1" outlineLevel="1">
      <c r="A348" s="557"/>
      <c r="B348" s="438" t="s">
        <v>124</v>
      </c>
      <c r="C348" s="717"/>
      <c r="D348" s="145"/>
      <c r="E348" s="400"/>
      <c r="F348" s="400"/>
      <c r="G348" s="401"/>
      <c r="H348" s="401"/>
      <c r="I348" s="587"/>
      <c r="J348" s="591"/>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7"/>
      <c r="ZZ348" s="36"/>
      <c r="AAA348" s="587"/>
      <c r="AAD348" s="112"/>
      <c r="AAE348" s="550">
        <f t="shared" si="951"/>
        <v>1</v>
      </c>
      <c r="AAF348" s="582" t="s">
        <v>172</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7"/>
      <c r="B349" s="439" t="str">
        <f>AAL348</f>
        <v>Develop HEARING.TEXT</v>
      </c>
      <c r="C349" s="297"/>
      <c r="D349" s="145"/>
      <c r="E349" s="400"/>
      <c r="F349" s="400"/>
      <c r="G349" s="401"/>
      <c r="H349" s="401"/>
      <c r="I349" s="587"/>
      <c r="J349" s="591"/>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7"/>
      <c r="ZZ349" s="36"/>
      <c r="AAA349" s="587"/>
      <c r="AAD349" s="112"/>
      <c r="AAE349" s="550">
        <f t="shared" si="951"/>
        <v>1</v>
      </c>
      <c r="AAF349" s="582" t="s">
        <v>172</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7"/>
      <c r="B350" s="440" t="str">
        <f>AAL349</f>
        <v>Develop HEARING.MESSAGE.MAP</v>
      </c>
      <c r="C350" s="295" t="s">
        <v>70</v>
      </c>
      <c r="D350" s="145"/>
      <c r="E350" s="400"/>
      <c r="F350" s="400"/>
      <c r="G350" s="401"/>
      <c r="H350" s="401"/>
      <c r="I350" s="587"/>
      <c r="J350" s="591"/>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7"/>
      <c r="ZZ350" s="36"/>
      <c r="AAA350" s="587"/>
      <c r="AAB350"/>
      <c r="AAC350"/>
      <c r="AAD350" s="112"/>
      <c r="AAE350" s="550">
        <f t="shared" si="951"/>
        <v>1</v>
      </c>
      <c r="AAF350" s="582" t="s">
        <v>172</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7"/>
      <c r="B351" s="441" t="str">
        <f>AAL350</f>
        <v>Develop HEARING.PRESENTATION</v>
      </c>
      <c r="C351" s="297"/>
      <c r="D351" s="145"/>
      <c r="E351" s="400"/>
      <c r="F351" s="400"/>
      <c r="G351" s="401"/>
      <c r="H351" s="401"/>
      <c r="I351" s="587"/>
      <c r="J351" s="591"/>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7"/>
      <c r="ZZ351" s="36"/>
      <c r="AAA351" s="587"/>
      <c r="AAD351" s="112"/>
      <c r="AAE351" s="550">
        <f t="shared" si="951"/>
        <v>1</v>
      </c>
      <c r="AAF351" s="582" t="s">
        <v>172</v>
      </c>
      <c r="AAG351" s="76"/>
      <c r="AAH351" s="76"/>
      <c r="AAI351" s="77"/>
      <c r="AAJ351" s="77"/>
      <c r="AAK351" s="77"/>
      <c r="AAL351" s="57"/>
      <c r="AAM351" s="112"/>
      <c r="AAN351"/>
      <c r="AAT351" s="23"/>
      <c r="AAU351" s="44"/>
    </row>
    <row r="352" spans="1:732" ht="15" customHeight="1" outlineLevel="1">
      <c r="A352" s="557"/>
      <c r="B352" s="440" t="s">
        <v>123</v>
      </c>
      <c r="C352" s="297"/>
      <c r="D352" s="195" t="s">
        <v>0</v>
      </c>
      <c r="E352" s="345" t="s">
        <v>0</v>
      </c>
      <c r="F352" s="366" t="s">
        <v>0</v>
      </c>
      <c r="G352" s="401"/>
      <c r="H352" s="401"/>
      <c r="I352" s="587"/>
      <c r="J352" s="591"/>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7"/>
      <c r="ZZ352" s="36"/>
      <c r="AAA352" s="587"/>
      <c r="AAD352" s="112"/>
      <c r="AAE352" s="550">
        <f t="shared" si="951"/>
        <v>1</v>
      </c>
      <c r="AAF352" s="582" t="s">
        <v>172</v>
      </c>
      <c r="AAG352" s="76"/>
      <c r="AAH352" s="76"/>
      <c r="AAI352" s="77"/>
      <c r="AAJ352" s="77"/>
      <c r="AAK352" s="77"/>
      <c r="AAL352" s="57"/>
      <c r="AAM352" s="112"/>
      <c r="AAN352"/>
      <c r="AAT352" s="23"/>
      <c r="AAU352" s="44"/>
    </row>
    <row r="353" spans="1:723" ht="15" customHeight="1" outlineLevel="1">
      <c r="A353" s="557"/>
      <c r="B353" s="442" t="s">
        <v>29</v>
      </c>
      <c r="C353" s="297"/>
      <c r="D353" s="279" t="s">
        <v>358</v>
      </c>
      <c r="E353" s="368">
        <f t="shared" ref="E353:E357" si="952">NETWORKDAYS(G353,H353,S.DDL_DEQClosed)</f>
        <v>1</v>
      </c>
      <c r="F353" s="490">
        <f t="shared" ref="F353:F357" ca="1" si="953">NETWORKDAYS(TODAY(),H353)</f>
        <v>-2</v>
      </c>
      <c r="G353" s="448">
        <f>AAG353</f>
        <v>41481</v>
      </c>
      <c r="H353" s="448">
        <f>AAH353</f>
        <v>41481</v>
      </c>
      <c r="I353" s="626"/>
      <c r="J353" s="590"/>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7"/>
      <c r="AAD353" s="112"/>
      <c r="AAE353" s="550">
        <f t="shared" si="951"/>
        <v>1</v>
      </c>
      <c r="AAF353" s="112"/>
      <c r="AAG353" s="78">
        <f>G347</f>
        <v>41481</v>
      </c>
      <c r="AAH353" s="78">
        <f>G353</f>
        <v>41481</v>
      </c>
      <c r="AAI353" s="77"/>
      <c r="AAJ353" s="77"/>
      <c r="AAK353" s="77"/>
      <c r="AAL353" s="56"/>
      <c r="AAM353" s="112"/>
      <c r="AAN353"/>
      <c r="AAT353" s="23"/>
      <c r="AAU353" s="44"/>
    </row>
    <row r="354" spans="1:723" ht="15" customHeight="1" outlineLevel="1">
      <c r="A354" s="557"/>
      <c r="B354" s="443" t="s">
        <v>82</v>
      </c>
      <c r="C354" s="297"/>
      <c r="D354" s="279" t="s">
        <v>358</v>
      </c>
      <c r="E354" s="368">
        <f t="shared" si="952"/>
        <v>1</v>
      </c>
      <c r="F354" s="490">
        <f t="shared" ca="1" si="953"/>
        <v>-2</v>
      </c>
      <c r="G354" s="448">
        <f t="shared" ref="G354:H357" si="954">AAG354</f>
        <v>41481</v>
      </c>
      <c r="H354" s="448">
        <f t="shared" si="954"/>
        <v>41481</v>
      </c>
      <c r="I354" s="626"/>
      <c r="J354" s="591"/>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7"/>
      <c r="AAD354" s="112"/>
      <c r="AAE354" s="550">
        <f t="shared" si="951"/>
        <v>1</v>
      </c>
      <c r="AAF354" s="112"/>
      <c r="AAG354" s="78">
        <f t="shared" ref="AAG354:AAG357" si="955">H353</f>
        <v>41481</v>
      </c>
      <c r="AAH354" s="78">
        <f t="shared" ref="AAH354:AAH357" si="956">G354</f>
        <v>41481</v>
      </c>
      <c r="AAI354" s="77"/>
      <c r="AAJ354" s="77"/>
      <c r="AAK354" s="77"/>
      <c r="AAL354" s="57"/>
      <c r="AAM354" s="112"/>
      <c r="AAN354"/>
      <c r="AAT354" s="23"/>
      <c r="AAU354" s="44"/>
    </row>
    <row r="355" spans="1:723" ht="15" customHeight="1" outlineLevel="1">
      <c r="A355" s="557"/>
      <c r="B355" s="444" t="s">
        <v>83</v>
      </c>
      <c r="C355" s="297"/>
      <c r="D355" s="279" t="s">
        <v>358</v>
      </c>
      <c r="E355" s="368">
        <f t="shared" si="952"/>
        <v>1</v>
      </c>
      <c r="F355" s="490">
        <f t="shared" ca="1" si="953"/>
        <v>-2</v>
      </c>
      <c r="G355" s="448">
        <f t="shared" si="954"/>
        <v>41481</v>
      </c>
      <c r="H355" s="448">
        <f t="shared" si="954"/>
        <v>41481</v>
      </c>
      <c r="I355" s="626"/>
      <c r="J355" s="591"/>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7"/>
      <c r="AAD355" s="112"/>
      <c r="AAE355" s="550">
        <f t="shared" si="951"/>
        <v>1</v>
      </c>
      <c r="AAF355" s="112"/>
      <c r="AAG355" s="78">
        <f t="shared" si="955"/>
        <v>41481</v>
      </c>
      <c r="AAH355" s="78">
        <f t="shared" si="956"/>
        <v>41481</v>
      </c>
      <c r="AAI355" s="77"/>
      <c r="AAJ355" s="77"/>
      <c r="AAK355" s="77"/>
      <c r="AAL355" s="57"/>
      <c r="AAM355" s="112"/>
      <c r="AAN355"/>
      <c r="AAT355" s="23"/>
      <c r="AAU355" s="44"/>
    </row>
    <row r="356" spans="1:723" ht="15" customHeight="1" outlineLevel="1">
      <c r="A356" s="557"/>
      <c r="B356" s="445" t="s">
        <v>84</v>
      </c>
      <c r="C356" s="297"/>
      <c r="D356" s="279" t="s">
        <v>358</v>
      </c>
      <c r="E356" s="368">
        <f t="shared" si="952"/>
        <v>1</v>
      </c>
      <c r="F356" s="490">
        <f t="shared" ca="1" si="953"/>
        <v>-2</v>
      </c>
      <c r="G356" s="448">
        <f t="shared" si="954"/>
        <v>41481</v>
      </c>
      <c r="H356" s="448">
        <f t="shared" si="954"/>
        <v>41481</v>
      </c>
      <c r="I356" s="626"/>
      <c r="J356" s="591"/>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7"/>
      <c r="AAD356" s="112"/>
      <c r="AAE356" s="550">
        <f t="shared" si="951"/>
        <v>1</v>
      </c>
      <c r="AAF356" s="112"/>
      <c r="AAG356" s="78">
        <f t="shared" si="955"/>
        <v>41481</v>
      </c>
      <c r="AAH356" s="78">
        <f t="shared" si="956"/>
        <v>41481</v>
      </c>
      <c r="AAI356" s="77"/>
      <c r="AAJ356" s="77"/>
      <c r="AAK356" s="77"/>
      <c r="AAL356" s="57"/>
      <c r="AAM356" s="112"/>
      <c r="AAN356"/>
      <c r="AAT356" s="23"/>
      <c r="AAU356" s="44"/>
    </row>
    <row r="357" spans="1:723" ht="15" customHeight="1" outlineLevel="1">
      <c r="A357" s="557"/>
      <c r="B357" s="446" t="s">
        <v>85</v>
      </c>
      <c r="C357" s="297"/>
      <c r="D357" s="279" t="s">
        <v>358</v>
      </c>
      <c r="E357" s="368">
        <f t="shared" si="952"/>
        <v>1</v>
      </c>
      <c r="F357" s="490">
        <f t="shared" ca="1" si="953"/>
        <v>-2</v>
      </c>
      <c r="G357" s="448">
        <f t="shared" si="954"/>
        <v>41481</v>
      </c>
      <c r="H357" s="448">
        <f t="shared" si="954"/>
        <v>41481</v>
      </c>
      <c r="I357" s="626"/>
      <c r="J357" s="591"/>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7"/>
      <c r="AAD357" s="112"/>
      <c r="AAE357" s="550">
        <f t="shared" si="951"/>
        <v>1</v>
      </c>
      <c r="AAF357" s="112"/>
      <c r="AAG357" s="78">
        <f t="shared" si="955"/>
        <v>41481</v>
      </c>
      <c r="AAH357" s="78">
        <f t="shared" si="956"/>
        <v>41481</v>
      </c>
      <c r="AAI357" s="77"/>
      <c r="AAJ357" s="77"/>
      <c r="AAK357" s="77"/>
      <c r="AAL357" s="57"/>
      <c r="AAM357" s="112"/>
      <c r="AAN357"/>
      <c r="AAT357" s="23"/>
      <c r="AAU357" s="44"/>
    </row>
    <row r="358" spans="1:723" ht="87.75" customHeight="1" outlineLevel="1">
      <c r="A358" s="557"/>
      <c r="B358" s="742" t="s">
        <v>338</v>
      </c>
      <c r="C358" s="742"/>
      <c r="D358" s="742"/>
      <c r="E358" s="742"/>
      <c r="F358" s="742"/>
      <c r="G358" s="742"/>
      <c r="H358" s="742"/>
      <c r="I358" s="587"/>
      <c r="J358" s="591"/>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7"/>
      <c r="ZZ358" s="36"/>
      <c r="AAA358" s="587"/>
      <c r="AAD358" s="112"/>
      <c r="AAE358" s="550">
        <f t="shared" si="951"/>
        <v>1</v>
      </c>
      <c r="AAF358" s="582" t="s">
        <v>172</v>
      </c>
      <c r="AAG358" s="63"/>
      <c r="AAH358" s="63"/>
      <c r="AAI358" s="77"/>
      <c r="AAJ358" s="77"/>
      <c r="AAK358" s="77"/>
      <c r="AAL358" s="57"/>
      <c r="AAM358" s="112"/>
      <c r="AAN358"/>
      <c r="AAT358" s="23"/>
      <c r="AAU358" s="44"/>
    </row>
    <row r="359" spans="1:723" ht="15" customHeight="1" outlineLevel="1">
      <c r="A359" s="557"/>
      <c r="B359" s="456" t="s">
        <v>21</v>
      </c>
      <c r="C359" s="718"/>
      <c r="D359" s="197"/>
      <c r="E359" s="123"/>
      <c r="F359" s="124"/>
      <c r="G359" s="196"/>
      <c r="H359" s="196"/>
      <c r="I359" s="587"/>
      <c r="J359" s="590"/>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6"/>
      <c r="ZZ359" s="621"/>
      <c r="AAA359" s="587"/>
      <c r="AAD359" s="112"/>
      <c r="AAE359" s="550">
        <f t="shared" si="951"/>
        <v>1</v>
      </c>
      <c r="AAF359" s="582" t="s">
        <v>172</v>
      </c>
      <c r="AAG359" s="63"/>
      <c r="AAH359" s="63"/>
      <c r="AAI359" s="77"/>
      <c r="AAJ359" s="77"/>
      <c r="AAK359" s="77"/>
      <c r="AAL359" s="56"/>
      <c r="AAM359" s="112"/>
      <c r="AAN359"/>
      <c r="AAT359" s="23"/>
      <c r="AAU359" s="44"/>
    </row>
    <row r="360" spans="1:723" ht="15" customHeight="1" outlineLevel="1">
      <c r="A360" s="557"/>
      <c r="B360" s="457" t="s">
        <v>97</v>
      </c>
      <c r="C360" s="458"/>
      <c r="D360" s="277" t="s">
        <v>372</v>
      </c>
      <c r="E360" s="368">
        <f>NETWORKDAYS(G360,H360,S.DDL_DEQClosed)</f>
        <v>1</v>
      </c>
      <c r="F360" s="490">
        <f ca="1">NETWORKDAYS(TODAY(),H360)</f>
        <v>-2</v>
      </c>
      <c r="G360" s="448">
        <f t="shared" ref="G360:H360" si="957">AAG360</f>
        <v>41481</v>
      </c>
      <c r="H360" s="448">
        <f t="shared" si="957"/>
        <v>41481</v>
      </c>
      <c r="I360" s="626"/>
      <c r="J360" s="591"/>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7"/>
      <c r="AAD360" s="112"/>
      <c r="AAE360" s="550">
        <f t="shared" si="951"/>
        <v>1</v>
      </c>
      <c r="AAF360" s="112"/>
      <c r="AAG360" s="78">
        <f>H357</f>
        <v>41481</v>
      </c>
      <c r="AAH360" s="78">
        <f>G360</f>
        <v>41481</v>
      </c>
      <c r="AAI360" s="77"/>
      <c r="AAJ360" s="77"/>
      <c r="AAK360" s="77"/>
      <c r="AAL360" s="57"/>
      <c r="AAM360" s="112"/>
      <c r="AAN360"/>
      <c r="AAT360" s="23"/>
      <c r="AAU360" s="44"/>
    </row>
    <row r="361" spans="1:723" ht="15" customHeight="1" outlineLevel="1">
      <c r="A361" s="557"/>
      <c r="B361" s="459" t="s">
        <v>163</v>
      </c>
      <c r="C361" s="719"/>
      <c r="D361" s="195"/>
      <c r="E361" s="345"/>
      <c r="F361" s="366"/>
      <c r="G361" s="451"/>
      <c r="H361" s="367"/>
      <c r="I361" s="587"/>
      <c r="J361" s="591"/>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7"/>
      <c r="ZZ361" s="36"/>
      <c r="AAA361" s="587"/>
      <c r="AAD361" s="112"/>
      <c r="AAE361" s="550">
        <f t="shared" si="951"/>
        <v>1</v>
      </c>
      <c r="AAF361" s="582" t="s">
        <v>172</v>
      </c>
      <c r="AAG361" s="63"/>
      <c r="AAH361" s="63"/>
      <c r="AAI361" s="77"/>
      <c r="AAJ361" s="77"/>
      <c r="AAK361" s="77"/>
      <c r="AAL361" s="57"/>
      <c r="AAM361" s="112"/>
      <c r="AAN361"/>
      <c r="AAT361" s="23"/>
      <c r="AAU361" s="44"/>
    </row>
    <row r="362" spans="1:723" ht="15" customHeight="1" outlineLevel="1">
      <c r="A362" s="557"/>
      <c r="B362" s="743" t="str">
        <f t="shared" ref="B362" si="958">AAL362</f>
        <v>Hold hearings (change dates under Overview of Key Dates)</v>
      </c>
      <c r="C362" s="744"/>
      <c r="D362" s="298"/>
      <c r="E362" s="452"/>
      <c r="F362" s="453"/>
      <c r="G362" s="401"/>
      <c r="H362" s="401"/>
      <c r="I362" s="587"/>
      <c r="J362" s="591"/>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7"/>
      <c r="ZZ362" s="36"/>
      <c r="AAA362" s="587"/>
      <c r="AAD362" s="112"/>
      <c r="AAE362" s="550">
        <f t="shared" si="951"/>
        <v>1</v>
      </c>
      <c r="AAF362" s="582" t="s">
        <v>172</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7"/>
      <c r="B363" s="410" t="str">
        <f>S.FirstHearingCity&amp;" hearing"</f>
        <v>Portland hearing</v>
      </c>
      <c r="C363" s="347"/>
      <c r="D363" s="277" t="s">
        <v>361</v>
      </c>
      <c r="E363" s="368">
        <f t="shared" ref="E363:E371" si="959">NETWORKDAYS(G363,H363,S.DDL_DEQClosed)</f>
        <v>1</v>
      </c>
      <c r="F363" s="490">
        <f t="shared" ref="F363:F371" ca="1" si="960">NETWORKDAYS(TODAY(),H363)</f>
        <v>36</v>
      </c>
      <c r="G363" s="454">
        <f>S.FirstHearingDate</f>
        <v>41533</v>
      </c>
      <c r="H363" s="455">
        <f>S.FirstHearingDate</f>
        <v>41533</v>
      </c>
      <c r="I363" s="626"/>
      <c r="J363" s="591"/>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7"/>
      <c r="AAD363" s="112"/>
      <c r="AAE363" s="550">
        <f t="shared" si="951"/>
        <v>1</v>
      </c>
      <c r="AAF363" s="112"/>
      <c r="AAG363" s="93"/>
      <c r="AAH363" s="93"/>
      <c r="AAI363" s="77"/>
      <c r="AAJ363" s="77"/>
      <c r="AAK363" s="77"/>
      <c r="AAL363" s="80"/>
      <c r="AAM363" s="112"/>
      <c r="AAN363"/>
      <c r="AAT363" s="23"/>
      <c r="AAU363" s="44"/>
    </row>
    <row r="364" spans="1:723" ht="15" hidden="1" customHeight="1" outlineLevel="2">
      <c r="A364" s="557"/>
      <c r="B364" s="409" t="str">
        <f>S.2ndHearingCity&amp;" hearing"</f>
        <v>Enter city name hearing</v>
      </c>
      <c r="C364" s="347"/>
      <c r="D364" s="277" t="s">
        <v>361</v>
      </c>
      <c r="E364" s="368">
        <f t="shared" si="959"/>
        <v>1</v>
      </c>
      <c r="F364" s="490">
        <f t="shared" ca="1" si="960"/>
        <v>36</v>
      </c>
      <c r="G364" s="454">
        <f>S.2ndHearingDate</f>
        <v>41533</v>
      </c>
      <c r="H364" s="455">
        <f>S.2ndHearingDate</f>
        <v>41533</v>
      </c>
      <c r="I364" s="626"/>
      <c r="J364" s="591"/>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7"/>
      <c r="AAD364" s="112"/>
      <c r="AAE364" s="550">
        <f t="shared" si="951"/>
        <v>1</v>
      </c>
      <c r="AAF364" s="112"/>
      <c r="AAG364" s="93"/>
      <c r="AAH364" s="93"/>
      <c r="AAI364" s="77"/>
      <c r="AAJ364" s="77"/>
      <c r="AAK364" s="77"/>
      <c r="AAL364" s="80"/>
      <c r="AAM364" s="112"/>
      <c r="AAN364"/>
      <c r="AAT364" s="23"/>
      <c r="AAU364" s="44"/>
    </row>
    <row r="365" spans="1:723" ht="15" hidden="1" customHeight="1" outlineLevel="2">
      <c r="A365" s="557"/>
      <c r="B365" s="409" t="str">
        <f>S.3rdHearingCity&amp;" hearing"</f>
        <v>Enter city name hearing</v>
      </c>
      <c r="C365" s="347"/>
      <c r="D365" s="277" t="s">
        <v>361</v>
      </c>
      <c r="E365" s="368">
        <f t="shared" si="959"/>
        <v>1</v>
      </c>
      <c r="F365" s="490">
        <f t="shared" ca="1" si="960"/>
        <v>36</v>
      </c>
      <c r="G365" s="454">
        <f>S.3rdHearingDate</f>
        <v>41533</v>
      </c>
      <c r="H365" s="455">
        <f>S.3rdHearingDate</f>
        <v>41533</v>
      </c>
      <c r="I365" s="626"/>
      <c r="J365" s="591"/>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7"/>
      <c r="AAD365" s="112"/>
      <c r="AAE365" s="550">
        <f t="shared" si="951"/>
        <v>1</v>
      </c>
      <c r="AAF365" s="112"/>
      <c r="AAG365" s="93"/>
      <c r="AAH365" s="93"/>
      <c r="AAI365" s="77"/>
      <c r="AAJ365" s="77"/>
      <c r="AAK365" s="77"/>
      <c r="AAL365" s="80"/>
      <c r="AAM365" s="112"/>
      <c r="AAN365"/>
      <c r="AAT365" s="23"/>
      <c r="AAU365" s="44"/>
    </row>
    <row r="366" spans="1:723" ht="15" hidden="1" customHeight="1" outlineLevel="2">
      <c r="A366" s="557"/>
      <c r="B366" s="409" t="str">
        <f>S.4thHearingCity&amp;" hearing"</f>
        <v>Enter city name hearing</v>
      </c>
      <c r="C366" s="347"/>
      <c r="D366" s="277" t="s">
        <v>361</v>
      </c>
      <c r="E366" s="368">
        <f t="shared" si="959"/>
        <v>1</v>
      </c>
      <c r="F366" s="490">
        <f t="shared" ca="1" si="960"/>
        <v>36</v>
      </c>
      <c r="G366" s="454">
        <f>S.4thHearingDate</f>
        <v>41533</v>
      </c>
      <c r="H366" s="455">
        <f>S.4thHearingDate</f>
        <v>41533</v>
      </c>
      <c r="I366" s="626"/>
      <c r="J366" s="591"/>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7"/>
      <c r="AAD366" s="112"/>
      <c r="AAE366" s="550">
        <f t="shared" si="951"/>
        <v>1</v>
      </c>
      <c r="AAF366" s="112"/>
      <c r="AAG366" s="93"/>
      <c r="AAH366" s="93"/>
      <c r="AAI366" s="77"/>
      <c r="AAJ366" s="77"/>
      <c r="AAK366" s="77"/>
      <c r="AAL366" s="80"/>
      <c r="AAM366" s="112"/>
      <c r="AAN366"/>
      <c r="AAT366" s="23"/>
      <c r="AAU366" s="44"/>
    </row>
    <row r="367" spans="1:723" ht="15" hidden="1" customHeight="1" outlineLevel="2">
      <c r="A367" s="557"/>
      <c r="B367" s="409" t="str">
        <f>S.5thHearingCity&amp;" hearing"</f>
        <v>Enter city name hearing</v>
      </c>
      <c r="C367" s="347"/>
      <c r="D367" s="277" t="s">
        <v>361</v>
      </c>
      <c r="E367" s="368">
        <f t="shared" si="959"/>
        <v>1</v>
      </c>
      <c r="F367" s="490">
        <f t="shared" ca="1" si="960"/>
        <v>36</v>
      </c>
      <c r="G367" s="454">
        <f>S.5thHearingDate</f>
        <v>41533</v>
      </c>
      <c r="H367" s="455">
        <f>S.5thHearingDate</f>
        <v>41533</v>
      </c>
      <c r="I367" s="626"/>
      <c r="J367" s="591"/>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7"/>
      <c r="AAD367" s="112"/>
      <c r="AAE367" s="550">
        <f t="shared" si="951"/>
        <v>1</v>
      </c>
      <c r="AAF367" s="112"/>
      <c r="AAG367" s="93"/>
      <c r="AAH367" s="93"/>
      <c r="AAI367" s="77"/>
      <c r="AAJ367" s="77"/>
      <c r="AAK367" s="77"/>
      <c r="AAL367" s="80"/>
      <c r="AAM367" s="112"/>
      <c r="AAN367"/>
      <c r="AAT367" s="23"/>
      <c r="AAU367" s="44"/>
    </row>
    <row r="368" spans="1:723" ht="15" hidden="1" customHeight="1" outlineLevel="2">
      <c r="A368" s="557"/>
      <c r="B368" s="409" t="str">
        <f>S.6thHearingCity&amp;" hearing"</f>
        <v>Enter city name hearing</v>
      </c>
      <c r="C368" s="347"/>
      <c r="D368" s="277" t="s">
        <v>361</v>
      </c>
      <c r="E368" s="368">
        <f t="shared" si="959"/>
        <v>1</v>
      </c>
      <c r="F368" s="490">
        <f t="shared" ca="1" si="960"/>
        <v>36</v>
      </c>
      <c r="G368" s="454">
        <f>S.6thHearingDate</f>
        <v>41533</v>
      </c>
      <c r="H368" s="455">
        <f>S.6thHearingDate</f>
        <v>41533</v>
      </c>
      <c r="I368" s="626"/>
      <c r="J368" s="591"/>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7"/>
      <c r="AAD368" s="112"/>
      <c r="AAE368" s="550">
        <f t="shared" si="951"/>
        <v>1</v>
      </c>
      <c r="AAF368" s="112"/>
      <c r="AAG368" s="93"/>
      <c r="AAH368" s="93"/>
      <c r="AAI368" s="77"/>
      <c r="AAJ368" s="77"/>
      <c r="AAK368" s="77"/>
      <c r="AAL368" s="80"/>
      <c r="AAM368" s="112"/>
      <c r="AAN368"/>
      <c r="AAT368" s="23"/>
      <c r="AAU368" s="44"/>
    </row>
    <row r="369" spans="1:732" ht="15" hidden="1" customHeight="1" outlineLevel="2">
      <c r="A369" s="557"/>
      <c r="B369" s="409" t="str">
        <f>S.7thHearingCity&amp;" hearing"</f>
        <v>Enter city name hearing</v>
      </c>
      <c r="C369" s="347"/>
      <c r="D369" s="277" t="s">
        <v>361</v>
      </c>
      <c r="E369" s="368">
        <f t="shared" si="959"/>
        <v>1</v>
      </c>
      <c r="F369" s="490">
        <f t="shared" ca="1" si="960"/>
        <v>36</v>
      </c>
      <c r="G369" s="454">
        <f>S.7thHearingDate</f>
        <v>41533</v>
      </c>
      <c r="H369" s="455">
        <f>S.7thHearingDate</f>
        <v>41533</v>
      </c>
      <c r="I369" s="626"/>
      <c r="J369" s="591"/>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7"/>
      <c r="AAD369" s="112"/>
      <c r="AAE369" s="550">
        <f t="shared" si="951"/>
        <v>1</v>
      </c>
      <c r="AAF369" s="112"/>
      <c r="AAG369" s="93"/>
      <c r="AAH369" s="93"/>
      <c r="AAI369" s="77"/>
      <c r="AAJ369" s="77"/>
      <c r="AAK369" s="77"/>
      <c r="AAL369" s="80"/>
      <c r="AAM369" s="112"/>
      <c r="AAN369"/>
      <c r="AAT369" s="23"/>
      <c r="AAU369" s="44"/>
    </row>
    <row r="370" spans="1:732" ht="15" hidden="1" customHeight="1" outlineLevel="1" collapsed="1">
      <c r="A370" s="557"/>
      <c r="B370" s="410" t="str">
        <f>S.LastHearingCity&amp;" hearing"</f>
        <v>Enter city name hearing</v>
      </c>
      <c r="C370" s="347"/>
      <c r="D370" s="277" t="s">
        <v>361</v>
      </c>
      <c r="E370" s="368">
        <f t="shared" si="959"/>
        <v>1</v>
      </c>
      <c r="F370" s="490">
        <f t="shared" ca="1" si="960"/>
        <v>36</v>
      </c>
      <c r="G370" s="454">
        <f>S.LastHearingDate</f>
        <v>41533</v>
      </c>
      <c r="H370" s="455">
        <f>S.LastHearingDate</f>
        <v>41533</v>
      </c>
      <c r="I370" s="626"/>
      <c r="J370" s="591"/>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7"/>
      <c r="AAD370" s="112"/>
      <c r="AAE370" s="550">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7"/>
      <c r="B371" s="460" t="str">
        <f>AAL371</f>
        <v>Add info to COMMENTS</v>
      </c>
      <c r="C371" s="347"/>
      <c r="D371" s="277" t="s">
        <v>42</v>
      </c>
      <c r="E371" s="368">
        <f t="shared" si="959"/>
        <v>4</v>
      </c>
      <c r="F371" s="490">
        <f t="shared" ca="1" si="960"/>
        <v>39</v>
      </c>
      <c r="G371" s="448">
        <f t="shared" ref="G371:H377" si="961">AAG371</f>
        <v>41533</v>
      </c>
      <c r="H371" s="448">
        <f t="shared" si="961"/>
        <v>41536</v>
      </c>
      <c r="I371" s="626"/>
      <c r="J371" s="591"/>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7"/>
      <c r="AAD371" s="112"/>
      <c r="AAE371" s="550">
        <f t="shared" si="951"/>
        <v>1</v>
      </c>
      <c r="AAF371" s="112"/>
      <c r="AAG371" s="78">
        <f>S.LastHearingDate</f>
        <v>41533</v>
      </c>
      <c r="AAH371" s="78">
        <f>S.CloseComment</f>
        <v>41536</v>
      </c>
      <c r="AAI371" s="64"/>
      <c r="AAJ371" s="79"/>
      <c r="AAK371" s="79"/>
      <c r="AAL371" s="89" t="str">
        <f>"Add info to "&amp;S.CodeName&amp;"COMMENTS"</f>
        <v>Add info to COMMENTS</v>
      </c>
      <c r="AAM371" s="112"/>
      <c r="AAN371"/>
      <c r="AAT371" s="23"/>
      <c r="AAU371" s="44"/>
    </row>
    <row r="372" spans="1:732" s="23" customFormat="1" ht="15" customHeight="1" outlineLevel="1">
      <c r="A372" s="557" t="s">
        <v>214</v>
      </c>
      <c r="B372" s="460" t="str">
        <f>AAL372</f>
        <v>Add PO report to STAFF.RPT</v>
      </c>
      <c r="C372" s="168"/>
      <c r="D372" s="277" t="s">
        <v>42</v>
      </c>
      <c r="E372" s="368">
        <f t="shared" ref="E372" si="962">NETWORKDAYS(G372,H372,S.DDL_DEQClosed)</f>
        <v>4</v>
      </c>
      <c r="F372" s="490">
        <f t="shared" ref="F372" ca="1" si="963">NETWORKDAYS(TODAY(),H372)</f>
        <v>39</v>
      </c>
      <c r="G372" s="448">
        <f t="shared" ref="G372" si="964">AAG372</f>
        <v>41533</v>
      </c>
      <c r="H372" s="448">
        <f t="shared" ref="H372" si="965">AAH372</f>
        <v>41536</v>
      </c>
      <c r="I372" s="626"/>
      <c r="J372" s="591"/>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7"/>
      <c r="AAB372"/>
      <c r="AAC372"/>
      <c r="AAD372" s="112"/>
      <c r="AAE372" s="550">
        <f t="shared" si="951"/>
        <v>1</v>
      </c>
      <c r="AAF372" s="112"/>
      <c r="AAG372" s="78">
        <f>S.LastHearingDate</f>
        <v>41533</v>
      </c>
      <c r="AAH372" s="78">
        <f>S.CloseComment</f>
        <v>41536</v>
      </c>
      <c r="AAI372" s="64"/>
      <c r="AAJ372" s="77"/>
      <c r="AAK372" s="77"/>
      <c r="AAL372" s="89" t="str">
        <f>"Add PO report to "&amp;S.CodeName&amp;"STAFF.RPT"</f>
        <v>Add PO report to STAFF.RPT</v>
      </c>
      <c r="AAM372" s="112"/>
      <c r="AAU372" s="44"/>
    </row>
    <row r="373" spans="1:732" ht="18" customHeight="1" outlineLevel="1">
      <c r="A373" s="557"/>
      <c r="B373" s="299" t="s">
        <v>41</v>
      </c>
      <c r="C373" s="720"/>
      <c r="D373" s="197"/>
      <c r="E373" s="160"/>
      <c r="F373" s="160"/>
      <c r="G373" s="145"/>
      <c r="H373" s="657">
        <f>S.CloseComment</f>
        <v>41536</v>
      </c>
      <c r="I373" s="626"/>
      <c r="J373" s="591"/>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7"/>
      <c r="AAD373" s="112"/>
      <c r="AAE373" s="550">
        <f t="shared" ref="AAE373:AAE389" si="966">IF(S.InvolveNotice=TRUE,1,0)</f>
        <v>1</v>
      </c>
      <c r="AAF373" s="112"/>
      <c r="AAG373" s="78">
        <f>S.CloseComment</f>
        <v>41536</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7"/>
      <c r="B374" s="461" t="s">
        <v>159</v>
      </c>
      <c r="C374" s="187"/>
      <c r="D374" s="188"/>
      <c r="E374" s="182"/>
      <c r="F374" s="182"/>
      <c r="G374" s="174"/>
      <c r="H374" s="153"/>
      <c r="I374" s="626"/>
      <c r="J374" s="591"/>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7"/>
      <c r="ZZ374" s="36"/>
      <c r="AAA374" s="587"/>
      <c r="AAB374"/>
      <c r="AAC374"/>
      <c r="AAD374" s="112"/>
      <c r="AAE374" s="550">
        <f t="shared" si="966"/>
        <v>1</v>
      </c>
      <c r="AAF374" s="582" t="s">
        <v>172</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7"/>
      <c r="B375" s="132" t="str">
        <f>AAL375</f>
        <v>Enter data into COMMENTS</v>
      </c>
      <c r="C375" s="721"/>
      <c r="D375" s="189"/>
      <c r="E375" s="154"/>
      <c r="F375" s="154"/>
      <c r="G375" s="153"/>
      <c r="H375" s="153"/>
      <c r="I375" s="587"/>
      <c r="J375" s="591"/>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7"/>
      <c r="ZZ375" s="36"/>
      <c r="AAA375" s="587"/>
      <c r="AAB375"/>
      <c r="AAC375"/>
      <c r="AAD375" s="112"/>
      <c r="AAE375" s="550">
        <f t="shared" si="966"/>
        <v>1</v>
      </c>
      <c r="AAF375" s="582" t="s">
        <v>172</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7"/>
      <c r="B376" s="411" t="s">
        <v>206</v>
      </c>
      <c r="C376" s="168"/>
      <c r="D376" s="277" t="s">
        <v>157</v>
      </c>
      <c r="E376" s="368">
        <f t="shared" ref="E376:E382" si="967">NETWORKDAYS(G376,H376,S.DDL_DEQClosed)</f>
        <v>56</v>
      </c>
      <c r="F376" s="490">
        <f t="shared" ref="F376:F386" ca="1" si="968">NETWORKDAYS(TODAY(),H376)</f>
        <v>70</v>
      </c>
      <c r="G376" s="448">
        <f>AAG376</f>
        <v>41501</v>
      </c>
      <c r="H376" s="448">
        <f t="shared" si="961"/>
        <v>41579</v>
      </c>
      <c r="I376" s="626"/>
      <c r="J376" s="591"/>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7"/>
      <c r="AAD376" s="112"/>
      <c r="AAE376" s="550">
        <f t="shared" si="966"/>
        <v>1</v>
      </c>
      <c r="AAF376" s="112"/>
      <c r="AAG376" s="78">
        <f>S.PostNoticeToRegistry</f>
        <v>41501</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7"/>
      <c r="B377" s="462" t="str">
        <f>AAL377</f>
        <v>Scan/Link COMMENTS.ID###.pdf</v>
      </c>
      <c r="C377" s="168"/>
      <c r="D377" s="277" t="s">
        <v>157</v>
      </c>
      <c r="E377" s="447">
        <f t="shared" si="967"/>
        <v>44</v>
      </c>
      <c r="F377" s="490">
        <f t="shared" ca="1" si="968"/>
        <v>70</v>
      </c>
      <c r="G377" s="448">
        <f>AAG377</f>
        <v>41520</v>
      </c>
      <c r="H377" s="448">
        <f t="shared" si="961"/>
        <v>41579</v>
      </c>
      <c r="I377" s="626"/>
      <c r="J377" s="591"/>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7"/>
      <c r="AAD377" s="112"/>
      <c r="AAE377" s="550">
        <f t="shared" si="966"/>
        <v>1</v>
      </c>
      <c r="AAF377" s="112"/>
      <c r="AAG377" s="78">
        <f>WORKDAY(S.PublicNoticeInBulletin+1,1,S.DDL_DEQClosed)</f>
        <v>41520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7"/>
      <c r="B378" s="461" t="s">
        <v>154</v>
      </c>
      <c r="C378" s="721" t="s">
        <v>0</v>
      </c>
      <c r="D378" s="189"/>
      <c r="E378" s="154"/>
      <c r="F378" s="154"/>
      <c r="G378" s="153"/>
      <c r="H378" s="153"/>
      <c r="I378" s="587"/>
      <c r="J378" s="591"/>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7"/>
      <c r="ZZ378" s="36"/>
      <c r="AAA378" s="587"/>
      <c r="AAB378"/>
      <c r="AAC378"/>
      <c r="AAD378" s="112"/>
      <c r="AAE378" s="550">
        <f t="shared" si="966"/>
        <v>1</v>
      </c>
      <c r="AAF378" s="582" t="s">
        <v>172</v>
      </c>
      <c r="AAG378" s="76"/>
      <c r="AAH378" s="76"/>
      <c r="AAI378" s="77"/>
      <c r="AAJ378" s="77"/>
      <c r="AAK378" s="77"/>
      <c r="AAL378" s="57"/>
      <c r="AAM378" s="112"/>
      <c r="AAU378" s="44"/>
    </row>
    <row r="379" spans="1:732" s="23" customFormat="1" ht="15" customHeight="1" outlineLevel="1">
      <c r="A379" s="557"/>
      <c r="B379" s="132" t="str">
        <f>AAL379</f>
        <v>Develop COMMENTS</v>
      </c>
      <c r="C379" s="721"/>
      <c r="D379" s="189"/>
      <c r="E379" s="154"/>
      <c r="F379" s="154"/>
      <c r="G379" s="153"/>
      <c r="H379" s="153"/>
      <c r="I379" s="587"/>
      <c r="J379" s="591"/>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7"/>
      <c r="ZZ379" s="36"/>
      <c r="AAA379" s="587"/>
      <c r="AAB379"/>
      <c r="AAC379"/>
      <c r="AAD379" s="112"/>
      <c r="AAE379" s="550">
        <f t="shared" si="966"/>
        <v>1</v>
      </c>
      <c r="AAF379" s="582" t="s">
        <v>172</v>
      </c>
      <c r="AAG379" s="76"/>
      <c r="AAH379" s="76"/>
      <c r="AAI379" s="77"/>
      <c r="AAJ379" s="77"/>
      <c r="AAK379" s="77"/>
      <c r="AAL379" s="89" t="str">
        <f>"Develop "&amp;S.CodeName&amp;"COMMENTS"</f>
        <v>Develop COMMENTS</v>
      </c>
      <c r="AAM379" s="112"/>
      <c r="AAU379" s="44"/>
    </row>
    <row r="380" spans="1:732" s="23" customFormat="1" ht="15" customHeight="1" outlineLevel="1">
      <c r="A380" s="557"/>
      <c r="B380" s="463" t="s">
        <v>177</v>
      </c>
      <c r="C380" s="168"/>
      <c r="D380" s="277" t="s">
        <v>358</v>
      </c>
      <c r="E380" s="447">
        <f t="shared" ref="E380" si="969">NETWORKDAYS(G380,H380,S.DDL_DEQClosed)</f>
        <v>44</v>
      </c>
      <c r="F380" s="490">
        <f t="shared" ref="F380" ca="1" si="970">NETWORKDAYS(TODAY(),H380)</f>
        <v>70</v>
      </c>
      <c r="G380" s="448">
        <f t="shared" ref="G380:G386" si="971">AAG380</f>
        <v>41520</v>
      </c>
      <c r="H380" s="448">
        <f t="shared" ref="H380:H386" si="972">AAH380</f>
        <v>41579</v>
      </c>
      <c r="I380" s="626"/>
      <c r="J380" s="591"/>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7"/>
      <c r="AAB380"/>
      <c r="AAC380"/>
      <c r="AAD380" s="112"/>
      <c r="AAE380" s="550">
        <f t="shared" si="966"/>
        <v>1</v>
      </c>
      <c r="AAF380" s="112"/>
      <c r="AAG380" s="78">
        <f t="shared" ref="AAG380:AAG386" si="973">WORKDAY(S.PublicNoticeInBulletin+1,1,S.DDL_DEQClosed)</f>
        <v>41520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7"/>
      <c r="B381" s="463" t="s">
        <v>178</v>
      </c>
      <c r="C381" s="168"/>
      <c r="D381" s="277" t="s">
        <v>358</v>
      </c>
      <c r="E381" s="447">
        <f t="shared" ref="E381" si="975">NETWORKDAYS(G381,H381,S.DDL_DEQClosed)</f>
        <v>44</v>
      </c>
      <c r="F381" s="490">
        <f t="shared" ref="F381" ca="1" si="976">NETWORKDAYS(TODAY(),H381)</f>
        <v>70</v>
      </c>
      <c r="G381" s="448">
        <f t="shared" si="971"/>
        <v>41520</v>
      </c>
      <c r="H381" s="448">
        <f t="shared" si="972"/>
        <v>41579</v>
      </c>
      <c r="I381" s="626"/>
      <c r="J381" s="591"/>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7"/>
      <c r="AAB381"/>
      <c r="AAC381"/>
      <c r="AAD381" s="112"/>
      <c r="AAE381" s="550">
        <f t="shared" si="966"/>
        <v>1</v>
      </c>
      <c r="AAF381" s="112"/>
      <c r="AAG381" s="78">
        <f t="shared" si="973"/>
        <v>41520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7"/>
      <c r="B382" s="464" t="s">
        <v>165</v>
      </c>
      <c r="C382" s="239"/>
      <c r="D382" s="277" t="s">
        <v>358</v>
      </c>
      <c r="E382" s="447">
        <f t="shared" si="967"/>
        <v>44</v>
      </c>
      <c r="F382" s="490">
        <f t="shared" ca="1" si="968"/>
        <v>70</v>
      </c>
      <c r="G382" s="448">
        <f t="shared" si="971"/>
        <v>41520</v>
      </c>
      <c r="H382" s="448">
        <f t="shared" si="972"/>
        <v>41579</v>
      </c>
      <c r="I382" s="626"/>
      <c r="J382" s="591"/>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7"/>
      <c r="AAD382" s="112"/>
      <c r="AAE382" s="550">
        <f t="shared" si="966"/>
        <v>1</v>
      </c>
      <c r="AAF382" s="112"/>
      <c r="AAG382" s="78">
        <f t="shared" si="973"/>
        <v>41520</v>
      </c>
      <c r="AAH382" s="78">
        <f t="shared" si="974"/>
        <v>41579</v>
      </c>
      <c r="AAI382" s="77"/>
      <c r="AAJ382" s="57"/>
      <c r="AAK382" s="57"/>
      <c r="AAL382" s="57"/>
      <c r="AAM382" s="112"/>
      <c r="AAN382"/>
      <c r="AAT382" s="23"/>
      <c r="AAU382" s="44"/>
    </row>
    <row r="383" spans="1:732" ht="15" customHeight="1" outlineLevel="1">
      <c r="A383" s="557"/>
      <c r="B383" s="423" t="s">
        <v>76</v>
      </c>
      <c r="C383" s="239"/>
      <c r="D383" s="279" t="s">
        <v>372</v>
      </c>
      <c r="E383" s="368">
        <f>NETWORKDAYS(G383,H383,S.DDL_DEQClosed)</f>
        <v>44</v>
      </c>
      <c r="F383" s="490">
        <f t="shared" ca="1" si="968"/>
        <v>70</v>
      </c>
      <c r="G383" s="448">
        <f t="shared" si="971"/>
        <v>41520</v>
      </c>
      <c r="H383" s="448">
        <f t="shared" si="972"/>
        <v>41579</v>
      </c>
      <c r="I383" s="626"/>
      <c r="J383" s="591"/>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7"/>
      <c r="AAD383" s="112"/>
      <c r="AAE383" s="550">
        <f t="shared" si="966"/>
        <v>1</v>
      </c>
      <c r="AAF383" s="112"/>
      <c r="AAG383" s="78">
        <f t="shared" si="973"/>
        <v>41520</v>
      </c>
      <c r="AAH383" s="78">
        <f t="shared" si="974"/>
        <v>41579</v>
      </c>
      <c r="AAI383" s="77"/>
      <c r="AAJ383" s="57"/>
      <c r="AAK383" s="57"/>
      <c r="AAL383" s="57"/>
      <c r="AAM383" s="112"/>
      <c r="AAN383"/>
      <c r="AAT383" s="23"/>
      <c r="AAU383" s="44"/>
    </row>
    <row r="384" spans="1:732" ht="15" customHeight="1" outlineLevel="1">
      <c r="A384" s="557"/>
      <c r="B384" s="424" t="s">
        <v>77</v>
      </c>
      <c r="C384" s="239"/>
      <c r="D384" s="279" t="s">
        <v>372</v>
      </c>
      <c r="E384" s="368">
        <f>NETWORKDAYS(G384,H384,S.DDL_DEQClosed)</f>
        <v>44</v>
      </c>
      <c r="F384" s="490">
        <f t="shared" ca="1" si="968"/>
        <v>70</v>
      </c>
      <c r="G384" s="448">
        <f t="shared" si="971"/>
        <v>41520</v>
      </c>
      <c r="H384" s="448">
        <f t="shared" si="972"/>
        <v>41579</v>
      </c>
      <c r="I384" s="626"/>
      <c r="J384" s="591"/>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7"/>
      <c r="AAD384" s="112"/>
      <c r="AAE384" s="550">
        <f t="shared" si="966"/>
        <v>1</v>
      </c>
      <c r="AAF384" s="112"/>
      <c r="AAG384" s="78">
        <f t="shared" si="973"/>
        <v>41520</v>
      </c>
      <c r="AAH384" s="78">
        <f t="shared" si="974"/>
        <v>41579</v>
      </c>
      <c r="AAI384" s="77"/>
      <c r="AAJ384" s="57"/>
      <c r="AAK384" s="57"/>
      <c r="AAL384" s="57"/>
      <c r="AAM384" s="112"/>
      <c r="AAN384"/>
      <c r="AAT384" s="23"/>
      <c r="AAU384" s="44"/>
    </row>
    <row r="385" spans="1:732" ht="15" customHeight="1" outlineLevel="1">
      <c r="A385" s="557"/>
      <c r="B385" s="425" t="s">
        <v>78</v>
      </c>
      <c r="C385" s="239"/>
      <c r="D385" s="279" t="s">
        <v>372</v>
      </c>
      <c r="E385" s="368">
        <f>NETWORKDAYS(G385,H385,S.DDL_DEQClosed)</f>
        <v>44</v>
      </c>
      <c r="F385" s="490">
        <f t="shared" ca="1" si="968"/>
        <v>70</v>
      </c>
      <c r="G385" s="448">
        <f t="shared" si="971"/>
        <v>41520</v>
      </c>
      <c r="H385" s="448">
        <f t="shared" si="972"/>
        <v>41579</v>
      </c>
      <c r="I385" s="626"/>
      <c r="J385" s="591"/>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7"/>
      <c r="AAD385" s="112"/>
      <c r="AAE385" s="550">
        <f t="shared" si="966"/>
        <v>1</v>
      </c>
      <c r="AAF385" s="112"/>
      <c r="AAG385" s="78">
        <f t="shared" si="973"/>
        <v>41520</v>
      </c>
      <c r="AAH385" s="78">
        <f t="shared" si="974"/>
        <v>41579</v>
      </c>
      <c r="AAI385" s="77"/>
      <c r="AAJ385" s="57"/>
      <c r="AAK385" s="57"/>
      <c r="AAL385" s="57"/>
      <c r="AAM385" s="112"/>
      <c r="AAN385"/>
      <c r="AAT385" s="23"/>
      <c r="AAU385" s="44"/>
    </row>
    <row r="386" spans="1:732" ht="15" customHeight="1" outlineLevel="1">
      <c r="A386" s="557"/>
      <c r="B386" s="426" t="s">
        <v>79</v>
      </c>
      <c r="C386" s="239"/>
      <c r="D386" s="279" t="s">
        <v>372</v>
      </c>
      <c r="E386" s="368">
        <f>NETWORKDAYS(G386,H386,S.DDL_DEQClosed)</f>
        <v>44</v>
      </c>
      <c r="F386" s="490">
        <f t="shared" ca="1" si="968"/>
        <v>70</v>
      </c>
      <c r="G386" s="448">
        <f t="shared" si="971"/>
        <v>41520</v>
      </c>
      <c r="H386" s="448">
        <f t="shared" si="972"/>
        <v>41579</v>
      </c>
      <c r="I386" s="626"/>
      <c r="J386" s="591"/>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7"/>
      <c r="AAD386" s="112"/>
      <c r="AAE386" s="550">
        <f t="shared" si="966"/>
        <v>1</v>
      </c>
      <c r="AAF386" s="112"/>
      <c r="AAG386" s="78">
        <f t="shared" si="973"/>
        <v>41520</v>
      </c>
      <c r="AAH386" s="78">
        <f t="shared" si="974"/>
        <v>41579</v>
      </c>
      <c r="AAI386" s="77"/>
      <c r="AAJ386" s="57"/>
      <c r="AAK386" s="57"/>
      <c r="AAL386" s="57"/>
      <c r="AAM386" s="112"/>
      <c r="AAN386"/>
      <c r="AAT386" s="23"/>
      <c r="AAU386" s="44"/>
    </row>
    <row r="387" spans="1:732" ht="96.75" customHeight="1" outlineLevel="1">
      <c r="A387" s="557"/>
      <c r="B387" s="742" t="s">
        <v>343</v>
      </c>
      <c r="C387" s="742"/>
      <c r="D387" s="742"/>
      <c r="E387" s="742"/>
      <c r="F387" s="742"/>
      <c r="G387" s="742"/>
      <c r="H387" s="742"/>
      <c r="I387" s="587"/>
      <c r="J387" s="591"/>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7"/>
      <c r="ZZ387" s="36"/>
      <c r="AAA387" s="587"/>
      <c r="AAD387" s="112"/>
      <c r="AAE387" s="550">
        <f t="shared" si="966"/>
        <v>1</v>
      </c>
      <c r="AAF387" s="582" t="s">
        <v>172</v>
      </c>
      <c r="AAG387" s="63"/>
      <c r="AAH387" s="63"/>
      <c r="AAI387" s="77"/>
      <c r="AAJ387" s="57"/>
      <c r="AAK387" s="57"/>
      <c r="AAL387" s="57"/>
      <c r="AAM387" s="112"/>
      <c r="AAN387"/>
      <c r="AAT387" s="23"/>
      <c r="AAU387" s="44"/>
    </row>
    <row r="388" spans="1:732" ht="15" customHeight="1" outlineLevel="1">
      <c r="A388" s="557"/>
      <c r="B388" s="395" t="s">
        <v>50</v>
      </c>
      <c r="C388" s="300"/>
      <c r="D388" s="281" t="s">
        <v>0</v>
      </c>
      <c r="E388" s="282"/>
      <c r="F388" s="282"/>
      <c r="G388" s="283"/>
      <c r="H388" s="283"/>
      <c r="I388" s="587"/>
      <c r="J388" s="591"/>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7"/>
      <c r="ZZ388" s="36"/>
      <c r="AAA388" s="587"/>
      <c r="AAD388" s="112"/>
      <c r="AAE388" s="550">
        <f t="shared" si="966"/>
        <v>1</v>
      </c>
      <c r="AAF388" s="582" t="s">
        <v>172</v>
      </c>
      <c r="AAG388" s="63"/>
      <c r="AAH388" s="63"/>
      <c r="AAI388" s="77"/>
      <c r="AAJ388" s="57"/>
      <c r="AAK388" s="57"/>
      <c r="AAL388" s="57"/>
      <c r="AAM388" s="112"/>
      <c r="AAN388"/>
      <c r="AAT388" s="23"/>
      <c r="AAU388" s="44"/>
    </row>
    <row r="389" spans="1:732" ht="15" customHeight="1" outlineLevel="1">
      <c r="A389" s="557"/>
      <c r="B389" s="343" t="s">
        <v>151</v>
      </c>
      <c r="C389" s="168"/>
      <c r="D389" s="277" t="s">
        <v>157</v>
      </c>
      <c r="E389" s="447">
        <f t="shared" ref="E389" si="977">NETWORKDAYS(G389,H389,S.DDL_DEQClosed)</f>
        <v>1</v>
      </c>
      <c r="F389" s="490">
        <f t="shared" ref="F389" ca="1" si="978">NETWORKDAYS(TODAY(),H389)</f>
        <v>70</v>
      </c>
      <c r="G389" s="448">
        <f t="shared" ref="G389:H389" si="979">AAG389</f>
        <v>41579</v>
      </c>
      <c r="H389" s="454">
        <f t="shared" si="979"/>
        <v>41579</v>
      </c>
      <c r="I389" s="626"/>
      <c r="J389" s="591"/>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7"/>
      <c r="AAD389" s="112"/>
      <c r="AAE389" s="550">
        <f t="shared" si="966"/>
        <v>1</v>
      </c>
      <c r="AAF389" s="112"/>
      <c r="AAG389" s="78">
        <f>H386</f>
        <v>41579</v>
      </c>
      <c r="AAH389" s="78">
        <f>G389</f>
        <v>41579</v>
      </c>
      <c r="AAI389" s="77"/>
      <c r="AAJ389" s="57"/>
      <c r="AAK389" s="57"/>
      <c r="AAL389" s="57"/>
      <c r="AAM389" s="112"/>
      <c r="AAN389"/>
      <c r="AAT389" s="23"/>
      <c r="AAU389" s="44"/>
    </row>
    <row r="390" spans="1:732" ht="6" customHeight="1">
      <c r="A390" s="557"/>
      <c r="B390" s="144"/>
      <c r="C390" s="689"/>
      <c r="D390" s="145"/>
      <c r="E390" s="146"/>
      <c r="F390" s="146"/>
      <c r="G390" s="145"/>
      <c r="H390" s="145"/>
      <c r="I390" s="587"/>
      <c r="J390" s="591"/>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7"/>
      <c r="ZZ390" s="36"/>
      <c r="AAA390" s="587"/>
      <c r="AAD390" s="112"/>
      <c r="AAE390" s="550" t="s">
        <v>26</v>
      </c>
      <c r="AAF390" s="582" t="s">
        <v>172</v>
      </c>
      <c r="AAG390" s="63"/>
      <c r="AAH390" s="63"/>
      <c r="AAI390" s="77"/>
      <c r="AAJ390" s="57"/>
      <c r="AAK390" s="57"/>
      <c r="AAL390" s="57"/>
      <c r="AAM390" s="112"/>
      <c r="AAN390"/>
      <c r="AAT390" s="23"/>
      <c r="AAU390" s="44"/>
    </row>
    <row r="391" spans="1:732" s="23" customFormat="1" ht="18" customHeight="1">
      <c r="A391" s="557"/>
      <c r="B391" s="740" t="s">
        <v>96</v>
      </c>
      <c r="C391" s="740"/>
      <c r="D391" s="740"/>
      <c r="E391" s="740"/>
      <c r="F391" s="740"/>
      <c r="G391" s="740"/>
      <c r="H391" s="740"/>
      <c r="I391" s="626"/>
      <c r="J391" s="592"/>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8"/>
      <c r="ZZ391" s="119"/>
      <c r="AAA391" s="587"/>
      <c r="AAB391"/>
      <c r="AAC391"/>
      <c r="AAD391" s="112"/>
      <c r="AAE391" s="550" t="s">
        <v>27</v>
      </c>
      <c r="AAF391" s="582" t="s">
        <v>172</v>
      </c>
      <c r="AAG391" s="112"/>
      <c r="AAH391" s="112"/>
      <c r="AAI391" s="77"/>
      <c r="AAJ391" s="90"/>
      <c r="AAK391" s="90"/>
      <c r="AAL391" s="76"/>
      <c r="AAM391" s="112"/>
      <c r="AAU391" s="44"/>
    </row>
    <row r="392" spans="1:732" s="23" customFormat="1" ht="18" customHeight="1">
      <c r="A392" s="557"/>
      <c r="B392" s="301" t="s">
        <v>15</v>
      </c>
      <c r="C392" s="703"/>
      <c r="D392" s="150" t="s">
        <v>239</v>
      </c>
      <c r="E392" s="151" t="s">
        <v>15</v>
      </c>
      <c r="F392" s="486" t="s">
        <v>2</v>
      </c>
      <c r="G392" s="152" t="s">
        <v>86</v>
      </c>
      <c r="H392" s="152" t="s">
        <v>87</v>
      </c>
      <c r="I392" s="626"/>
      <c r="J392" s="592"/>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8"/>
      <c r="ZZ392" s="119"/>
      <c r="AAA392" s="587"/>
      <c r="AAB392"/>
      <c r="AAC392"/>
      <c r="AAD392" s="112"/>
      <c r="AAE392" s="550" t="s">
        <v>243</v>
      </c>
      <c r="AAF392" s="582" t="s">
        <v>172</v>
      </c>
      <c r="AAG392" s="112"/>
      <c r="AAH392" s="112"/>
      <c r="AAI392" s="77"/>
      <c r="AAJ392" s="90"/>
      <c r="AAK392" s="90"/>
      <c r="AAL392" s="76"/>
      <c r="AAM392" s="112"/>
      <c r="AAU392" s="44"/>
    </row>
    <row r="393" spans="1:732" ht="18" customHeight="1">
      <c r="A393" s="557"/>
      <c r="B393" s="223"/>
      <c r="C393" s="224"/>
      <c r="D393" s="225"/>
      <c r="E393" s="293"/>
      <c r="F393" s="465">
        <f>NETWORKDAYS(S.BANNER.EQCStart,S.BANNER.EQCEnd,S.DDL_DEQClosed)</f>
        <v>82</v>
      </c>
      <c r="G393" s="302">
        <f>AAG393</f>
        <v>41501</v>
      </c>
      <c r="H393" s="303">
        <f>AAH393</f>
        <v>41619</v>
      </c>
      <c r="I393" s="626"/>
      <c r="J393" s="628"/>
      <c r="K393" s="634"/>
      <c r="L393" s="634"/>
      <c r="M393" s="634"/>
      <c r="N393" s="634"/>
      <c r="O393" s="634"/>
      <c r="P393" s="634"/>
      <c r="Q393" s="634"/>
      <c r="R393" s="634"/>
      <c r="S393" s="634"/>
      <c r="T393" s="634"/>
      <c r="U393" s="634"/>
      <c r="V393" s="634"/>
      <c r="W393" s="634"/>
      <c r="X393" s="634"/>
      <c r="Y393" s="634"/>
      <c r="Z393" s="634"/>
      <c r="AA393" s="634"/>
      <c r="AB393" s="634"/>
      <c r="AC393" s="634"/>
      <c r="AD393" s="634"/>
      <c r="AE393" s="634"/>
      <c r="AF393" s="634"/>
      <c r="AG393" s="634"/>
      <c r="AH393" s="634"/>
      <c r="AI393" s="634"/>
      <c r="AJ393" s="634"/>
      <c r="AK393" s="634"/>
      <c r="AL393" s="634"/>
      <c r="AM393" s="634"/>
      <c r="AN393" s="634"/>
      <c r="AO393" s="634"/>
      <c r="AP393" s="634"/>
      <c r="AQ393" s="634"/>
      <c r="AR393" s="634"/>
      <c r="AS393" s="634"/>
      <c r="AT393" s="634"/>
      <c r="AU393" s="634"/>
      <c r="AV393" s="634"/>
      <c r="AW393" s="634"/>
      <c r="AX393" s="634"/>
      <c r="AY393" s="634"/>
      <c r="AZ393" s="634"/>
      <c r="BA393" s="634"/>
      <c r="BB393" s="634"/>
      <c r="BC393" s="634"/>
      <c r="BD393" s="634"/>
      <c r="BE393" s="634"/>
      <c r="BF393" s="634"/>
      <c r="BG393" s="634"/>
      <c r="BH393" s="634"/>
      <c r="BI393" s="634"/>
      <c r="BJ393" s="634"/>
      <c r="BK393" s="634"/>
      <c r="BL393" s="634"/>
      <c r="BM393" s="634"/>
      <c r="BN393" s="634"/>
      <c r="BO393" s="634"/>
      <c r="BP393" s="634"/>
      <c r="BQ393" s="634"/>
      <c r="BR393" s="634"/>
      <c r="BS393" s="634"/>
      <c r="BT393" s="634"/>
      <c r="BU393" s="634"/>
      <c r="BV393" s="634"/>
      <c r="BW393" s="634"/>
      <c r="BX393" s="634"/>
      <c r="BY393" s="634"/>
      <c r="BZ393" s="634"/>
      <c r="CA393" s="634"/>
      <c r="CB393" s="634"/>
      <c r="CC393" s="634"/>
      <c r="CD393" s="634"/>
      <c r="CE393" s="634"/>
      <c r="CF393" s="634"/>
      <c r="CG393" s="634"/>
      <c r="CH393" s="634"/>
      <c r="CI393" s="634"/>
      <c r="CJ393" s="634"/>
      <c r="CK393" s="634"/>
      <c r="CL393" s="634"/>
      <c r="CM393" s="634"/>
      <c r="CN393" s="634"/>
      <c r="CO393" s="634"/>
      <c r="CP393" s="634"/>
      <c r="CQ393" s="634"/>
      <c r="CR393" s="634"/>
      <c r="CS393" s="634"/>
      <c r="CT393" s="634"/>
      <c r="CU393" s="634"/>
      <c r="CV393" s="634"/>
      <c r="CW393" s="634"/>
      <c r="CX393" s="634"/>
      <c r="CY393" s="634"/>
      <c r="CZ393" s="634"/>
      <c r="DA393" s="634"/>
      <c r="DB393" s="634"/>
      <c r="DC393" s="634"/>
      <c r="DD393" s="634"/>
      <c r="DE393" s="634"/>
      <c r="DF393" s="634"/>
      <c r="DG393" s="634"/>
      <c r="DH393" s="634"/>
      <c r="DI393" s="634"/>
      <c r="DJ393" s="634"/>
      <c r="DK393" s="634"/>
      <c r="DL393" s="634"/>
      <c r="DM393" s="634"/>
      <c r="DN393" s="634"/>
      <c r="DO393" s="634"/>
      <c r="DP393" s="634"/>
      <c r="DQ393" s="634"/>
      <c r="DR393" s="634"/>
      <c r="DS393" s="634"/>
      <c r="DT393" s="634"/>
      <c r="DU393" s="634"/>
      <c r="DV393" s="634"/>
      <c r="DW393" s="634"/>
      <c r="DX393" s="634"/>
      <c r="DY393" s="634"/>
      <c r="DZ393" s="634"/>
      <c r="EA393" s="634"/>
      <c r="EB393" s="634"/>
      <c r="EC393" s="634"/>
      <c r="ED393" s="634"/>
      <c r="EE393" s="634"/>
      <c r="EF393" s="634"/>
      <c r="EG393" s="634"/>
      <c r="EH393" s="634"/>
      <c r="EI393" s="634"/>
      <c r="EJ393" s="634"/>
      <c r="EK393" s="634"/>
      <c r="EL393" s="634"/>
      <c r="EM393" s="634"/>
      <c r="EN393" s="634"/>
      <c r="EO393" s="634"/>
      <c r="EP393" s="634"/>
      <c r="EQ393" s="634"/>
      <c r="ER393" s="634"/>
      <c r="ES393" s="634"/>
      <c r="ET393" s="634"/>
      <c r="EU393" s="634"/>
      <c r="EV393" s="634"/>
      <c r="EW393" s="634"/>
      <c r="EX393" s="634"/>
      <c r="EY393" s="634"/>
      <c r="EZ393" s="634"/>
      <c r="FA393" s="634"/>
      <c r="FB393" s="634"/>
      <c r="FC393" s="634"/>
      <c r="FD393" s="634"/>
      <c r="FE393" s="634"/>
      <c r="FF393" s="634"/>
      <c r="FG393" s="634"/>
      <c r="FH393" s="634"/>
      <c r="FI393" s="634"/>
      <c r="FJ393" s="634"/>
      <c r="FK393" s="634"/>
      <c r="FL393" s="634"/>
      <c r="FM393" s="634"/>
      <c r="FN393" s="634"/>
      <c r="FO393" s="634"/>
      <c r="FP393" s="634"/>
      <c r="FQ393" s="634"/>
      <c r="FR393" s="634"/>
      <c r="FS393" s="634"/>
      <c r="FT393" s="634"/>
      <c r="FU393" s="634"/>
      <c r="FV393" s="634"/>
      <c r="FW393" s="634"/>
      <c r="FX393" s="634"/>
      <c r="FY393" s="634"/>
      <c r="FZ393" s="634"/>
      <c r="GA393" s="634"/>
      <c r="GB393" s="634"/>
      <c r="GC393" s="634"/>
      <c r="GD393" s="634"/>
      <c r="GE393" s="634"/>
      <c r="GF393" s="634"/>
      <c r="GG393" s="634"/>
      <c r="GH393" s="634"/>
      <c r="GI393" s="634"/>
      <c r="GJ393" s="634"/>
      <c r="GK393" s="634"/>
      <c r="GL393" s="634"/>
      <c r="GM393" s="634"/>
      <c r="GN393" s="634"/>
      <c r="GO393" s="634"/>
      <c r="GP393" s="634"/>
      <c r="GQ393" s="634"/>
      <c r="GR393" s="634"/>
      <c r="GS393" s="634"/>
      <c r="GT393" s="634"/>
      <c r="GU393" s="634"/>
      <c r="GV393" s="634"/>
      <c r="GW393" s="634"/>
      <c r="GX393" s="634"/>
      <c r="GY393" s="634"/>
      <c r="GZ393" s="634"/>
      <c r="HA393" s="634"/>
      <c r="HB393" s="634"/>
      <c r="HC393" s="634"/>
      <c r="HD393" s="634"/>
      <c r="HE393" s="634"/>
      <c r="HF393" s="634"/>
      <c r="HG393" s="634"/>
      <c r="HH393" s="634"/>
      <c r="HI393" s="634"/>
      <c r="HJ393" s="634"/>
      <c r="HK393" s="634"/>
      <c r="HL393" s="634"/>
      <c r="HM393" s="634"/>
      <c r="HN393" s="634"/>
      <c r="HO393" s="634"/>
      <c r="HP393" s="634"/>
      <c r="HQ393" s="634"/>
      <c r="HR393" s="634"/>
      <c r="HS393" s="634"/>
      <c r="HT393" s="634"/>
      <c r="HU393" s="634"/>
      <c r="HV393" s="634"/>
      <c r="HW393" s="634"/>
      <c r="HX393" s="634"/>
      <c r="HY393" s="634"/>
      <c r="HZ393" s="634"/>
      <c r="IA393" s="634"/>
      <c r="IB393" s="634"/>
      <c r="IC393" s="634"/>
      <c r="ID393" s="634"/>
      <c r="IE393" s="634"/>
      <c r="IF393" s="634"/>
      <c r="IG393" s="634"/>
      <c r="IH393" s="634"/>
      <c r="II393" s="634"/>
      <c r="IJ393" s="634"/>
      <c r="IK393" s="634"/>
      <c r="IL393" s="634"/>
      <c r="IM393" s="634"/>
      <c r="IN393" s="634"/>
      <c r="IO393" s="634"/>
      <c r="IP393" s="634"/>
      <c r="IQ393" s="634"/>
      <c r="IR393" s="634"/>
      <c r="IS393" s="634"/>
      <c r="IT393" s="634"/>
      <c r="IU393" s="634"/>
      <c r="IV393" s="634"/>
      <c r="IW393" s="634"/>
      <c r="IX393" s="634"/>
      <c r="IY393" s="634"/>
      <c r="IZ393" s="634"/>
      <c r="JA393" s="634"/>
      <c r="JB393" s="634"/>
      <c r="JC393" s="634"/>
      <c r="JD393" s="634"/>
      <c r="JE393" s="634"/>
      <c r="JF393" s="634"/>
      <c r="JG393" s="634"/>
      <c r="JH393" s="634"/>
      <c r="JI393" s="634"/>
      <c r="JJ393" s="634"/>
      <c r="JK393" s="634"/>
      <c r="JL393" s="634"/>
      <c r="JM393" s="634"/>
      <c r="JN393" s="634"/>
      <c r="JO393" s="634"/>
      <c r="JP393" s="634"/>
      <c r="JQ393" s="634"/>
      <c r="JR393" s="634"/>
      <c r="JS393" s="634"/>
      <c r="JT393" s="634"/>
      <c r="JU393" s="634"/>
      <c r="JV393" s="634"/>
      <c r="JW393" s="634"/>
      <c r="JX393" s="634"/>
      <c r="JY393" s="634"/>
      <c r="JZ393" s="634"/>
      <c r="KA393" s="634"/>
      <c r="KB393" s="634"/>
      <c r="KC393" s="634"/>
      <c r="KD393" s="634"/>
      <c r="KE393" s="634"/>
      <c r="KF393" s="634"/>
      <c r="KG393" s="634"/>
      <c r="KH393" s="634"/>
      <c r="KI393" s="634"/>
      <c r="KJ393" s="634"/>
      <c r="KK393" s="634"/>
      <c r="KL393" s="634"/>
      <c r="KM393" s="634"/>
      <c r="KN393" s="634"/>
      <c r="KO393" s="634"/>
      <c r="KP393" s="634"/>
      <c r="KQ393" s="634"/>
      <c r="KR393" s="634"/>
      <c r="KS393" s="634"/>
      <c r="KT393" s="634"/>
      <c r="KU393" s="634"/>
      <c r="KV393" s="634"/>
      <c r="KW393" s="634"/>
      <c r="KX393" s="634"/>
      <c r="KY393" s="634"/>
      <c r="KZ393" s="634"/>
      <c r="LA393" s="634"/>
      <c r="LB393" s="634"/>
      <c r="LC393" s="634"/>
      <c r="LD393" s="634"/>
      <c r="LE393" s="634"/>
      <c r="LF393" s="634"/>
      <c r="LG393" s="634"/>
      <c r="LH393" s="634"/>
      <c r="LI393" s="634"/>
      <c r="LJ393" s="634"/>
      <c r="LK393" s="634"/>
      <c r="LL393" s="634"/>
      <c r="LM393" s="634"/>
      <c r="LN393" s="634"/>
      <c r="LO393" s="634"/>
      <c r="LP393" s="634"/>
      <c r="LQ393" s="634"/>
      <c r="LR393" s="634"/>
      <c r="LS393" s="634"/>
      <c r="LT393" s="634"/>
      <c r="LU393" s="634"/>
      <c r="LV393" s="634"/>
      <c r="LW393" s="634"/>
      <c r="LX393" s="634"/>
      <c r="LY393" s="634"/>
      <c r="LZ393" s="634"/>
      <c r="MA393" s="634"/>
      <c r="MB393" s="634"/>
      <c r="MC393" s="634"/>
      <c r="MD393" s="634"/>
      <c r="ME393" s="634"/>
      <c r="MF393" s="634"/>
      <c r="MG393" s="634"/>
      <c r="MH393" s="634"/>
      <c r="MI393" s="634"/>
      <c r="MJ393" s="634"/>
      <c r="MK393" s="634"/>
      <c r="ML393" s="634"/>
      <c r="MM393" s="634"/>
      <c r="MN393" s="634"/>
      <c r="MO393" s="634"/>
      <c r="MP393" s="634"/>
      <c r="MQ393" s="634"/>
      <c r="MR393" s="634"/>
      <c r="MS393" s="634"/>
      <c r="MT393" s="634"/>
      <c r="MU393" s="634"/>
      <c r="MV393" s="634"/>
      <c r="MW393" s="634"/>
      <c r="MX393" s="634"/>
      <c r="MY393" s="634"/>
      <c r="MZ393" s="634"/>
      <c r="NA393" s="634"/>
      <c r="NB393" s="634"/>
      <c r="NC393" s="634"/>
      <c r="ND393" s="634"/>
      <c r="NE393" s="634"/>
      <c r="NF393" s="634"/>
      <c r="NG393" s="634"/>
      <c r="NH393" s="634"/>
      <c r="NI393" s="634"/>
      <c r="NJ393" s="634"/>
      <c r="NK393" s="634"/>
      <c r="NL393" s="634"/>
      <c r="NM393" s="634"/>
      <c r="NN393" s="634"/>
      <c r="NO393" s="634"/>
      <c r="NP393" s="634"/>
      <c r="NQ393" s="634"/>
      <c r="NR393" s="634"/>
      <c r="NS393" s="634"/>
      <c r="NT393" s="634"/>
      <c r="NU393" s="634"/>
      <c r="NV393" s="634"/>
      <c r="NW393" s="634"/>
      <c r="NX393" s="634"/>
      <c r="NY393" s="634"/>
      <c r="NZ393" s="634"/>
      <c r="OA393" s="634"/>
      <c r="OB393" s="634"/>
      <c r="OC393" s="634"/>
      <c r="OD393" s="634"/>
      <c r="OE393" s="634"/>
      <c r="OF393" s="634"/>
      <c r="OG393" s="634"/>
      <c r="OH393" s="634"/>
      <c r="OI393" s="634"/>
      <c r="OJ393" s="634"/>
      <c r="OK393" s="634"/>
      <c r="OL393" s="634"/>
      <c r="OM393" s="634"/>
      <c r="ON393" s="634"/>
      <c r="OO393" s="634"/>
      <c r="OP393" s="634"/>
      <c r="OQ393" s="634"/>
      <c r="OR393" s="634"/>
      <c r="OS393" s="634"/>
      <c r="OT393" s="634"/>
      <c r="OU393" s="634"/>
      <c r="OV393" s="634"/>
      <c r="OW393" s="634"/>
      <c r="OX393" s="634"/>
      <c r="OY393" s="634"/>
      <c r="OZ393" s="634"/>
      <c r="PA393" s="634"/>
      <c r="PB393" s="634"/>
      <c r="PC393" s="634"/>
      <c r="PD393" s="634"/>
      <c r="PE393" s="634"/>
      <c r="PF393" s="634"/>
      <c r="PG393" s="634"/>
      <c r="PH393" s="634"/>
      <c r="PI393" s="634"/>
      <c r="PJ393" s="634"/>
      <c r="PK393" s="634"/>
      <c r="PL393" s="634"/>
      <c r="PM393" s="634"/>
      <c r="PN393" s="634"/>
      <c r="PO393" s="634"/>
      <c r="PP393" s="634"/>
      <c r="PQ393" s="634"/>
      <c r="PR393" s="634"/>
      <c r="PS393" s="634"/>
      <c r="PT393" s="634"/>
      <c r="PU393" s="634"/>
      <c r="PV393" s="634"/>
      <c r="PW393" s="634"/>
      <c r="PX393" s="634"/>
      <c r="PY393" s="634"/>
      <c r="PZ393" s="634"/>
      <c r="QA393" s="634"/>
      <c r="QB393" s="634"/>
      <c r="QC393" s="634"/>
      <c r="QD393" s="634"/>
      <c r="QE393" s="634"/>
      <c r="QF393" s="634"/>
      <c r="QG393" s="634"/>
      <c r="QH393" s="634"/>
      <c r="QI393" s="634"/>
      <c r="QJ393" s="634"/>
      <c r="QK393" s="634"/>
      <c r="QL393" s="634"/>
      <c r="QM393" s="634"/>
      <c r="QN393" s="634"/>
      <c r="QO393" s="634"/>
      <c r="QP393" s="634"/>
      <c r="QQ393" s="634"/>
      <c r="QR393" s="634"/>
      <c r="QS393" s="634"/>
      <c r="QT393" s="634"/>
      <c r="QU393" s="634"/>
      <c r="QV393" s="634"/>
      <c r="QW393" s="634"/>
      <c r="QX393" s="634"/>
      <c r="QY393" s="634"/>
      <c r="QZ393" s="634"/>
      <c r="RA393" s="634"/>
      <c r="RB393" s="634"/>
      <c r="RC393" s="634"/>
      <c r="RD393" s="634"/>
      <c r="RE393" s="634"/>
      <c r="RF393" s="634"/>
      <c r="RG393" s="634"/>
      <c r="RH393" s="634"/>
      <c r="RI393" s="634"/>
      <c r="RJ393" s="634"/>
      <c r="RK393" s="634"/>
      <c r="RL393" s="634"/>
      <c r="RM393" s="634"/>
      <c r="RN393" s="634"/>
      <c r="RO393" s="634"/>
      <c r="RP393" s="634"/>
      <c r="RQ393" s="634"/>
      <c r="RR393" s="634"/>
      <c r="RS393" s="634"/>
      <c r="RT393" s="634"/>
      <c r="RU393" s="634"/>
      <c r="RV393" s="634"/>
      <c r="RW393" s="634"/>
      <c r="RX393" s="634"/>
      <c r="RY393" s="634"/>
      <c r="RZ393" s="634"/>
      <c r="SA393" s="634"/>
      <c r="SB393" s="634"/>
      <c r="SC393" s="634"/>
      <c r="SD393" s="634"/>
      <c r="SE393" s="634"/>
      <c r="SF393" s="634"/>
      <c r="SG393" s="634"/>
      <c r="SH393" s="634"/>
      <c r="SI393" s="634"/>
      <c r="SJ393" s="634"/>
      <c r="SK393" s="634"/>
      <c r="SL393" s="634"/>
      <c r="SM393" s="634"/>
      <c r="SN393" s="634"/>
      <c r="SO393" s="634"/>
      <c r="SP393" s="634"/>
      <c r="SQ393" s="634"/>
      <c r="SR393" s="634"/>
      <c r="SS393" s="634"/>
      <c r="ST393" s="634"/>
      <c r="SU393" s="634"/>
      <c r="SV393" s="634"/>
      <c r="SW393" s="634"/>
      <c r="SX393" s="634"/>
      <c r="SY393" s="634"/>
      <c r="SZ393" s="634"/>
      <c r="TA393" s="634"/>
      <c r="TB393" s="634"/>
      <c r="TC393" s="634"/>
      <c r="TD393" s="634"/>
      <c r="TE393" s="634"/>
      <c r="TF393" s="634"/>
      <c r="TG393" s="634"/>
      <c r="TH393" s="634"/>
      <c r="TI393" s="634"/>
      <c r="TJ393" s="634"/>
      <c r="TK393" s="634"/>
      <c r="TL393" s="634"/>
      <c r="TM393" s="634"/>
      <c r="TN393" s="634"/>
      <c r="TO393" s="634"/>
      <c r="TP393" s="634"/>
      <c r="TQ393" s="634"/>
      <c r="TR393" s="634"/>
      <c r="TS393" s="634"/>
      <c r="TT393" s="634"/>
      <c r="TU393" s="634"/>
      <c r="TV393" s="634"/>
      <c r="TW393" s="634"/>
      <c r="TX393" s="634"/>
      <c r="TY393" s="634"/>
      <c r="TZ393" s="634"/>
      <c r="UA393" s="634"/>
      <c r="UB393" s="634"/>
      <c r="UC393" s="634"/>
      <c r="UD393" s="634"/>
      <c r="UE393" s="634"/>
      <c r="UF393" s="634"/>
      <c r="UG393" s="634"/>
      <c r="UH393" s="634"/>
      <c r="UI393" s="634"/>
      <c r="UJ393" s="634"/>
      <c r="UK393" s="634"/>
      <c r="UL393" s="634"/>
      <c r="UM393" s="634"/>
      <c r="UN393" s="634"/>
      <c r="UO393" s="634"/>
      <c r="UP393" s="634"/>
      <c r="UQ393" s="634"/>
      <c r="UR393" s="634"/>
      <c r="US393" s="634"/>
      <c r="UT393" s="634"/>
      <c r="UU393" s="634"/>
      <c r="UV393" s="634"/>
      <c r="UW393" s="634"/>
      <c r="UX393" s="634"/>
      <c r="UY393" s="634"/>
      <c r="UZ393" s="634"/>
      <c r="VA393" s="634"/>
      <c r="VB393" s="634"/>
      <c r="VC393" s="634"/>
      <c r="VD393" s="634"/>
      <c r="VE393" s="634"/>
      <c r="VF393" s="634"/>
      <c r="VG393" s="634"/>
      <c r="VH393" s="634"/>
      <c r="VI393" s="634"/>
      <c r="VJ393" s="634"/>
      <c r="VK393" s="634"/>
      <c r="VL393" s="634"/>
      <c r="VM393" s="634"/>
      <c r="VN393" s="634"/>
      <c r="VO393" s="634"/>
      <c r="VP393" s="634"/>
      <c r="VQ393" s="634"/>
      <c r="VR393" s="634"/>
      <c r="VS393" s="634"/>
      <c r="VT393" s="634"/>
      <c r="VU393" s="634"/>
      <c r="VV393" s="634"/>
      <c r="VW393" s="634"/>
      <c r="VX393" s="634"/>
      <c r="VY393" s="634"/>
      <c r="VZ393" s="634"/>
      <c r="WA393" s="634"/>
      <c r="WB393" s="634"/>
      <c r="WC393" s="634"/>
      <c r="WD393" s="634"/>
      <c r="WE393" s="634"/>
      <c r="WF393" s="634"/>
      <c r="WG393" s="634"/>
      <c r="WH393" s="634"/>
      <c r="WI393" s="634"/>
      <c r="WJ393" s="634"/>
      <c r="WK393" s="634"/>
      <c r="WL393" s="634"/>
      <c r="WM393" s="634"/>
      <c r="WN393" s="634"/>
      <c r="WO393" s="634"/>
      <c r="WP393" s="634"/>
      <c r="WQ393" s="634"/>
      <c r="WR393" s="634"/>
      <c r="WS393" s="634"/>
      <c r="WT393" s="634"/>
      <c r="WU393" s="634"/>
      <c r="WV393" s="634"/>
      <c r="WW393" s="634"/>
      <c r="WX393" s="634"/>
      <c r="WY393" s="634"/>
      <c r="WZ393" s="634"/>
      <c r="XA393" s="634"/>
      <c r="XB393" s="634"/>
      <c r="XC393" s="634"/>
      <c r="XD393" s="634"/>
      <c r="XE393" s="634"/>
      <c r="XF393" s="634"/>
      <c r="XG393" s="634"/>
      <c r="XH393" s="634"/>
      <c r="XI393" s="634"/>
      <c r="XJ393" s="634"/>
      <c r="XK393" s="634"/>
      <c r="XL393" s="634"/>
      <c r="XM393" s="634"/>
      <c r="XN393" s="634"/>
      <c r="XO393" s="634"/>
      <c r="XP393" s="634"/>
      <c r="XQ393" s="634"/>
      <c r="XR393" s="634"/>
      <c r="XS393" s="634"/>
      <c r="XT393" s="634"/>
      <c r="XU393" s="634"/>
      <c r="XV393" s="634"/>
      <c r="XW393" s="634"/>
      <c r="XX393" s="634"/>
      <c r="XY393" s="634"/>
      <c r="XZ393" s="634"/>
      <c r="YA393" s="634"/>
      <c r="YB393" s="634"/>
      <c r="YC393" s="634"/>
      <c r="YD393" s="634"/>
      <c r="YE393" s="634"/>
      <c r="YF393" s="634"/>
      <c r="YG393" s="634"/>
      <c r="YH393" s="634"/>
      <c r="YI393" s="634"/>
      <c r="YJ393" s="634"/>
      <c r="YK393" s="634"/>
      <c r="YL393" s="634"/>
      <c r="YM393" s="634"/>
      <c r="YN393" s="634"/>
      <c r="YO393" s="634"/>
      <c r="YP393" s="634"/>
      <c r="YQ393" s="634"/>
      <c r="YR393" s="634"/>
      <c r="YS393" s="634"/>
      <c r="YT393" s="634"/>
      <c r="YU393" s="634"/>
      <c r="YV393" s="634"/>
      <c r="YW393" s="634"/>
      <c r="YX393" s="634"/>
      <c r="YY393" s="634"/>
      <c r="YZ393" s="634"/>
      <c r="ZA393" s="634"/>
      <c r="ZB393" s="634"/>
      <c r="ZC393" s="634"/>
      <c r="ZD393" s="634"/>
      <c r="ZE393" s="634"/>
      <c r="ZF393" s="634"/>
      <c r="ZG393" s="634"/>
      <c r="ZH393" s="634"/>
      <c r="ZI393" s="634"/>
      <c r="ZJ393" s="634"/>
      <c r="ZK393" s="634"/>
      <c r="ZL393" s="634"/>
      <c r="ZM393" s="634"/>
      <c r="ZN393" s="634"/>
      <c r="ZO393" s="634"/>
      <c r="ZP393" s="634"/>
      <c r="ZQ393" s="634"/>
      <c r="ZR393" s="634"/>
      <c r="ZS393" s="634"/>
      <c r="ZT393" s="634"/>
      <c r="ZU393" s="634"/>
      <c r="ZV393" s="634"/>
      <c r="ZW393" s="634"/>
      <c r="ZX393" s="634"/>
      <c r="ZY393" s="637"/>
      <c r="ZZ393" s="119"/>
      <c r="AAA393" s="587"/>
      <c r="AAD393" s="112"/>
      <c r="AAE393" s="550" t="s">
        <v>243</v>
      </c>
      <c r="AAF393" s="582" t="s">
        <v>172</v>
      </c>
      <c r="AAG393" s="78">
        <f>S.SubmitNoticeToSOS</f>
        <v>41501</v>
      </c>
      <c r="AAH393" s="78">
        <f>S.EQCMeeting</f>
        <v>41619</v>
      </c>
      <c r="AAI393" s="77"/>
      <c r="AAJ393" s="57"/>
      <c r="AAK393" s="57"/>
      <c r="AAL393" s="57"/>
      <c r="AAM393" s="112"/>
      <c r="AAN393"/>
      <c r="AAT393" s="23"/>
      <c r="AAU393" s="44"/>
    </row>
    <row r="394" spans="1:732" ht="6" customHeight="1">
      <c r="A394" s="557"/>
      <c r="B394" s="206"/>
      <c r="C394" s="688"/>
      <c r="D394" s="180"/>
      <c r="E394" s="181"/>
      <c r="F394" s="181"/>
      <c r="G394" s="180"/>
      <c r="H394" s="180"/>
      <c r="I394" s="587"/>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7"/>
      <c r="AAD394" s="112"/>
      <c r="AAE394" s="550" t="s">
        <v>20</v>
      </c>
      <c r="AAF394" s="582" t="s">
        <v>172</v>
      </c>
      <c r="AAG394" s="63"/>
      <c r="AAH394" s="63"/>
      <c r="AAI394" s="77"/>
      <c r="AAJ394" s="57"/>
      <c r="AAK394" s="57"/>
      <c r="AAL394" s="57"/>
      <c r="AAM394" s="112"/>
      <c r="AAN394"/>
      <c r="AAT394" s="23"/>
      <c r="AAU394" s="44"/>
    </row>
    <row r="395" spans="1:732" ht="15" customHeight="1" outlineLevel="1">
      <c r="A395" s="557"/>
      <c r="B395" s="461" t="s">
        <v>155</v>
      </c>
      <c r="C395" s="187"/>
      <c r="D395" s="277" t="s">
        <v>391</v>
      </c>
      <c r="E395" s="435">
        <f t="shared" ref="E395" si="980">NETWORKDAYS(G395,H395,S.DDL_DEQClosed)</f>
        <v>56</v>
      </c>
      <c r="F395" s="490">
        <f t="shared" ref="F395" ca="1" si="981">NETWORKDAYS(TODAY(),H395)</f>
        <v>70</v>
      </c>
      <c r="G395" s="436">
        <f t="shared" ref="G395:H395" si="982">AAG395</f>
        <v>41501</v>
      </c>
      <c r="H395" s="436">
        <f t="shared" si="982"/>
        <v>41579</v>
      </c>
      <c r="I395" s="626"/>
      <c r="J395" s="639"/>
      <c r="K395" s="640"/>
      <c r="L395" s="640"/>
      <c r="M395" s="640"/>
      <c r="N395" s="640"/>
      <c r="O395" s="640"/>
      <c r="P395" s="640"/>
      <c r="Q395" s="640"/>
      <c r="R395" s="640"/>
      <c r="S395" s="640"/>
      <c r="T395" s="640"/>
      <c r="U395" s="640"/>
      <c r="V395" s="640"/>
      <c r="W395" s="640"/>
      <c r="X395" s="640"/>
      <c r="Y395" s="640"/>
      <c r="Z395" s="640"/>
      <c r="AA395" s="640"/>
      <c r="AB395" s="640"/>
      <c r="AC395" s="640"/>
      <c r="AD395" s="640"/>
      <c r="AE395" s="640"/>
      <c r="AF395" s="640"/>
      <c r="AG395" s="640"/>
      <c r="AH395" s="640"/>
      <c r="AI395" s="640"/>
      <c r="AJ395" s="640"/>
      <c r="AK395" s="640"/>
      <c r="AL395" s="640"/>
      <c r="AM395" s="640"/>
      <c r="AN395" s="640"/>
      <c r="AO395" s="640"/>
      <c r="AP395" s="640"/>
      <c r="AQ395" s="640"/>
      <c r="AR395" s="640"/>
      <c r="AS395" s="640"/>
      <c r="AT395" s="640"/>
      <c r="AU395" s="640"/>
      <c r="AV395" s="640"/>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c r="BR395" s="640"/>
      <c r="BS395" s="640"/>
      <c r="BT395" s="640"/>
      <c r="BU395" s="640"/>
      <c r="BV395" s="640"/>
      <c r="BW395" s="640"/>
      <c r="BX395" s="640"/>
      <c r="BY395" s="640"/>
      <c r="BZ395" s="640"/>
      <c r="CA395" s="640"/>
      <c r="CB395" s="640"/>
      <c r="CC395" s="640"/>
      <c r="CD395" s="640"/>
      <c r="CE395" s="640"/>
      <c r="CF395" s="640"/>
      <c r="CG395" s="640"/>
      <c r="CH395" s="640"/>
      <c r="CI395" s="640"/>
      <c r="CJ395" s="640"/>
      <c r="CK395" s="640"/>
      <c r="CL395" s="640"/>
      <c r="CM395" s="640"/>
      <c r="CN395" s="640"/>
      <c r="CO395" s="640"/>
      <c r="CP395" s="640"/>
      <c r="CQ395" s="640"/>
      <c r="CR395" s="640"/>
      <c r="CS395" s="640"/>
      <c r="CT395" s="640"/>
      <c r="CU395" s="640"/>
      <c r="CV395" s="640"/>
      <c r="CW395" s="640"/>
      <c r="CX395" s="640"/>
      <c r="CY395" s="640"/>
      <c r="CZ395" s="640"/>
      <c r="DA395" s="640"/>
      <c r="DB395" s="640"/>
      <c r="DC395" s="640"/>
      <c r="DD395" s="640"/>
      <c r="DE395" s="640"/>
      <c r="DF395" s="640"/>
      <c r="DG395" s="640"/>
      <c r="DH395" s="640"/>
      <c r="DI395" s="640"/>
      <c r="DJ395" s="640"/>
      <c r="DK395" s="640"/>
      <c r="DL395" s="640"/>
      <c r="DM395" s="640"/>
      <c r="DN395" s="640"/>
      <c r="DO395" s="640"/>
      <c r="DP395" s="640"/>
      <c r="DQ395" s="640"/>
      <c r="DR395" s="640"/>
      <c r="DS395" s="640"/>
      <c r="DT395" s="640"/>
      <c r="DU395" s="640"/>
      <c r="DV395" s="640"/>
      <c r="DW395" s="640"/>
      <c r="DX395" s="640"/>
      <c r="DY395" s="640"/>
      <c r="DZ395" s="640"/>
      <c r="EA395" s="640"/>
      <c r="EB395" s="640"/>
      <c r="EC395" s="640"/>
      <c r="ED395" s="640"/>
      <c r="EE395" s="640"/>
      <c r="EF395" s="640"/>
      <c r="EG395" s="640"/>
      <c r="EH395" s="640"/>
      <c r="EI395" s="640"/>
      <c r="EJ395" s="640"/>
      <c r="EK395" s="640"/>
      <c r="EL395" s="640"/>
      <c r="EM395" s="640"/>
      <c r="EN395" s="640"/>
      <c r="EO395" s="640"/>
      <c r="EP395" s="640"/>
      <c r="EQ395" s="640"/>
      <c r="ER395" s="640"/>
      <c r="ES395" s="640"/>
      <c r="ET395" s="640"/>
      <c r="EU395" s="640"/>
      <c r="EV395" s="640"/>
      <c r="EW395" s="640"/>
      <c r="EX395" s="640"/>
      <c r="EY395" s="640"/>
      <c r="EZ395" s="640"/>
      <c r="FA395" s="640"/>
      <c r="FB395" s="640"/>
      <c r="FC395" s="640"/>
      <c r="FD395" s="640"/>
      <c r="FE395" s="640"/>
      <c r="FF395" s="640"/>
      <c r="FG395" s="640"/>
      <c r="FH395" s="640"/>
      <c r="FI395" s="640"/>
      <c r="FJ395" s="640"/>
      <c r="FK395" s="640"/>
      <c r="FL395" s="640"/>
      <c r="FM395" s="640"/>
      <c r="FN395" s="640"/>
      <c r="FO395" s="640"/>
      <c r="FP395" s="640"/>
      <c r="FQ395" s="640"/>
      <c r="FR395" s="640"/>
      <c r="FS395" s="640"/>
      <c r="FT395" s="640"/>
      <c r="FU395" s="640"/>
      <c r="FV395" s="640"/>
      <c r="FW395" s="640"/>
      <c r="FX395" s="640"/>
      <c r="FY395" s="640"/>
      <c r="FZ395" s="640"/>
      <c r="GA395" s="640"/>
      <c r="GB395" s="640"/>
      <c r="GC395" s="640"/>
      <c r="GD395" s="640"/>
      <c r="GE395" s="640"/>
      <c r="GF395" s="640"/>
      <c r="GG395" s="640"/>
      <c r="GH395" s="640"/>
      <c r="GI395" s="640"/>
      <c r="GJ395" s="640"/>
      <c r="GK395" s="640"/>
      <c r="GL395" s="640"/>
      <c r="GM395" s="640"/>
      <c r="GN395" s="640"/>
      <c r="GO395" s="640"/>
      <c r="GP395" s="640"/>
      <c r="GQ395" s="640"/>
      <c r="GR395" s="640"/>
      <c r="GS395" s="640"/>
      <c r="GT395" s="640"/>
      <c r="GU395" s="640"/>
      <c r="GV395" s="640"/>
      <c r="GW395" s="640"/>
      <c r="GX395" s="640"/>
      <c r="GY395" s="640"/>
      <c r="GZ395" s="640"/>
      <c r="HA395" s="640"/>
      <c r="HB395" s="640"/>
      <c r="HC395" s="640"/>
      <c r="HD395" s="640"/>
      <c r="HE395" s="640"/>
      <c r="HF395" s="640"/>
      <c r="HG395" s="640"/>
      <c r="HH395" s="640"/>
      <c r="HI395" s="640"/>
      <c r="HJ395" s="640"/>
      <c r="HK395" s="640"/>
      <c r="HL395" s="640"/>
      <c r="HM395" s="640"/>
      <c r="HN395" s="640"/>
      <c r="HO395" s="640"/>
      <c r="HP395" s="640"/>
      <c r="HQ395" s="640"/>
      <c r="HR395" s="640"/>
      <c r="HS395" s="640"/>
      <c r="HT395" s="640"/>
      <c r="HU395" s="640"/>
      <c r="HV395" s="640"/>
      <c r="HW395" s="640"/>
      <c r="HX395" s="640"/>
      <c r="HY395" s="640"/>
      <c r="HZ395" s="640"/>
      <c r="IA395" s="640"/>
      <c r="IB395" s="640"/>
      <c r="IC395" s="640"/>
      <c r="ID395" s="640"/>
      <c r="IE395" s="640"/>
      <c r="IF395" s="640"/>
      <c r="IG395" s="640"/>
      <c r="IH395" s="640"/>
      <c r="II395" s="640"/>
      <c r="IJ395" s="640"/>
      <c r="IK395" s="640"/>
      <c r="IL395" s="640"/>
      <c r="IM395" s="640"/>
      <c r="IN395" s="640"/>
      <c r="IO395" s="640"/>
      <c r="IP395" s="640"/>
      <c r="IQ395" s="640"/>
      <c r="IR395" s="640"/>
      <c r="IS395" s="640"/>
      <c r="IT395" s="640"/>
      <c r="IU395" s="640"/>
      <c r="IV395" s="640"/>
      <c r="IW395" s="640"/>
      <c r="IX395" s="640"/>
      <c r="IY395" s="640"/>
      <c r="IZ395" s="640"/>
      <c r="JA395" s="640"/>
      <c r="JB395" s="640"/>
      <c r="JC395" s="640"/>
      <c r="JD395" s="640"/>
      <c r="JE395" s="640"/>
      <c r="JF395" s="640"/>
      <c r="JG395" s="640"/>
      <c r="JH395" s="640"/>
      <c r="JI395" s="640"/>
      <c r="JJ395" s="640"/>
      <c r="JK395" s="640"/>
      <c r="JL395" s="640"/>
      <c r="JM395" s="640"/>
      <c r="JN395" s="640"/>
      <c r="JO395" s="640"/>
      <c r="JP395" s="640"/>
      <c r="JQ395" s="640"/>
      <c r="JR395" s="640"/>
      <c r="JS395" s="640"/>
      <c r="JT395" s="640"/>
      <c r="JU395" s="640"/>
      <c r="JV395" s="640"/>
      <c r="JW395" s="640"/>
      <c r="JX395" s="640"/>
      <c r="JY395" s="640"/>
      <c r="JZ395" s="640"/>
      <c r="KA395" s="640"/>
      <c r="KB395" s="640"/>
      <c r="KC395" s="640"/>
      <c r="KD395" s="640"/>
      <c r="KE395" s="640"/>
      <c r="KF395" s="640"/>
      <c r="KG395" s="640"/>
      <c r="KH395" s="640"/>
      <c r="KI395" s="640"/>
      <c r="KJ395" s="640"/>
      <c r="KK395" s="640"/>
      <c r="KL395" s="640"/>
      <c r="KM395" s="640"/>
      <c r="KN395" s="640"/>
      <c r="KO395" s="640"/>
      <c r="KP395" s="640"/>
      <c r="KQ395" s="640"/>
      <c r="KR395" s="640"/>
      <c r="KS395" s="640"/>
      <c r="KT395" s="640"/>
      <c r="KU395" s="640"/>
      <c r="KV395" s="640"/>
      <c r="KW395" s="640"/>
      <c r="KX395" s="640"/>
      <c r="KY395" s="640"/>
      <c r="KZ395" s="640"/>
      <c r="LA395" s="640"/>
      <c r="LB395" s="640"/>
      <c r="LC395" s="640"/>
      <c r="LD395" s="640"/>
      <c r="LE395" s="640"/>
      <c r="LF395" s="640"/>
      <c r="LG395" s="640"/>
      <c r="LH395" s="640"/>
      <c r="LI395" s="640"/>
      <c r="LJ395" s="640"/>
      <c r="LK395" s="640"/>
      <c r="LL395" s="640"/>
      <c r="LM395" s="640"/>
      <c r="LN395" s="640"/>
      <c r="LO395" s="640"/>
      <c r="LP395" s="640"/>
      <c r="LQ395" s="640"/>
      <c r="LR395" s="640"/>
      <c r="LS395" s="640"/>
      <c r="LT395" s="640"/>
      <c r="LU395" s="640"/>
      <c r="LV395" s="640"/>
      <c r="LW395" s="640"/>
      <c r="LX395" s="640"/>
      <c r="LY395" s="640"/>
      <c r="LZ395" s="640"/>
      <c r="MA395" s="640"/>
      <c r="MB395" s="640"/>
      <c r="MC395" s="640"/>
      <c r="MD395" s="640"/>
      <c r="ME395" s="640"/>
      <c r="MF395" s="640"/>
      <c r="MG395" s="640"/>
      <c r="MH395" s="640"/>
      <c r="MI395" s="640"/>
      <c r="MJ395" s="640"/>
      <c r="MK395" s="640"/>
      <c r="ML395" s="640"/>
      <c r="MM395" s="640"/>
      <c r="MN395" s="640"/>
      <c r="MO395" s="640"/>
      <c r="MP395" s="640"/>
      <c r="MQ395" s="640"/>
      <c r="MR395" s="640"/>
      <c r="MS395" s="640"/>
      <c r="MT395" s="640"/>
      <c r="MU395" s="640"/>
      <c r="MV395" s="640"/>
      <c r="MW395" s="640"/>
      <c r="MX395" s="640"/>
      <c r="MY395" s="640"/>
      <c r="MZ395" s="640"/>
      <c r="NA395" s="640"/>
      <c r="NB395" s="640"/>
      <c r="NC395" s="640"/>
      <c r="ND395" s="640"/>
      <c r="NE395" s="640"/>
      <c r="NF395" s="640"/>
      <c r="NG395" s="640"/>
      <c r="NH395" s="640"/>
      <c r="NI395" s="640"/>
      <c r="NJ395" s="640"/>
      <c r="NK395" s="640"/>
      <c r="NL395" s="640"/>
      <c r="NM395" s="640"/>
      <c r="NN395" s="640"/>
      <c r="NO395" s="640"/>
      <c r="NP395" s="640"/>
      <c r="NQ395" s="640"/>
      <c r="NR395" s="640"/>
      <c r="NS395" s="640"/>
      <c r="NT395" s="640"/>
      <c r="NU395" s="640"/>
      <c r="NV395" s="640"/>
      <c r="NW395" s="640"/>
      <c r="NX395" s="640"/>
      <c r="NY395" s="640"/>
      <c r="NZ395" s="640"/>
      <c r="OA395" s="640"/>
      <c r="OB395" s="640"/>
      <c r="OC395" s="640"/>
      <c r="OD395" s="640"/>
      <c r="OE395" s="640"/>
      <c r="OF395" s="640"/>
      <c r="OG395" s="640"/>
      <c r="OH395" s="640"/>
      <c r="OI395" s="640"/>
      <c r="OJ395" s="640"/>
      <c r="OK395" s="640"/>
      <c r="OL395" s="640"/>
      <c r="OM395" s="640"/>
      <c r="ON395" s="640"/>
      <c r="OO395" s="640"/>
      <c r="OP395" s="640"/>
      <c r="OQ395" s="640"/>
      <c r="OR395" s="640"/>
      <c r="OS395" s="640"/>
      <c r="OT395" s="640"/>
      <c r="OU395" s="640"/>
      <c r="OV395" s="640"/>
      <c r="OW395" s="640"/>
      <c r="OX395" s="640"/>
      <c r="OY395" s="640"/>
      <c r="OZ395" s="640"/>
      <c r="PA395" s="640"/>
      <c r="PB395" s="640"/>
      <c r="PC395" s="640"/>
      <c r="PD395" s="640"/>
      <c r="PE395" s="640"/>
      <c r="PF395" s="640"/>
      <c r="PG395" s="640"/>
      <c r="PH395" s="640"/>
      <c r="PI395" s="640"/>
      <c r="PJ395" s="640"/>
      <c r="PK395" s="640"/>
      <c r="PL395" s="640"/>
      <c r="PM395" s="640"/>
      <c r="PN395" s="640"/>
      <c r="PO395" s="640"/>
      <c r="PP395" s="640"/>
      <c r="PQ395" s="640"/>
      <c r="PR395" s="640"/>
      <c r="PS395" s="640"/>
      <c r="PT395" s="640"/>
      <c r="PU395" s="640"/>
      <c r="PV395" s="640"/>
      <c r="PW395" s="640"/>
      <c r="PX395" s="640"/>
      <c r="PY395" s="640"/>
      <c r="PZ395" s="640"/>
      <c r="QA395" s="640"/>
      <c r="QB395" s="640"/>
      <c r="QC395" s="640"/>
      <c r="QD395" s="640"/>
      <c r="QE395" s="640"/>
      <c r="QF395" s="640"/>
      <c r="QG395" s="640"/>
      <c r="QH395" s="640"/>
      <c r="QI395" s="640"/>
      <c r="QJ395" s="640"/>
      <c r="QK395" s="640"/>
      <c r="QL395" s="640"/>
      <c r="QM395" s="640"/>
      <c r="QN395" s="640"/>
      <c r="QO395" s="640"/>
      <c r="QP395" s="640"/>
      <c r="QQ395" s="640"/>
      <c r="QR395" s="640"/>
      <c r="QS395" s="640"/>
      <c r="QT395" s="640"/>
      <c r="QU395" s="640"/>
      <c r="QV395" s="640"/>
      <c r="QW395" s="640"/>
      <c r="QX395" s="640"/>
      <c r="QY395" s="640"/>
      <c r="QZ395" s="640"/>
      <c r="RA395" s="640"/>
      <c r="RB395" s="640"/>
      <c r="RC395" s="640"/>
      <c r="RD395" s="640"/>
      <c r="RE395" s="640"/>
      <c r="RF395" s="640"/>
      <c r="RG395" s="640"/>
      <c r="RH395" s="640"/>
      <c r="RI395" s="640"/>
      <c r="RJ395" s="640"/>
      <c r="RK395" s="640"/>
      <c r="RL395" s="640"/>
      <c r="RM395" s="640"/>
      <c r="RN395" s="640"/>
      <c r="RO395" s="640"/>
      <c r="RP395" s="640"/>
      <c r="RQ395" s="640"/>
      <c r="RR395" s="640"/>
      <c r="RS395" s="640"/>
      <c r="RT395" s="640"/>
      <c r="RU395" s="640"/>
      <c r="RV395" s="640"/>
      <c r="RW395" s="640"/>
      <c r="RX395" s="640"/>
      <c r="RY395" s="640"/>
      <c r="RZ395" s="640"/>
      <c r="SA395" s="640"/>
      <c r="SB395" s="640"/>
      <c r="SC395" s="640"/>
      <c r="SD395" s="640"/>
      <c r="SE395" s="640"/>
      <c r="SF395" s="640"/>
      <c r="SG395" s="640"/>
      <c r="SH395" s="640"/>
      <c r="SI395" s="640"/>
      <c r="SJ395" s="640"/>
      <c r="SK395" s="640"/>
      <c r="SL395" s="640"/>
      <c r="SM395" s="640"/>
      <c r="SN395" s="640"/>
      <c r="SO395" s="640"/>
      <c r="SP395" s="640"/>
      <c r="SQ395" s="640"/>
      <c r="SR395" s="640"/>
      <c r="SS395" s="640"/>
      <c r="ST395" s="640"/>
      <c r="SU395" s="640"/>
      <c r="SV395" s="640"/>
      <c r="SW395" s="640"/>
      <c r="SX395" s="640"/>
      <c r="SY395" s="640"/>
      <c r="SZ395" s="640"/>
      <c r="TA395" s="640"/>
      <c r="TB395" s="640"/>
      <c r="TC395" s="640"/>
      <c r="TD395" s="640"/>
      <c r="TE395" s="640"/>
      <c r="TF395" s="640"/>
      <c r="TG395" s="640"/>
      <c r="TH395" s="640"/>
      <c r="TI395" s="640"/>
      <c r="TJ395" s="640"/>
      <c r="TK395" s="640"/>
      <c r="TL395" s="640"/>
      <c r="TM395" s="640"/>
      <c r="TN395" s="640"/>
      <c r="TO395" s="640"/>
      <c r="TP395" s="640"/>
      <c r="TQ395" s="640"/>
      <c r="TR395" s="640"/>
      <c r="TS395" s="640"/>
      <c r="TT395" s="640"/>
      <c r="TU395" s="640"/>
      <c r="TV395" s="640"/>
      <c r="TW395" s="640"/>
      <c r="TX395" s="640"/>
      <c r="TY395" s="640"/>
      <c r="TZ395" s="640"/>
      <c r="UA395" s="640"/>
      <c r="UB395" s="640"/>
      <c r="UC395" s="640"/>
      <c r="UD395" s="640"/>
      <c r="UE395" s="640"/>
      <c r="UF395" s="640"/>
      <c r="UG395" s="640"/>
      <c r="UH395" s="640"/>
      <c r="UI395" s="640"/>
      <c r="UJ395" s="640"/>
      <c r="UK395" s="640"/>
      <c r="UL395" s="640"/>
      <c r="UM395" s="640"/>
      <c r="UN395" s="640"/>
      <c r="UO395" s="640"/>
      <c r="UP395" s="640"/>
      <c r="UQ395" s="640"/>
      <c r="UR395" s="640"/>
      <c r="US395" s="640"/>
      <c r="UT395" s="640"/>
      <c r="UU395" s="640"/>
      <c r="UV395" s="640"/>
      <c r="UW395" s="640"/>
      <c r="UX395" s="640"/>
      <c r="UY395" s="640"/>
      <c r="UZ395" s="640"/>
      <c r="VA395" s="640"/>
      <c r="VB395" s="640"/>
      <c r="VC395" s="640"/>
      <c r="VD395" s="640"/>
      <c r="VE395" s="640"/>
      <c r="VF395" s="640"/>
      <c r="VG395" s="640"/>
      <c r="VH395" s="640"/>
      <c r="VI395" s="640"/>
      <c r="VJ395" s="640"/>
      <c r="VK395" s="640"/>
      <c r="VL395" s="640"/>
      <c r="VM395" s="640"/>
      <c r="VN395" s="640"/>
      <c r="VO395" s="640"/>
      <c r="VP395" s="640"/>
      <c r="VQ395" s="640"/>
      <c r="VR395" s="640"/>
      <c r="VS395" s="640"/>
      <c r="VT395" s="640"/>
      <c r="VU395" s="640"/>
      <c r="VV395" s="640"/>
      <c r="VW395" s="640"/>
      <c r="VX395" s="640"/>
      <c r="VY395" s="640"/>
      <c r="VZ395" s="640"/>
      <c r="WA395" s="640"/>
      <c r="WB395" s="640"/>
      <c r="WC395" s="640"/>
      <c r="WD395" s="640"/>
      <c r="WE395" s="640"/>
      <c r="WF395" s="640"/>
      <c r="WG395" s="640"/>
      <c r="WH395" s="640"/>
      <c r="WI395" s="640"/>
      <c r="WJ395" s="640"/>
      <c r="WK395" s="640"/>
      <c r="WL395" s="640"/>
      <c r="WM395" s="640"/>
      <c r="WN395" s="640"/>
      <c r="WO395" s="640"/>
      <c r="WP395" s="640"/>
      <c r="WQ395" s="640"/>
      <c r="WR395" s="640"/>
      <c r="WS395" s="640"/>
      <c r="WT395" s="640"/>
      <c r="WU395" s="640"/>
      <c r="WV395" s="640"/>
      <c r="WW395" s="640"/>
      <c r="WX395" s="640"/>
      <c r="WY395" s="640"/>
      <c r="WZ395" s="640"/>
      <c r="XA395" s="640"/>
      <c r="XB395" s="640"/>
      <c r="XC395" s="640"/>
      <c r="XD395" s="640"/>
      <c r="XE395" s="640"/>
      <c r="XF395" s="640"/>
      <c r="XG395" s="640"/>
      <c r="XH395" s="640"/>
      <c r="XI395" s="640"/>
      <c r="XJ395" s="640"/>
      <c r="XK395" s="640"/>
      <c r="XL395" s="640"/>
      <c r="XM395" s="640"/>
      <c r="XN395" s="640"/>
      <c r="XO395" s="640"/>
      <c r="XP395" s="640"/>
      <c r="XQ395" s="640"/>
      <c r="XR395" s="640"/>
      <c r="XS395" s="640"/>
      <c r="XT395" s="640"/>
      <c r="XU395" s="640"/>
      <c r="XV395" s="640"/>
      <c r="XW395" s="640"/>
      <c r="XX395" s="640"/>
      <c r="XY395" s="640"/>
      <c r="XZ395" s="640"/>
      <c r="YA395" s="640"/>
      <c r="YB395" s="640"/>
      <c r="YC395" s="640"/>
      <c r="YD395" s="640"/>
      <c r="YE395" s="640"/>
      <c r="YF395" s="640"/>
      <c r="YG395" s="640"/>
      <c r="YH395" s="640"/>
      <c r="YI395" s="640"/>
      <c r="YJ395" s="640"/>
      <c r="YK395" s="640"/>
      <c r="YL395" s="640"/>
      <c r="YM395" s="640"/>
      <c r="YN395" s="640"/>
      <c r="YO395" s="640"/>
      <c r="YP395" s="640"/>
      <c r="YQ395" s="640"/>
      <c r="YR395" s="640"/>
      <c r="YS395" s="640"/>
      <c r="YT395" s="640"/>
      <c r="YU395" s="640"/>
      <c r="YV395" s="640"/>
      <c r="YW395" s="640"/>
      <c r="YX395" s="640"/>
      <c r="YY395" s="640"/>
      <c r="YZ395" s="640"/>
      <c r="ZA395" s="640"/>
      <c r="ZB395" s="640"/>
      <c r="ZC395" s="640"/>
      <c r="ZD395" s="640"/>
      <c r="ZE395" s="640"/>
      <c r="ZF395" s="640"/>
      <c r="ZG395" s="640"/>
      <c r="ZH395" s="640"/>
      <c r="ZI395" s="640"/>
      <c r="ZJ395" s="640"/>
      <c r="ZK395" s="640"/>
      <c r="ZL395" s="640"/>
      <c r="ZM395" s="640"/>
      <c r="ZN395" s="640"/>
      <c r="ZO395" s="640"/>
      <c r="ZP395" s="640"/>
      <c r="ZQ395" s="640"/>
      <c r="ZR395" s="640"/>
      <c r="ZS395" s="640"/>
      <c r="ZT395" s="640"/>
      <c r="ZU395" s="640"/>
      <c r="ZV395" s="640"/>
      <c r="ZW395" s="640"/>
      <c r="ZX395" s="640"/>
      <c r="ZY395" s="50"/>
      <c r="ZZ395" s="50"/>
      <c r="AAA395" s="587"/>
      <c r="AAD395" s="112"/>
      <c r="AAE395" s="550">
        <v>1</v>
      </c>
      <c r="AAF395" s="112"/>
      <c r="AAG395" s="78">
        <f>S.BANNER.EQCStart</f>
        <v>41501</v>
      </c>
      <c r="AAH395" s="78">
        <f>S.SubmitStaffRpt</f>
        <v>41579</v>
      </c>
      <c r="AAI395" s="77"/>
      <c r="AAJ395" s="57"/>
      <c r="AAK395" s="57"/>
      <c r="AAL395" s="57"/>
      <c r="AAM395" s="112"/>
      <c r="AAN395"/>
      <c r="AAT395" s="23"/>
      <c r="AAU395" s="44"/>
    </row>
    <row r="396" spans="1:732" s="23" customFormat="1" ht="15" customHeight="1" outlineLevel="1">
      <c r="A396" s="557" t="s">
        <v>214</v>
      </c>
      <c r="B396" s="479" t="str">
        <f>AAJ396</f>
        <v>STAFF.RPT.Permanent (blank in folder 6)</v>
      </c>
      <c r="C396" s="187"/>
      <c r="D396" s="277"/>
      <c r="E396" s="191"/>
      <c r="F396" s="494"/>
      <c r="G396" s="732"/>
      <c r="H396" s="732"/>
      <c r="I396" s="587"/>
      <c r="J396" s="639"/>
      <c r="K396" s="640"/>
      <c r="L396" s="640"/>
      <c r="M396" s="640"/>
      <c r="N396" s="640"/>
      <c r="O396" s="640"/>
      <c r="P396" s="640"/>
      <c r="Q396" s="640"/>
      <c r="R396" s="640"/>
      <c r="S396" s="640"/>
      <c r="T396" s="640"/>
      <c r="U396" s="640"/>
      <c r="V396" s="640"/>
      <c r="W396" s="640"/>
      <c r="X396" s="640"/>
      <c r="Y396" s="640"/>
      <c r="Z396" s="640"/>
      <c r="AA396" s="640"/>
      <c r="AB396" s="640"/>
      <c r="AC396" s="640"/>
      <c r="AD396" s="640"/>
      <c r="AE396" s="640"/>
      <c r="AF396" s="640"/>
      <c r="AG396" s="640"/>
      <c r="AH396" s="640"/>
      <c r="AI396" s="640"/>
      <c r="AJ396" s="640"/>
      <c r="AK396" s="640"/>
      <c r="AL396" s="640"/>
      <c r="AM396" s="640"/>
      <c r="AN396" s="640"/>
      <c r="AO396" s="640"/>
      <c r="AP396" s="640"/>
      <c r="AQ396" s="640"/>
      <c r="AR396" s="640"/>
      <c r="AS396" s="640"/>
      <c r="AT396" s="640"/>
      <c r="AU396" s="640"/>
      <c r="AV396" s="640"/>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c r="BR396" s="640"/>
      <c r="BS396" s="640"/>
      <c r="BT396" s="640"/>
      <c r="BU396" s="640"/>
      <c r="BV396" s="640"/>
      <c r="BW396" s="640"/>
      <c r="BX396" s="640"/>
      <c r="BY396" s="640"/>
      <c r="BZ396" s="640"/>
      <c r="CA396" s="640"/>
      <c r="CB396" s="640"/>
      <c r="CC396" s="640"/>
      <c r="CD396" s="640"/>
      <c r="CE396" s="640"/>
      <c r="CF396" s="640"/>
      <c r="CG396" s="640"/>
      <c r="CH396" s="640"/>
      <c r="CI396" s="640"/>
      <c r="CJ396" s="640"/>
      <c r="CK396" s="640"/>
      <c r="CL396" s="640"/>
      <c r="CM396" s="640"/>
      <c r="CN396" s="640"/>
      <c r="CO396" s="640"/>
      <c r="CP396" s="640"/>
      <c r="CQ396" s="640"/>
      <c r="CR396" s="640"/>
      <c r="CS396" s="640"/>
      <c r="CT396" s="640"/>
      <c r="CU396" s="640"/>
      <c r="CV396" s="640"/>
      <c r="CW396" s="640"/>
      <c r="CX396" s="640"/>
      <c r="CY396" s="640"/>
      <c r="CZ396" s="640"/>
      <c r="DA396" s="640"/>
      <c r="DB396" s="640"/>
      <c r="DC396" s="640"/>
      <c r="DD396" s="640"/>
      <c r="DE396" s="640"/>
      <c r="DF396" s="640"/>
      <c r="DG396" s="640"/>
      <c r="DH396" s="640"/>
      <c r="DI396" s="640"/>
      <c r="DJ396" s="640"/>
      <c r="DK396" s="640"/>
      <c r="DL396" s="640"/>
      <c r="DM396" s="640"/>
      <c r="DN396" s="640"/>
      <c r="DO396" s="640"/>
      <c r="DP396" s="640"/>
      <c r="DQ396" s="640"/>
      <c r="DR396" s="640"/>
      <c r="DS396" s="640"/>
      <c r="DT396" s="640"/>
      <c r="DU396" s="640"/>
      <c r="DV396" s="640"/>
      <c r="DW396" s="640"/>
      <c r="DX396" s="640"/>
      <c r="DY396" s="640"/>
      <c r="DZ396" s="640"/>
      <c r="EA396" s="640"/>
      <c r="EB396" s="640"/>
      <c r="EC396" s="640"/>
      <c r="ED396" s="640"/>
      <c r="EE396" s="640"/>
      <c r="EF396" s="640"/>
      <c r="EG396" s="640"/>
      <c r="EH396" s="640"/>
      <c r="EI396" s="640"/>
      <c r="EJ396" s="640"/>
      <c r="EK396" s="640"/>
      <c r="EL396" s="640"/>
      <c r="EM396" s="640"/>
      <c r="EN396" s="640"/>
      <c r="EO396" s="640"/>
      <c r="EP396" s="640"/>
      <c r="EQ396" s="640"/>
      <c r="ER396" s="640"/>
      <c r="ES396" s="640"/>
      <c r="ET396" s="640"/>
      <c r="EU396" s="640"/>
      <c r="EV396" s="640"/>
      <c r="EW396" s="640"/>
      <c r="EX396" s="640"/>
      <c r="EY396" s="640"/>
      <c r="EZ396" s="640"/>
      <c r="FA396" s="640"/>
      <c r="FB396" s="640"/>
      <c r="FC396" s="640"/>
      <c r="FD396" s="640"/>
      <c r="FE396" s="640"/>
      <c r="FF396" s="640"/>
      <c r="FG396" s="640"/>
      <c r="FH396" s="640"/>
      <c r="FI396" s="640"/>
      <c r="FJ396" s="640"/>
      <c r="FK396" s="640"/>
      <c r="FL396" s="640"/>
      <c r="FM396" s="640"/>
      <c r="FN396" s="640"/>
      <c r="FO396" s="640"/>
      <c r="FP396" s="640"/>
      <c r="FQ396" s="640"/>
      <c r="FR396" s="640"/>
      <c r="FS396" s="640"/>
      <c r="FT396" s="640"/>
      <c r="FU396" s="640"/>
      <c r="FV396" s="640"/>
      <c r="FW396" s="640"/>
      <c r="FX396" s="640"/>
      <c r="FY396" s="640"/>
      <c r="FZ396" s="640"/>
      <c r="GA396" s="640"/>
      <c r="GB396" s="640"/>
      <c r="GC396" s="640"/>
      <c r="GD396" s="640"/>
      <c r="GE396" s="640"/>
      <c r="GF396" s="640"/>
      <c r="GG396" s="640"/>
      <c r="GH396" s="640"/>
      <c r="GI396" s="640"/>
      <c r="GJ396" s="640"/>
      <c r="GK396" s="640"/>
      <c r="GL396" s="640"/>
      <c r="GM396" s="640"/>
      <c r="GN396" s="640"/>
      <c r="GO396" s="640"/>
      <c r="GP396" s="640"/>
      <c r="GQ396" s="640"/>
      <c r="GR396" s="640"/>
      <c r="GS396" s="640"/>
      <c r="GT396" s="640"/>
      <c r="GU396" s="640"/>
      <c r="GV396" s="640"/>
      <c r="GW396" s="640"/>
      <c r="GX396" s="640"/>
      <c r="GY396" s="640"/>
      <c r="GZ396" s="640"/>
      <c r="HA396" s="640"/>
      <c r="HB396" s="640"/>
      <c r="HC396" s="640"/>
      <c r="HD396" s="640"/>
      <c r="HE396" s="640"/>
      <c r="HF396" s="640"/>
      <c r="HG396" s="640"/>
      <c r="HH396" s="640"/>
      <c r="HI396" s="640"/>
      <c r="HJ396" s="640"/>
      <c r="HK396" s="640"/>
      <c r="HL396" s="640"/>
      <c r="HM396" s="640"/>
      <c r="HN396" s="640"/>
      <c r="HO396" s="640"/>
      <c r="HP396" s="640"/>
      <c r="HQ396" s="640"/>
      <c r="HR396" s="640"/>
      <c r="HS396" s="640"/>
      <c r="HT396" s="640"/>
      <c r="HU396" s="640"/>
      <c r="HV396" s="640"/>
      <c r="HW396" s="640"/>
      <c r="HX396" s="640"/>
      <c r="HY396" s="640"/>
      <c r="HZ396" s="640"/>
      <c r="IA396" s="640"/>
      <c r="IB396" s="640"/>
      <c r="IC396" s="640"/>
      <c r="ID396" s="640"/>
      <c r="IE396" s="640"/>
      <c r="IF396" s="640"/>
      <c r="IG396" s="640"/>
      <c r="IH396" s="640"/>
      <c r="II396" s="640"/>
      <c r="IJ396" s="640"/>
      <c r="IK396" s="640"/>
      <c r="IL396" s="640"/>
      <c r="IM396" s="640"/>
      <c r="IN396" s="640"/>
      <c r="IO396" s="640"/>
      <c r="IP396" s="640"/>
      <c r="IQ396" s="640"/>
      <c r="IR396" s="640"/>
      <c r="IS396" s="640"/>
      <c r="IT396" s="640"/>
      <c r="IU396" s="640"/>
      <c r="IV396" s="640"/>
      <c r="IW396" s="640"/>
      <c r="IX396" s="640"/>
      <c r="IY396" s="640"/>
      <c r="IZ396" s="640"/>
      <c r="JA396" s="640"/>
      <c r="JB396" s="640"/>
      <c r="JC396" s="640"/>
      <c r="JD396" s="640"/>
      <c r="JE396" s="640"/>
      <c r="JF396" s="640"/>
      <c r="JG396" s="640"/>
      <c r="JH396" s="640"/>
      <c r="JI396" s="640"/>
      <c r="JJ396" s="640"/>
      <c r="JK396" s="640"/>
      <c r="JL396" s="640"/>
      <c r="JM396" s="640"/>
      <c r="JN396" s="640"/>
      <c r="JO396" s="640"/>
      <c r="JP396" s="640"/>
      <c r="JQ396" s="640"/>
      <c r="JR396" s="640"/>
      <c r="JS396" s="640"/>
      <c r="JT396" s="640"/>
      <c r="JU396" s="640"/>
      <c r="JV396" s="640"/>
      <c r="JW396" s="640"/>
      <c r="JX396" s="640"/>
      <c r="JY396" s="640"/>
      <c r="JZ396" s="640"/>
      <c r="KA396" s="640"/>
      <c r="KB396" s="640"/>
      <c r="KC396" s="640"/>
      <c r="KD396" s="640"/>
      <c r="KE396" s="640"/>
      <c r="KF396" s="640"/>
      <c r="KG396" s="640"/>
      <c r="KH396" s="640"/>
      <c r="KI396" s="640"/>
      <c r="KJ396" s="640"/>
      <c r="KK396" s="640"/>
      <c r="KL396" s="640"/>
      <c r="KM396" s="640"/>
      <c r="KN396" s="640"/>
      <c r="KO396" s="640"/>
      <c r="KP396" s="640"/>
      <c r="KQ396" s="640"/>
      <c r="KR396" s="640"/>
      <c r="KS396" s="640"/>
      <c r="KT396" s="640"/>
      <c r="KU396" s="640"/>
      <c r="KV396" s="640"/>
      <c r="KW396" s="640"/>
      <c r="KX396" s="640"/>
      <c r="KY396" s="640"/>
      <c r="KZ396" s="640"/>
      <c r="LA396" s="640"/>
      <c r="LB396" s="640"/>
      <c r="LC396" s="640"/>
      <c r="LD396" s="640"/>
      <c r="LE396" s="640"/>
      <c r="LF396" s="640"/>
      <c r="LG396" s="640"/>
      <c r="LH396" s="640"/>
      <c r="LI396" s="640"/>
      <c r="LJ396" s="640"/>
      <c r="LK396" s="640"/>
      <c r="LL396" s="640"/>
      <c r="LM396" s="640"/>
      <c r="LN396" s="640"/>
      <c r="LO396" s="640"/>
      <c r="LP396" s="640"/>
      <c r="LQ396" s="640"/>
      <c r="LR396" s="640"/>
      <c r="LS396" s="640"/>
      <c r="LT396" s="640"/>
      <c r="LU396" s="640"/>
      <c r="LV396" s="640"/>
      <c r="LW396" s="640"/>
      <c r="LX396" s="640"/>
      <c r="LY396" s="640"/>
      <c r="LZ396" s="640"/>
      <c r="MA396" s="640"/>
      <c r="MB396" s="640"/>
      <c r="MC396" s="640"/>
      <c r="MD396" s="640"/>
      <c r="ME396" s="640"/>
      <c r="MF396" s="640"/>
      <c r="MG396" s="640"/>
      <c r="MH396" s="640"/>
      <c r="MI396" s="640"/>
      <c r="MJ396" s="640"/>
      <c r="MK396" s="640"/>
      <c r="ML396" s="640"/>
      <c r="MM396" s="640"/>
      <c r="MN396" s="640"/>
      <c r="MO396" s="640"/>
      <c r="MP396" s="640"/>
      <c r="MQ396" s="640"/>
      <c r="MR396" s="640"/>
      <c r="MS396" s="640"/>
      <c r="MT396" s="640"/>
      <c r="MU396" s="640"/>
      <c r="MV396" s="640"/>
      <c r="MW396" s="640"/>
      <c r="MX396" s="640"/>
      <c r="MY396" s="640"/>
      <c r="MZ396" s="640"/>
      <c r="NA396" s="640"/>
      <c r="NB396" s="640"/>
      <c r="NC396" s="640"/>
      <c r="ND396" s="640"/>
      <c r="NE396" s="640"/>
      <c r="NF396" s="640"/>
      <c r="NG396" s="640"/>
      <c r="NH396" s="640"/>
      <c r="NI396" s="640"/>
      <c r="NJ396" s="640"/>
      <c r="NK396" s="640"/>
      <c r="NL396" s="640"/>
      <c r="NM396" s="640"/>
      <c r="NN396" s="640"/>
      <c r="NO396" s="640"/>
      <c r="NP396" s="640"/>
      <c r="NQ396" s="640"/>
      <c r="NR396" s="640"/>
      <c r="NS396" s="640"/>
      <c r="NT396" s="640"/>
      <c r="NU396" s="640"/>
      <c r="NV396" s="640"/>
      <c r="NW396" s="640"/>
      <c r="NX396" s="640"/>
      <c r="NY396" s="640"/>
      <c r="NZ396" s="640"/>
      <c r="OA396" s="640"/>
      <c r="OB396" s="640"/>
      <c r="OC396" s="640"/>
      <c r="OD396" s="640"/>
      <c r="OE396" s="640"/>
      <c r="OF396" s="640"/>
      <c r="OG396" s="640"/>
      <c r="OH396" s="640"/>
      <c r="OI396" s="640"/>
      <c r="OJ396" s="640"/>
      <c r="OK396" s="640"/>
      <c r="OL396" s="640"/>
      <c r="OM396" s="640"/>
      <c r="ON396" s="640"/>
      <c r="OO396" s="640"/>
      <c r="OP396" s="640"/>
      <c r="OQ396" s="640"/>
      <c r="OR396" s="640"/>
      <c r="OS396" s="640"/>
      <c r="OT396" s="640"/>
      <c r="OU396" s="640"/>
      <c r="OV396" s="640"/>
      <c r="OW396" s="640"/>
      <c r="OX396" s="640"/>
      <c r="OY396" s="640"/>
      <c r="OZ396" s="640"/>
      <c r="PA396" s="640"/>
      <c r="PB396" s="640"/>
      <c r="PC396" s="640"/>
      <c r="PD396" s="640"/>
      <c r="PE396" s="640"/>
      <c r="PF396" s="640"/>
      <c r="PG396" s="640"/>
      <c r="PH396" s="640"/>
      <c r="PI396" s="640"/>
      <c r="PJ396" s="640"/>
      <c r="PK396" s="640"/>
      <c r="PL396" s="640"/>
      <c r="PM396" s="640"/>
      <c r="PN396" s="640"/>
      <c r="PO396" s="640"/>
      <c r="PP396" s="640"/>
      <c r="PQ396" s="640"/>
      <c r="PR396" s="640"/>
      <c r="PS396" s="640"/>
      <c r="PT396" s="640"/>
      <c r="PU396" s="640"/>
      <c r="PV396" s="640"/>
      <c r="PW396" s="640"/>
      <c r="PX396" s="640"/>
      <c r="PY396" s="640"/>
      <c r="PZ396" s="640"/>
      <c r="QA396" s="640"/>
      <c r="QB396" s="640"/>
      <c r="QC396" s="640"/>
      <c r="QD396" s="640"/>
      <c r="QE396" s="640"/>
      <c r="QF396" s="640"/>
      <c r="QG396" s="640"/>
      <c r="QH396" s="640"/>
      <c r="QI396" s="640"/>
      <c r="QJ396" s="640"/>
      <c r="QK396" s="640"/>
      <c r="QL396" s="640"/>
      <c r="QM396" s="640"/>
      <c r="QN396" s="640"/>
      <c r="QO396" s="640"/>
      <c r="QP396" s="640"/>
      <c r="QQ396" s="640"/>
      <c r="QR396" s="640"/>
      <c r="QS396" s="640"/>
      <c r="QT396" s="640"/>
      <c r="QU396" s="640"/>
      <c r="QV396" s="640"/>
      <c r="QW396" s="640"/>
      <c r="QX396" s="640"/>
      <c r="QY396" s="640"/>
      <c r="QZ396" s="640"/>
      <c r="RA396" s="640"/>
      <c r="RB396" s="640"/>
      <c r="RC396" s="640"/>
      <c r="RD396" s="640"/>
      <c r="RE396" s="640"/>
      <c r="RF396" s="640"/>
      <c r="RG396" s="640"/>
      <c r="RH396" s="640"/>
      <c r="RI396" s="640"/>
      <c r="RJ396" s="640"/>
      <c r="RK396" s="640"/>
      <c r="RL396" s="640"/>
      <c r="RM396" s="640"/>
      <c r="RN396" s="640"/>
      <c r="RO396" s="640"/>
      <c r="RP396" s="640"/>
      <c r="RQ396" s="640"/>
      <c r="RR396" s="640"/>
      <c r="RS396" s="640"/>
      <c r="RT396" s="640"/>
      <c r="RU396" s="640"/>
      <c r="RV396" s="640"/>
      <c r="RW396" s="640"/>
      <c r="RX396" s="640"/>
      <c r="RY396" s="640"/>
      <c r="RZ396" s="640"/>
      <c r="SA396" s="640"/>
      <c r="SB396" s="640"/>
      <c r="SC396" s="640"/>
      <c r="SD396" s="640"/>
      <c r="SE396" s="640"/>
      <c r="SF396" s="640"/>
      <c r="SG396" s="640"/>
      <c r="SH396" s="640"/>
      <c r="SI396" s="640"/>
      <c r="SJ396" s="640"/>
      <c r="SK396" s="640"/>
      <c r="SL396" s="640"/>
      <c r="SM396" s="640"/>
      <c r="SN396" s="640"/>
      <c r="SO396" s="640"/>
      <c r="SP396" s="640"/>
      <c r="SQ396" s="640"/>
      <c r="SR396" s="640"/>
      <c r="SS396" s="640"/>
      <c r="ST396" s="640"/>
      <c r="SU396" s="640"/>
      <c r="SV396" s="640"/>
      <c r="SW396" s="640"/>
      <c r="SX396" s="640"/>
      <c r="SY396" s="640"/>
      <c r="SZ396" s="640"/>
      <c r="TA396" s="640"/>
      <c r="TB396" s="640"/>
      <c r="TC396" s="640"/>
      <c r="TD396" s="640"/>
      <c r="TE396" s="640"/>
      <c r="TF396" s="640"/>
      <c r="TG396" s="640"/>
      <c r="TH396" s="640"/>
      <c r="TI396" s="640"/>
      <c r="TJ396" s="640"/>
      <c r="TK396" s="640"/>
      <c r="TL396" s="640"/>
      <c r="TM396" s="640"/>
      <c r="TN396" s="640"/>
      <c r="TO396" s="640"/>
      <c r="TP396" s="640"/>
      <c r="TQ396" s="640"/>
      <c r="TR396" s="640"/>
      <c r="TS396" s="640"/>
      <c r="TT396" s="640"/>
      <c r="TU396" s="640"/>
      <c r="TV396" s="640"/>
      <c r="TW396" s="640"/>
      <c r="TX396" s="640"/>
      <c r="TY396" s="640"/>
      <c r="TZ396" s="640"/>
      <c r="UA396" s="640"/>
      <c r="UB396" s="640"/>
      <c r="UC396" s="640"/>
      <c r="UD396" s="640"/>
      <c r="UE396" s="640"/>
      <c r="UF396" s="640"/>
      <c r="UG396" s="640"/>
      <c r="UH396" s="640"/>
      <c r="UI396" s="640"/>
      <c r="UJ396" s="640"/>
      <c r="UK396" s="640"/>
      <c r="UL396" s="640"/>
      <c r="UM396" s="640"/>
      <c r="UN396" s="640"/>
      <c r="UO396" s="640"/>
      <c r="UP396" s="640"/>
      <c r="UQ396" s="640"/>
      <c r="UR396" s="640"/>
      <c r="US396" s="640"/>
      <c r="UT396" s="640"/>
      <c r="UU396" s="640"/>
      <c r="UV396" s="640"/>
      <c r="UW396" s="640"/>
      <c r="UX396" s="640"/>
      <c r="UY396" s="640"/>
      <c r="UZ396" s="640"/>
      <c r="VA396" s="640"/>
      <c r="VB396" s="640"/>
      <c r="VC396" s="640"/>
      <c r="VD396" s="640"/>
      <c r="VE396" s="640"/>
      <c r="VF396" s="640"/>
      <c r="VG396" s="640"/>
      <c r="VH396" s="640"/>
      <c r="VI396" s="640"/>
      <c r="VJ396" s="640"/>
      <c r="VK396" s="640"/>
      <c r="VL396" s="640"/>
      <c r="VM396" s="640"/>
      <c r="VN396" s="640"/>
      <c r="VO396" s="640"/>
      <c r="VP396" s="640"/>
      <c r="VQ396" s="640"/>
      <c r="VR396" s="640"/>
      <c r="VS396" s="640"/>
      <c r="VT396" s="640"/>
      <c r="VU396" s="640"/>
      <c r="VV396" s="640"/>
      <c r="VW396" s="640"/>
      <c r="VX396" s="640"/>
      <c r="VY396" s="640"/>
      <c r="VZ396" s="640"/>
      <c r="WA396" s="640"/>
      <c r="WB396" s="640"/>
      <c r="WC396" s="640"/>
      <c r="WD396" s="640"/>
      <c r="WE396" s="640"/>
      <c r="WF396" s="640"/>
      <c r="WG396" s="640"/>
      <c r="WH396" s="640"/>
      <c r="WI396" s="640"/>
      <c r="WJ396" s="640"/>
      <c r="WK396" s="640"/>
      <c r="WL396" s="640"/>
      <c r="WM396" s="640"/>
      <c r="WN396" s="640"/>
      <c r="WO396" s="640"/>
      <c r="WP396" s="640"/>
      <c r="WQ396" s="640"/>
      <c r="WR396" s="640"/>
      <c r="WS396" s="640"/>
      <c r="WT396" s="640"/>
      <c r="WU396" s="640"/>
      <c r="WV396" s="640"/>
      <c r="WW396" s="640"/>
      <c r="WX396" s="640"/>
      <c r="WY396" s="640"/>
      <c r="WZ396" s="640"/>
      <c r="XA396" s="640"/>
      <c r="XB396" s="640"/>
      <c r="XC396" s="640"/>
      <c r="XD396" s="640"/>
      <c r="XE396" s="640"/>
      <c r="XF396" s="640"/>
      <c r="XG396" s="640"/>
      <c r="XH396" s="640"/>
      <c r="XI396" s="640"/>
      <c r="XJ396" s="640"/>
      <c r="XK396" s="640"/>
      <c r="XL396" s="640"/>
      <c r="XM396" s="640"/>
      <c r="XN396" s="640"/>
      <c r="XO396" s="640"/>
      <c r="XP396" s="640"/>
      <c r="XQ396" s="640"/>
      <c r="XR396" s="640"/>
      <c r="XS396" s="640"/>
      <c r="XT396" s="640"/>
      <c r="XU396" s="640"/>
      <c r="XV396" s="640"/>
      <c r="XW396" s="640"/>
      <c r="XX396" s="640"/>
      <c r="XY396" s="640"/>
      <c r="XZ396" s="640"/>
      <c r="YA396" s="640"/>
      <c r="YB396" s="640"/>
      <c r="YC396" s="640"/>
      <c r="YD396" s="640"/>
      <c r="YE396" s="640"/>
      <c r="YF396" s="640"/>
      <c r="YG396" s="640"/>
      <c r="YH396" s="640"/>
      <c r="YI396" s="640"/>
      <c r="YJ396" s="640"/>
      <c r="YK396" s="640"/>
      <c r="YL396" s="640"/>
      <c r="YM396" s="640"/>
      <c r="YN396" s="640"/>
      <c r="YO396" s="640"/>
      <c r="YP396" s="640"/>
      <c r="YQ396" s="640"/>
      <c r="YR396" s="640"/>
      <c r="YS396" s="640"/>
      <c r="YT396" s="640"/>
      <c r="YU396" s="640"/>
      <c r="YV396" s="640"/>
      <c r="YW396" s="640"/>
      <c r="YX396" s="640"/>
      <c r="YY396" s="640"/>
      <c r="YZ396" s="640"/>
      <c r="ZA396" s="640"/>
      <c r="ZB396" s="640"/>
      <c r="ZC396" s="640"/>
      <c r="ZD396" s="640"/>
      <c r="ZE396" s="640"/>
      <c r="ZF396" s="640"/>
      <c r="ZG396" s="640"/>
      <c r="ZH396" s="640"/>
      <c r="ZI396" s="640"/>
      <c r="ZJ396" s="640"/>
      <c r="ZK396" s="640"/>
      <c r="ZL396" s="640"/>
      <c r="ZM396" s="640"/>
      <c r="ZN396" s="640"/>
      <c r="ZO396" s="640"/>
      <c r="ZP396" s="640"/>
      <c r="ZQ396" s="640"/>
      <c r="ZR396" s="640"/>
      <c r="ZS396" s="640"/>
      <c r="ZT396" s="640"/>
      <c r="ZU396" s="640"/>
      <c r="ZV396" s="640"/>
      <c r="ZW396" s="640"/>
      <c r="ZX396" s="640"/>
      <c r="ZY396" s="617"/>
      <c r="ZZ396" s="36"/>
      <c r="AAA396" s="587"/>
      <c r="AAD396" s="112"/>
      <c r="AAE396" s="550">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7"/>
      <c r="B397" s="482" t="s">
        <v>367</v>
      </c>
      <c r="C397" s="722"/>
      <c r="D397" s="190" t="s">
        <v>0</v>
      </c>
      <c r="E397" s="191"/>
      <c r="F397" s="191"/>
      <c r="G397" s="192"/>
      <c r="H397" s="304"/>
      <c r="I397" s="587"/>
      <c r="J397" s="591"/>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7"/>
      <c r="ZZ397" s="36"/>
      <c r="AAA397" s="587"/>
      <c r="AAD397" s="112"/>
      <c r="AAE397" s="550">
        <v>1</v>
      </c>
      <c r="AAF397" s="582" t="s">
        <v>172</v>
      </c>
      <c r="AAG397" s="117"/>
      <c r="AAH397" s="117"/>
      <c r="AAI397" s="77"/>
      <c r="AAJ397" s="573" t="s">
        <v>0</v>
      </c>
      <c r="AAK397" s="573"/>
      <c r="AAL397" s="57"/>
      <c r="AAM397" s="112"/>
      <c r="AAN397"/>
      <c r="AAT397" s="23"/>
      <c r="AAU397" s="44"/>
      <c r="AAV397" s="23"/>
      <c r="AAW397" s="23"/>
      <c r="AAX397" s="23"/>
      <c r="AAY397" s="23"/>
      <c r="AAZ397" s="23"/>
      <c r="ABA397" s="23"/>
      <c r="ABB397" s="23"/>
      <c r="ABC397" s="23"/>
      <c r="ABD397" s="23"/>
    </row>
    <row r="398" spans="1:732" ht="15" customHeight="1" outlineLevel="1">
      <c r="A398" s="557"/>
      <c r="B398" s="132" t="s">
        <v>368</v>
      </c>
      <c r="C398" s="722"/>
      <c r="D398" s="161"/>
      <c r="E398" s="160"/>
      <c r="F398" s="160"/>
      <c r="G398" s="161"/>
      <c r="H398" s="161"/>
      <c r="I398" s="587"/>
      <c r="J398" s="591"/>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7"/>
      <c r="ZZ398" s="36"/>
      <c r="AAA398" s="587"/>
      <c r="AAD398" s="112"/>
      <c r="AAE398" s="550">
        <f>IF(S.InvolveNotice=TRUE,1,0)</f>
        <v>1</v>
      </c>
      <c r="AAF398" s="582" t="s">
        <v>172</v>
      </c>
      <c r="AAG398" s="117"/>
      <c r="AAH398" s="117"/>
      <c r="AAI398" s="77"/>
      <c r="AAJ398" s="89" t="str">
        <f>IF(S.InvolveNotice=TRUE,"Integrate NOTICE into staff report","Integrate NOTICE into "&amp;S.CodeName&amp;"STAFF.RPT.Temporary")</f>
        <v>Integrate NOTICE into staff report</v>
      </c>
      <c r="AAK398" s="573"/>
      <c r="AAL398" s="57"/>
      <c r="AAM398" s="112"/>
      <c r="AAN398"/>
      <c r="AAT398" s="23"/>
      <c r="AAU398" s="44"/>
    </row>
    <row r="399" spans="1:732" ht="15" customHeight="1" outlineLevel="1">
      <c r="A399" s="557"/>
      <c r="B399" s="668" t="s">
        <v>310</v>
      </c>
      <c r="C399" s="305" t="s">
        <v>90</v>
      </c>
      <c r="D399" s="153"/>
      <c r="E399" s="154"/>
      <c r="F399" s="154"/>
      <c r="G399" s="153"/>
      <c r="H399" s="153"/>
      <c r="I399" s="587"/>
      <c r="J399" s="591"/>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7"/>
      <c r="ZZ399" s="36"/>
      <c r="AAA399" s="587"/>
      <c r="AAD399" s="112"/>
      <c r="AAE399" s="550">
        <v>1</v>
      </c>
      <c r="AAF399" s="582" t="s">
        <v>172</v>
      </c>
      <c r="AAG399" s="117"/>
      <c r="AAH399" s="117"/>
      <c r="AAI399" s="77"/>
      <c r="AAJ399" s="89" t="str">
        <f>"Verify "&amp;S.CodeName&amp;"PROPOSED.RULES.6.01"</f>
        <v>Verify PROPOSED.RULES.6.01</v>
      </c>
      <c r="AAK399" s="573"/>
      <c r="AAL399" s="57"/>
      <c r="AAM399" s="112"/>
      <c r="AAN399"/>
      <c r="AAT399" s="23"/>
      <c r="AAU399" s="44"/>
    </row>
    <row r="400" spans="1:732" ht="15" customHeight="1" outlineLevel="1">
      <c r="A400" s="557"/>
      <c r="B400" s="480" t="s">
        <v>40</v>
      </c>
      <c r="C400" s="723"/>
      <c r="D400" s="174"/>
      <c r="E400" s="160"/>
      <c r="F400" s="160"/>
      <c r="G400" s="174"/>
      <c r="H400" s="174"/>
      <c r="I400" s="587"/>
      <c r="J400" s="591"/>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7"/>
      <c r="ZZ400" s="36"/>
      <c r="AAA400" s="587"/>
      <c r="AAD400" s="112"/>
      <c r="AAE400" s="550">
        <f t="shared" ref="AAE400:AAE405" si="983">IF(S.InvolveNotice=TRUE,1,0)</f>
        <v>1</v>
      </c>
      <c r="AAF400" s="582" t="s">
        <v>172</v>
      </c>
      <c r="AAG400" s="117"/>
      <c r="AAH400" s="117"/>
      <c r="AAI400" s="77"/>
      <c r="AAJ400" s="57"/>
      <c r="AAK400" s="57"/>
      <c r="AAL400" s="57"/>
      <c r="AAM400" s="112"/>
      <c r="AAN400"/>
      <c r="AAT400" s="23"/>
      <c r="AAU400" s="44"/>
    </row>
    <row r="401" spans="1:732" ht="15" customHeight="1" outlineLevel="1">
      <c r="A401" s="557"/>
      <c r="B401" s="346" t="s">
        <v>39</v>
      </c>
      <c r="C401" s="724"/>
      <c r="D401" s="174"/>
      <c r="E401" s="160"/>
      <c r="F401" s="160"/>
      <c r="G401" s="174"/>
      <c r="H401" s="174"/>
      <c r="I401" s="587"/>
      <c r="J401" s="591"/>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7"/>
      <c r="ZZ401" s="36"/>
      <c r="AAA401" s="587"/>
      <c r="AAD401" s="112"/>
      <c r="AAE401" s="550">
        <f t="shared" si="983"/>
        <v>1</v>
      </c>
      <c r="AAF401" s="582" t="s">
        <v>172</v>
      </c>
      <c r="AAG401" s="117"/>
      <c r="AAH401" s="117"/>
      <c r="AAI401" s="77"/>
      <c r="AAJ401" s="57"/>
      <c r="AAK401" s="57"/>
      <c r="AAL401" s="57"/>
      <c r="AAM401" s="112"/>
      <c r="AAN401"/>
      <c r="AAT401" s="23"/>
      <c r="AAU401" s="44"/>
    </row>
    <row r="402" spans="1:732" ht="15" customHeight="1" outlineLevel="1">
      <c r="A402" s="557"/>
      <c r="B402" s="346" t="s">
        <v>38</v>
      </c>
      <c r="C402" s="724"/>
      <c r="D402" s="174"/>
      <c r="E402" s="160"/>
      <c r="F402" s="160"/>
      <c r="G402" s="174"/>
      <c r="H402" s="174"/>
      <c r="I402" s="587"/>
      <c r="J402" s="591"/>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7"/>
      <c r="ZZ402" s="36"/>
      <c r="AAA402" s="587"/>
      <c r="AAD402" s="112"/>
      <c r="AAE402" s="550">
        <f t="shared" si="983"/>
        <v>1</v>
      </c>
      <c r="AAF402" s="582" t="s">
        <v>172</v>
      </c>
      <c r="AAG402" s="117"/>
      <c r="AAH402" s="117"/>
      <c r="AAI402" s="77"/>
      <c r="AAJ402" s="57"/>
      <c r="AAK402" s="57"/>
      <c r="AAL402" s="57"/>
      <c r="AAM402" s="112"/>
      <c r="AAN402"/>
      <c r="AAT402" s="23"/>
      <c r="AAU402" s="44"/>
    </row>
    <row r="403" spans="1:732" ht="15" customHeight="1" outlineLevel="1">
      <c r="A403" s="557"/>
      <c r="B403" s="346" t="s">
        <v>37</v>
      </c>
      <c r="C403" s="724"/>
      <c r="D403" s="174"/>
      <c r="E403" s="160"/>
      <c r="F403" s="160"/>
      <c r="G403" s="174"/>
      <c r="H403" s="174"/>
      <c r="I403" s="587"/>
      <c r="J403" s="591"/>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7"/>
      <c r="ZZ403" s="36"/>
      <c r="AAA403" s="587"/>
      <c r="AAD403" s="112"/>
      <c r="AAE403" s="550">
        <f t="shared" si="983"/>
        <v>1</v>
      </c>
      <c r="AAF403" s="582" t="s">
        <v>172</v>
      </c>
      <c r="AAG403" s="117"/>
      <c r="AAH403" s="117"/>
      <c r="AAI403" s="77"/>
      <c r="AAJ403" s="57"/>
      <c r="AAK403" s="57"/>
      <c r="AAL403" s="57"/>
      <c r="AAM403" s="112"/>
      <c r="AAN403"/>
      <c r="AAT403" s="23"/>
      <c r="AAU403" s="44"/>
    </row>
    <row r="404" spans="1:732" ht="15" customHeight="1" outlineLevel="1">
      <c r="A404" s="557"/>
      <c r="B404" s="346" t="s">
        <v>1</v>
      </c>
      <c r="C404" s="724"/>
      <c r="D404" s="174"/>
      <c r="E404" s="160"/>
      <c r="F404" s="160"/>
      <c r="G404" s="174"/>
      <c r="H404" s="174"/>
      <c r="I404" s="587"/>
      <c r="J404" s="591"/>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7"/>
      <c r="ZZ404" s="36"/>
      <c r="AAA404" s="587"/>
      <c r="AAD404" s="112"/>
      <c r="AAE404" s="550">
        <f t="shared" si="983"/>
        <v>1</v>
      </c>
      <c r="AAF404" s="582" t="s">
        <v>172</v>
      </c>
      <c r="AAG404" s="117"/>
      <c r="AAH404" s="117"/>
      <c r="AAI404" s="77"/>
      <c r="AAJ404" s="57"/>
      <c r="AAK404" s="57"/>
      <c r="AAL404" s="57"/>
      <c r="AAM404" s="112"/>
      <c r="AAN404"/>
      <c r="AAT404" s="23"/>
      <c r="AAU404" s="44"/>
    </row>
    <row r="405" spans="1:732" ht="15" customHeight="1" outlineLevel="1">
      <c r="A405" s="557"/>
      <c r="B405" s="481" t="s">
        <v>36</v>
      </c>
      <c r="C405" s="724"/>
      <c r="D405" s="174"/>
      <c r="E405" s="160"/>
      <c r="F405" s="160"/>
      <c r="G405" s="174"/>
      <c r="H405" s="174"/>
      <c r="I405" s="587"/>
      <c r="J405" s="591"/>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7"/>
      <c r="ZZ405" s="36"/>
      <c r="AAA405" s="587"/>
      <c r="AAD405" s="112"/>
      <c r="AAE405" s="550">
        <f t="shared" si="983"/>
        <v>1</v>
      </c>
      <c r="AAF405" s="582" t="s">
        <v>172</v>
      </c>
      <c r="AAG405" s="117"/>
      <c r="AAH405" s="117"/>
      <c r="AAI405" s="77"/>
      <c r="AAJ405" s="57"/>
      <c r="AAK405" s="57"/>
      <c r="AAL405" s="57"/>
      <c r="AAM405" s="112"/>
      <c r="AAN405"/>
      <c r="AAT405" s="23"/>
      <c r="AAU405" s="44"/>
    </row>
    <row r="406" spans="1:732" ht="15" customHeight="1" outlineLevel="1">
      <c r="A406" s="557"/>
      <c r="B406" s="461" t="s">
        <v>156</v>
      </c>
      <c r="C406" s="721" t="s">
        <v>0</v>
      </c>
      <c r="D406" s="277" t="s">
        <v>358</v>
      </c>
      <c r="E406" s="435">
        <f t="shared" ref="E406" si="984">NETWORKDAYS(G406,H406,S.DDL_DEQClosed)</f>
        <v>56</v>
      </c>
      <c r="F406" s="490">
        <f t="shared" ref="F406" ca="1" si="985">NETWORKDAYS(TODAY(),H406)</f>
        <v>70</v>
      </c>
      <c r="G406" s="436">
        <f t="shared" ref="G406:H406" si="986">AAG406</f>
        <v>41501</v>
      </c>
      <c r="H406" s="436">
        <f t="shared" si="986"/>
        <v>41579</v>
      </c>
      <c r="I406" s="626"/>
      <c r="J406" s="591"/>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7"/>
      <c r="AAD406" s="112"/>
      <c r="AAE406" s="550">
        <v>1</v>
      </c>
      <c r="AAF406" s="112"/>
      <c r="AAG406" s="78">
        <f>S.BANNER.EQCStart</f>
        <v>41501</v>
      </c>
      <c r="AAH406" s="78">
        <f t="shared" ref="AAH406" si="987">S.SubmitStaffRpt</f>
        <v>41579</v>
      </c>
      <c r="AAI406" s="77"/>
      <c r="AAJ406" s="57"/>
      <c r="AAK406" s="57"/>
      <c r="AAL406" s="57"/>
      <c r="AAM406" s="112"/>
      <c r="AAN406"/>
      <c r="AAT406" s="23"/>
      <c r="AAU406" s="44"/>
    </row>
    <row r="407" spans="1:732" ht="15" customHeight="1" outlineLevel="1">
      <c r="A407" s="557"/>
      <c r="B407" s="482" t="str">
        <f>AAJ407</f>
        <v>Finalize following sections in STAFF.RPT.Permanent</v>
      </c>
      <c r="C407" s="193"/>
      <c r="D407" s="174"/>
      <c r="E407" s="160"/>
      <c r="F407" s="160"/>
      <c r="G407" s="174"/>
      <c r="H407" s="174"/>
      <c r="I407" s="587"/>
      <c r="J407" s="591"/>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7"/>
      <c r="ZZ407" s="36"/>
      <c r="AAA407" s="587"/>
      <c r="AAD407" s="112"/>
      <c r="AAE407" s="550">
        <v>1</v>
      </c>
      <c r="AAF407" s="582" t="s">
        <v>172</v>
      </c>
      <c r="AAG407" s="117"/>
      <c r="AAH407" s="117"/>
      <c r="AAI407" s="77"/>
      <c r="AAJ407" s="89" t="str">
        <f>IF(S.RuleType=1,"Finalize following sections in "&amp;S.CodeName&amp;"STAFF.RPT.Permanent","Finalize following sections in "&amp;S.CodeName&amp;"STAFF.RPT.Temporary")</f>
        <v>Finalize following sections in STAFF.RPT.Permanent</v>
      </c>
      <c r="AAK407" s="573"/>
      <c r="AAL407" s="57"/>
      <c r="AAM407" s="112"/>
      <c r="AAN407"/>
      <c r="AAT407" s="23"/>
      <c r="AAU407" s="44"/>
    </row>
    <row r="408" spans="1:732" ht="15" customHeight="1" outlineLevel="1">
      <c r="A408" s="557"/>
      <c r="B408" s="362" t="s">
        <v>35</v>
      </c>
      <c r="C408" s="722"/>
      <c r="D408" s="161"/>
      <c r="E408" s="160"/>
      <c r="F408" s="160"/>
      <c r="G408" s="161"/>
      <c r="H408" s="161"/>
      <c r="I408" s="587"/>
      <c r="J408" s="591"/>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7"/>
      <c r="ZZ408" s="36"/>
      <c r="AAA408" s="587"/>
      <c r="AAD408" s="112"/>
      <c r="AAE408" s="550">
        <v>1</v>
      </c>
      <c r="AAF408" s="582" t="s">
        <v>172</v>
      </c>
      <c r="AAG408" s="117"/>
      <c r="AAH408" s="117"/>
      <c r="AAI408" s="77"/>
      <c r="AAJ408" s="57"/>
      <c r="AAK408" s="57"/>
      <c r="AAL408" s="57"/>
      <c r="AAM408" s="112"/>
      <c r="AAN408"/>
      <c r="AAT408" s="23"/>
      <c r="AAU408" s="44"/>
    </row>
    <row r="409" spans="1:732" ht="15" customHeight="1" outlineLevel="1">
      <c r="A409" s="557"/>
      <c r="B409" s="362" t="s">
        <v>152</v>
      </c>
      <c r="C409" s="722"/>
      <c r="D409" s="161"/>
      <c r="E409" s="160"/>
      <c r="F409" s="160"/>
      <c r="G409" s="161"/>
      <c r="H409" s="161"/>
      <c r="I409" s="587"/>
      <c r="J409" s="591"/>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7"/>
      <c r="ZZ409" s="36"/>
      <c r="AAA409" s="587"/>
      <c r="AAD409" s="112"/>
      <c r="AAE409" s="550">
        <v>1</v>
      </c>
      <c r="AAF409" s="582" t="s">
        <v>172</v>
      </c>
      <c r="AAG409" s="117"/>
      <c r="AAH409" s="117"/>
      <c r="AAI409" s="77"/>
      <c r="AAJ409" s="57"/>
      <c r="AAK409" s="57"/>
      <c r="AAL409" s="57"/>
      <c r="AAM409" s="112"/>
      <c r="AAN409"/>
      <c r="AAT409" s="23"/>
      <c r="AAU409" s="44"/>
    </row>
    <row r="410" spans="1:732" ht="15" customHeight="1" outlineLevel="1">
      <c r="A410" s="557"/>
      <c r="B410" s="362" t="s">
        <v>34</v>
      </c>
      <c r="C410" s="722"/>
      <c r="D410" s="161"/>
      <c r="E410" s="160"/>
      <c r="F410" s="160"/>
      <c r="G410" s="161"/>
      <c r="H410" s="161"/>
      <c r="I410" s="587"/>
      <c r="J410" s="591"/>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7"/>
      <c r="ZZ410" s="36"/>
      <c r="AAA410" s="587"/>
      <c r="AAD410" s="112"/>
      <c r="AAE410" s="550">
        <v>1</v>
      </c>
      <c r="AAF410" s="582" t="s">
        <v>172</v>
      </c>
      <c r="AAG410" s="117"/>
      <c r="AAH410" s="117"/>
      <c r="AAI410" s="77"/>
      <c r="AAJ410" s="57"/>
      <c r="AAK410" s="57"/>
      <c r="AAL410" s="57"/>
      <c r="AAM410" s="112"/>
      <c r="AAN410"/>
      <c r="AAT410" s="23"/>
      <c r="AAU410" s="44"/>
    </row>
    <row r="411" spans="1:732" ht="15" customHeight="1" outlineLevel="1">
      <c r="A411" s="557"/>
      <c r="B411" s="362" t="s">
        <v>14</v>
      </c>
      <c r="C411" s="722"/>
      <c r="D411" s="161"/>
      <c r="E411" s="160"/>
      <c r="F411" s="160"/>
      <c r="G411" s="161"/>
      <c r="H411" s="161"/>
      <c r="I411" s="587"/>
      <c r="J411" s="591"/>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7"/>
      <c r="ZZ411" s="36"/>
      <c r="AAA411" s="587"/>
      <c r="AAD411" s="112"/>
      <c r="AAE411" s="550">
        <v>1</v>
      </c>
      <c r="AAF411" s="582" t="s">
        <v>172</v>
      </c>
      <c r="AAG411" s="117"/>
      <c r="AAH411" s="117"/>
      <c r="AAI411" s="77"/>
      <c r="AAJ411" s="57"/>
      <c r="AAK411" s="57"/>
      <c r="AAL411" s="57"/>
      <c r="AAM411" s="112"/>
      <c r="AAN411"/>
      <c r="AAT411" s="23"/>
      <c r="AAU411" s="44"/>
    </row>
    <row r="412" spans="1:732" ht="15" customHeight="1" outlineLevel="1">
      <c r="A412" s="557"/>
      <c r="B412" s="362" t="s">
        <v>33</v>
      </c>
      <c r="C412" s="722"/>
      <c r="D412" s="161"/>
      <c r="E412" s="160"/>
      <c r="F412" s="160"/>
      <c r="G412" s="161"/>
      <c r="H412" s="161"/>
      <c r="I412" s="587"/>
      <c r="J412" s="591"/>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7"/>
      <c r="ZZ412" s="36"/>
      <c r="AAA412" s="587"/>
      <c r="AAD412" s="112"/>
      <c r="AAE412" s="550">
        <f>IF(S.InvolveNotice=TRUE,1,0)</f>
        <v>1</v>
      </c>
      <c r="AAF412" s="582" t="s">
        <v>172</v>
      </c>
      <c r="AAG412" s="117"/>
      <c r="AAH412" s="117"/>
      <c r="AAI412" s="77"/>
      <c r="AAJ412" s="57"/>
      <c r="AAK412" s="57"/>
      <c r="AAL412" s="57"/>
      <c r="AAM412" s="112"/>
      <c r="AAN412"/>
      <c r="AAT412" s="23"/>
      <c r="AAU412" s="44"/>
    </row>
    <row r="413" spans="1:732" ht="15" customHeight="1" outlineLevel="1">
      <c r="A413" s="557"/>
      <c r="B413" s="362" t="s">
        <v>32</v>
      </c>
      <c r="C413" s="722"/>
      <c r="D413" s="174"/>
      <c r="E413" s="182"/>
      <c r="F413" s="182"/>
      <c r="G413" s="174"/>
      <c r="H413" s="174"/>
      <c r="I413" s="587"/>
      <c r="J413" s="591"/>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7"/>
      <c r="ZZ413" s="36"/>
      <c r="AAA413" s="587"/>
      <c r="AAD413" s="112"/>
      <c r="AAE413" s="550">
        <f>IF(S.InvolveNotice=TRUE,1,0)</f>
        <v>1</v>
      </c>
      <c r="AAF413" s="582" t="s">
        <v>172</v>
      </c>
      <c r="AAG413" s="117"/>
      <c r="AAH413" s="117"/>
      <c r="AAI413" s="77"/>
      <c r="AAJ413" s="57"/>
      <c r="AAK413" s="57"/>
      <c r="AAL413" s="57"/>
      <c r="AAM413" s="112"/>
      <c r="AAN413"/>
      <c r="AAT413" s="23"/>
      <c r="AAU413" s="44"/>
    </row>
    <row r="414" spans="1:732" ht="15" customHeight="1" outlineLevel="1">
      <c r="A414" s="557"/>
      <c r="B414" s="362" t="s">
        <v>181</v>
      </c>
      <c r="C414" s="722"/>
      <c r="D414" s="174"/>
      <c r="E414" s="182"/>
      <c r="F414" s="182"/>
      <c r="G414" s="174"/>
      <c r="H414" s="174"/>
      <c r="I414" s="587"/>
      <c r="J414" s="591"/>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7"/>
      <c r="ZZ414" s="36"/>
      <c r="AAA414" s="587"/>
      <c r="AAD414" s="112"/>
      <c r="AAE414" s="550">
        <v>1</v>
      </c>
      <c r="AAF414" s="582" t="s">
        <v>172</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7"/>
      <c r="B415" s="343" t="s">
        <v>271</v>
      </c>
      <c r="C415" s="194"/>
      <c r="D415" s="277" t="s">
        <v>391</v>
      </c>
      <c r="E415" s="435">
        <f t="shared" ref="E415" si="988">NETWORKDAYS(G415,H415,S.DDL_DEQClosed)</f>
        <v>56</v>
      </c>
      <c r="F415" s="490">
        <f t="shared" ref="F415" ca="1" si="989">NETWORKDAYS(TODAY(),H415)</f>
        <v>70</v>
      </c>
      <c r="G415" s="436">
        <f t="shared" ref="G415:H415" si="990">AAG415</f>
        <v>41501</v>
      </c>
      <c r="H415" s="436">
        <f t="shared" si="990"/>
        <v>41579</v>
      </c>
      <c r="I415" s="626"/>
      <c r="J415" s="591"/>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7"/>
      <c r="AAD415" s="112"/>
      <c r="AAE415" s="550">
        <v>1</v>
      </c>
      <c r="AAF415" s="112"/>
      <c r="AAG415" s="78">
        <f>S.BANNER.EQCStart</f>
        <v>41501</v>
      </c>
      <c r="AAH415" s="78">
        <f t="shared" ref="AAH415" si="991">S.SubmitStaffRpt</f>
        <v>41579</v>
      </c>
      <c r="AAI415" s="77"/>
      <c r="AAJ415" s="89" t="str">
        <f>IF(S.RuleType=1,"STAFF.RPT.Permanent","STAFF.RPT.Temporary")</f>
        <v>STAFF.RPT.Permanent</v>
      </c>
      <c r="AAK415" s="573"/>
      <c r="AAL415" s="57"/>
      <c r="AAM415" s="112"/>
      <c r="AAN415"/>
      <c r="AAT415" s="23"/>
      <c r="AAU415" s="44"/>
    </row>
    <row r="416" spans="1:732" s="23" customFormat="1" ht="15" customHeight="1" outlineLevel="1">
      <c r="A416" s="557"/>
      <c r="B416" s="132" t="str">
        <f>AAJ415</f>
        <v>STAFF.RPT.Permanent</v>
      </c>
      <c r="C416" s="722"/>
      <c r="D416" s="153"/>
      <c r="E416" s="154"/>
      <c r="F416" s="154"/>
      <c r="G416" s="153"/>
      <c r="H416" s="153"/>
      <c r="I416" s="587"/>
      <c r="J416" s="591"/>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7"/>
      <c r="ZZ416" s="36"/>
      <c r="AAA416" s="587"/>
      <c r="AAB416"/>
      <c r="AAC416"/>
      <c r="AAD416" s="112"/>
      <c r="AAE416" s="550">
        <v>1</v>
      </c>
      <c r="AAF416" s="582" t="s">
        <v>172</v>
      </c>
      <c r="AAG416" s="117"/>
      <c r="AAH416" s="117"/>
      <c r="AAI416" s="77"/>
      <c r="AAJ416" s="89" t="str">
        <f>S.CodeName&amp;"INVITATION.TO.COMMENT"</f>
        <v>INVITATION.TO.COMMENT</v>
      </c>
      <c r="AAK416" s="573"/>
      <c r="AAL416" s="57"/>
      <c r="AAM416" s="112"/>
      <c r="AAU416" s="44"/>
      <c r="AAV416"/>
      <c r="AAW416"/>
      <c r="AAX416"/>
      <c r="AAY416"/>
      <c r="AAZ416"/>
      <c r="ABA416"/>
      <c r="ABB416"/>
      <c r="ABC416"/>
      <c r="ABD416"/>
    </row>
    <row r="417" spans="1:723" ht="15" customHeight="1" outlineLevel="1">
      <c r="A417" s="557"/>
      <c r="B417" s="132" t="str">
        <f t="shared" ref="B417:B419" si="992">AAJ417</f>
        <v>PROPOSED RULES</v>
      </c>
      <c r="C417" s="722"/>
      <c r="D417" s="153"/>
      <c r="E417" s="154"/>
      <c r="F417" s="154"/>
      <c r="G417" s="153"/>
      <c r="H417" s="153"/>
      <c r="I417" s="587"/>
      <c r="J417" s="591"/>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7"/>
      <c r="ZZ417" s="36"/>
      <c r="AAA417" s="587"/>
      <c r="AAD417" s="112"/>
      <c r="AAE417" s="550">
        <v>1</v>
      </c>
      <c r="AAF417" s="582" t="s">
        <v>172</v>
      </c>
      <c r="AAG417" s="117"/>
      <c r="AAH417" s="117"/>
      <c r="AAI417" s="77"/>
      <c r="AAJ417" s="89" t="str">
        <f>S.CodeName&amp;"PROPOSED RULES"</f>
        <v>PROPOSED RULES</v>
      </c>
      <c r="AAK417" s="573"/>
      <c r="AAL417" s="57"/>
      <c r="AAM417" s="112"/>
      <c r="AAN417"/>
      <c r="AAT417" s="23"/>
      <c r="AAU417" s="44"/>
    </row>
    <row r="418" spans="1:723" ht="15" customHeight="1" outlineLevel="1">
      <c r="A418" s="557"/>
      <c r="B418" s="132" t="str">
        <f t="shared" si="992"/>
        <v>STATE IMPLEMENTATION PLAN</v>
      </c>
      <c r="C418" s="722"/>
      <c r="D418" s="174"/>
      <c r="E418" s="182"/>
      <c r="F418" s="182"/>
      <c r="G418" s="174"/>
      <c r="H418" s="174"/>
      <c r="I418" s="587"/>
      <c r="J418" s="591"/>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7"/>
      <c r="ZZ418" s="36"/>
      <c r="AAA418" s="587"/>
      <c r="AAD418" s="112"/>
      <c r="AAE418" s="550">
        <f>IF(S.InvolveSIP=TRUE,1,0)</f>
        <v>1</v>
      </c>
      <c r="AAF418" s="582" t="s">
        <v>172</v>
      </c>
      <c r="AAG418" s="117"/>
      <c r="AAH418" s="117"/>
      <c r="AAI418" s="77"/>
      <c r="AAJ418" s="89" t="s">
        <v>344</v>
      </c>
      <c r="AAK418" s="573"/>
      <c r="AAL418" s="57"/>
      <c r="AAM418" s="112"/>
      <c r="AAN418"/>
      <c r="AAT418" s="23"/>
      <c r="AAU418" s="44"/>
    </row>
    <row r="419" spans="1:723" ht="15" customHeight="1" outlineLevel="1">
      <c r="A419" s="557"/>
      <c r="B419" s="132" t="str">
        <f t="shared" si="992"/>
        <v>Optional SUPPORTING.DOCS</v>
      </c>
      <c r="C419" s="722"/>
      <c r="D419" s="174"/>
      <c r="E419" s="182"/>
      <c r="F419" s="182"/>
      <c r="G419" s="174"/>
      <c r="H419" s="174"/>
      <c r="I419" s="587"/>
      <c r="J419" s="591"/>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7"/>
      <c r="ZZ419" s="36"/>
      <c r="AAA419" s="587"/>
      <c r="AAD419" s="112"/>
      <c r="AAE419" s="550">
        <v>1</v>
      </c>
      <c r="AAF419" s="582" t="s">
        <v>172</v>
      </c>
      <c r="AAG419" s="117"/>
      <c r="AAH419" s="117"/>
      <c r="AAI419" s="77"/>
      <c r="AAJ419" s="89" t="str">
        <f>"Optional "&amp;S.CodeName&amp;"SUPPORTING.DOCS"</f>
        <v>Optional SUPPORTING.DOCS</v>
      </c>
      <c r="AAK419" s="573"/>
      <c r="AAL419" s="57"/>
      <c r="AAM419" s="112"/>
      <c r="AAN419"/>
      <c r="AAT419" s="23"/>
      <c r="AAU419" s="44"/>
    </row>
    <row r="420" spans="1:723" ht="15" customHeight="1" outlineLevel="1">
      <c r="A420" s="557"/>
      <c r="B420" s="464" t="s">
        <v>272</v>
      </c>
      <c r="C420" s="725"/>
      <c r="D420" s="174"/>
      <c r="E420" s="182"/>
      <c r="F420" s="182"/>
      <c r="G420" s="174"/>
      <c r="H420" s="174"/>
      <c r="I420" s="587"/>
      <c r="J420" s="591"/>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7"/>
      <c r="ZZ420" s="36"/>
      <c r="AAA420" s="587"/>
      <c r="AAD420" s="112"/>
      <c r="AAE420" s="550">
        <v>1</v>
      </c>
      <c r="AAF420" s="582" t="s">
        <v>172</v>
      </c>
      <c r="AAG420" s="117"/>
      <c r="AAH420" s="117"/>
      <c r="AAI420" s="77"/>
      <c r="AAJ420" s="57"/>
      <c r="AAK420" s="57"/>
      <c r="AAL420" s="57"/>
      <c r="AAM420" s="112"/>
      <c r="AAN420"/>
      <c r="AAT420" s="23"/>
      <c r="AAU420" s="44"/>
    </row>
    <row r="421" spans="1:723" ht="15" customHeight="1" outlineLevel="1">
      <c r="A421" s="557"/>
      <c r="B421" s="483" t="s">
        <v>111</v>
      </c>
      <c r="C421" s="239"/>
      <c r="D421" s="279" t="s">
        <v>396</v>
      </c>
      <c r="E421" s="379">
        <f>NETWORKDAYS(G421,H421,S.DDL_DEQClosed)</f>
        <v>56</v>
      </c>
      <c r="F421" s="490">
        <f t="shared" ref="F421:F424" ca="1" si="993">NETWORKDAYS(TODAY(),H421)</f>
        <v>70</v>
      </c>
      <c r="G421" s="436">
        <f t="shared" ref="G421:H424" si="994">AAG421</f>
        <v>41501</v>
      </c>
      <c r="H421" s="436">
        <f t="shared" si="994"/>
        <v>41579</v>
      </c>
      <c r="I421" s="626"/>
      <c r="J421" s="591"/>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7"/>
      <c r="AAD421" s="112"/>
      <c r="AAE421" s="550">
        <v>1</v>
      </c>
      <c r="AAF421" s="112"/>
      <c r="AAG421" s="78">
        <f>G395</f>
        <v>41501</v>
      </c>
      <c r="AAH421" s="78">
        <f>S.SubmitStaffRpt</f>
        <v>41579</v>
      </c>
      <c r="AAI421" s="77"/>
      <c r="AAJ421" s="57"/>
      <c r="AAK421" s="57"/>
      <c r="AAL421" s="57"/>
      <c r="AAM421" s="112"/>
      <c r="AAN421"/>
      <c r="AAT421" s="23"/>
      <c r="AAU421" s="44"/>
    </row>
    <row r="422" spans="1:723" ht="15" customHeight="1" outlineLevel="1">
      <c r="A422" s="557"/>
      <c r="B422" s="484" t="s">
        <v>108</v>
      </c>
      <c r="C422" s="239"/>
      <c r="D422" s="279" t="s">
        <v>396</v>
      </c>
      <c r="E422" s="379">
        <f>NETWORKDAYS(G422,H422,S.DDL_DEQClosed)</f>
        <v>1</v>
      </c>
      <c r="F422" s="490">
        <f t="shared" ca="1" si="993"/>
        <v>70</v>
      </c>
      <c r="G422" s="436">
        <f t="shared" si="994"/>
        <v>41579</v>
      </c>
      <c r="H422" s="436">
        <f t="shared" si="994"/>
        <v>41579</v>
      </c>
      <c r="I422" s="626"/>
      <c r="J422" s="591"/>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7"/>
      <c r="AAD422" s="112"/>
      <c r="AAE422" s="550">
        <v>1</v>
      </c>
      <c r="AAF422" s="112"/>
      <c r="AAG422" s="78">
        <f>H421</f>
        <v>41579</v>
      </c>
      <c r="AAH422" s="78">
        <f>S.SubmitStaffRpt</f>
        <v>41579</v>
      </c>
      <c r="AAI422" s="77"/>
      <c r="AAJ422" s="57"/>
      <c r="AAK422" s="57"/>
      <c r="AAL422" s="57"/>
      <c r="AAM422" s="112"/>
      <c r="AAN422"/>
      <c r="AAT422" s="23"/>
      <c r="AAU422" s="44"/>
    </row>
    <row r="423" spans="1:723" ht="15" customHeight="1" outlineLevel="1">
      <c r="A423" s="557"/>
      <c r="B423" s="423" t="s">
        <v>109</v>
      </c>
      <c r="C423" s="239"/>
      <c r="D423" s="279" t="s">
        <v>396</v>
      </c>
      <c r="E423" s="379">
        <f>NETWORKDAYS(G423,H423,S.DDL_DEQClosed)</f>
        <v>1</v>
      </c>
      <c r="F423" s="490">
        <f t="shared" ca="1" si="993"/>
        <v>70</v>
      </c>
      <c r="G423" s="436">
        <f t="shared" si="994"/>
        <v>41579</v>
      </c>
      <c r="H423" s="436">
        <f t="shared" si="994"/>
        <v>41579</v>
      </c>
      <c r="I423" s="626"/>
      <c r="J423" s="591"/>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7"/>
      <c r="AAD423" s="112"/>
      <c r="AAE423" s="550">
        <v>1</v>
      </c>
      <c r="AAF423" s="112"/>
      <c r="AAG423" s="78">
        <f>H422</f>
        <v>41579</v>
      </c>
      <c r="AAH423" s="78">
        <f>S.SubmitStaffRpt</f>
        <v>41579</v>
      </c>
      <c r="AAI423" s="77"/>
      <c r="AAJ423" s="57"/>
      <c r="AAK423" s="57"/>
      <c r="AAL423" s="57"/>
      <c r="AAM423" s="112"/>
      <c r="AAN423"/>
      <c r="AAT423" s="23"/>
      <c r="AAU423" s="44"/>
    </row>
    <row r="424" spans="1:723" ht="15" customHeight="1" outlineLevel="1">
      <c r="A424" s="557"/>
      <c r="B424" s="424" t="s">
        <v>110</v>
      </c>
      <c r="C424" s="239"/>
      <c r="D424" s="279" t="s">
        <v>396</v>
      </c>
      <c r="E424" s="379">
        <f>NETWORKDAYS(G424,H424,S.DDL_DEQClosed)</f>
        <v>1</v>
      </c>
      <c r="F424" s="490">
        <f t="shared" ca="1" si="993"/>
        <v>70</v>
      </c>
      <c r="G424" s="436">
        <f t="shared" si="994"/>
        <v>41579</v>
      </c>
      <c r="H424" s="436">
        <f t="shared" si="994"/>
        <v>41579</v>
      </c>
      <c r="I424" s="626"/>
      <c r="J424" s="591"/>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7"/>
      <c r="AAD424" s="112"/>
      <c r="AAE424" s="550">
        <v>1</v>
      </c>
      <c r="AAF424" s="112"/>
      <c r="AAG424" s="78">
        <f>H423</f>
        <v>41579</v>
      </c>
      <c r="AAH424" s="78">
        <f>S.SubmitStaffRpt</f>
        <v>41579</v>
      </c>
      <c r="AAI424" s="77"/>
      <c r="AAJ424" s="57"/>
      <c r="AAK424" s="57"/>
      <c r="AAL424" s="57"/>
      <c r="AAM424" s="112"/>
      <c r="AAN424"/>
      <c r="AAT424" s="23"/>
      <c r="AAU424" s="44"/>
    </row>
    <row r="425" spans="1:723" ht="89.25" customHeight="1" outlineLevel="1">
      <c r="A425" s="557"/>
      <c r="B425" s="742" t="s">
        <v>345</v>
      </c>
      <c r="C425" s="742"/>
      <c r="D425" s="742"/>
      <c r="E425" s="742"/>
      <c r="F425" s="742"/>
      <c r="G425" s="742"/>
      <c r="H425" s="742"/>
      <c r="I425" s="587"/>
      <c r="J425" s="591"/>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7"/>
      <c r="ZZ425" s="36"/>
      <c r="AAA425" s="587"/>
      <c r="AAD425" s="112"/>
      <c r="AAE425" s="550">
        <v>1</v>
      </c>
      <c r="AAF425" s="582" t="s">
        <v>172</v>
      </c>
      <c r="AAG425" s="112"/>
      <c r="AAH425" s="112"/>
      <c r="AAI425" s="77"/>
      <c r="AAJ425" s="57"/>
      <c r="AAK425" s="57"/>
      <c r="AAL425" s="57"/>
      <c r="AAM425" s="112"/>
      <c r="AAN425"/>
      <c r="AAT425" s="23"/>
      <c r="AAU425" s="44"/>
    </row>
    <row r="426" spans="1:723" ht="15" customHeight="1" outlineLevel="1">
      <c r="A426" s="557"/>
      <c r="B426" s="478" t="s">
        <v>50</v>
      </c>
      <c r="C426" s="396"/>
      <c r="D426" s="281" t="s">
        <v>0</v>
      </c>
      <c r="E426" s="282"/>
      <c r="F426" s="282"/>
      <c r="G426" s="283"/>
      <c r="H426" s="283"/>
      <c r="I426" s="587"/>
      <c r="J426" s="591"/>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7"/>
      <c r="ZZ426" s="36"/>
      <c r="AAA426" s="587"/>
      <c r="AAD426" s="112"/>
      <c r="AAE426" s="550">
        <v>1</v>
      </c>
      <c r="AAF426" s="582" t="s">
        <v>172</v>
      </c>
      <c r="AAG426" s="112"/>
      <c r="AAH426" s="112"/>
      <c r="AAI426" s="77"/>
      <c r="AAJ426" s="57"/>
      <c r="AAK426" s="57"/>
      <c r="AAL426" s="57"/>
      <c r="AAM426" s="112"/>
      <c r="AAN426"/>
      <c r="AAT426" s="23"/>
      <c r="AAU426" s="44"/>
    </row>
    <row r="427" spans="1:723" ht="15" customHeight="1" outlineLevel="1">
      <c r="A427" s="557"/>
      <c r="B427" s="343" t="s">
        <v>270</v>
      </c>
      <c r="C427" s="722"/>
      <c r="D427" s="277" t="s">
        <v>372</v>
      </c>
      <c r="E427" s="368">
        <f>NETWORKDAYS(G427,H427,S.DDL_DEQClosed)</f>
        <v>1</v>
      </c>
      <c r="F427" s="490">
        <f t="shared" ref="F427" ca="1" si="995">NETWORKDAYS(TODAY(),H427)</f>
        <v>70</v>
      </c>
      <c r="G427" s="471">
        <f t="shared" ref="G427:H433" si="996">AAG427</f>
        <v>41579</v>
      </c>
      <c r="H427" s="370">
        <f>AAH427</f>
        <v>41579</v>
      </c>
      <c r="I427" s="626"/>
      <c r="J427" s="591"/>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7"/>
      <c r="AAD427" s="112"/>
      <c r="AAE427" s="550">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7"/>
      <c r="B428" s="306" t="s">
        <v>252</v>
      </c>
      <c r="C428" s="722"/>
      <c r="D428" s="277" t="s">
        <v>391</v>
      </c>
      <c r="E428" s="447">
        <f>NETWORKDAYS(G428,H428,S.DDL_DEQClosed)</f>
        <v>1</v>
      </c>
      <c r="F428" s="490">
        <f ca="1">NETWORKDAYS(TODAY(),H428)</f>
        <v>70</v>
      </c>
      <c r="G428" s="454">
        <f t="shared" ref="G428:H428" si="997">AAG428</f>
        <v>41579</v>
      </c>
      <c r="H428" s="472">
        <f t="shared" si="997"/>
        <v>41579</v>
      </c>
      <c r="I428" s="626"/>
      <c r="J428" s="591"/>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7"/>
      <c r="AAD428" s="112"/>
      <c r="AAE428" s="550">
        <v>1</v>
      </c>
      <c r="AAF428" s="112"/>
      <c r="AAG428" s="78">
        <f>H428</f>
        <v>41579</v>
      </c>
      <c r="AAH428" s="78">
        <f>S.SubmitStaffRpt</f>
        <v>41579</v>
      </c>
      <c r="AAI428" s="77"/>
      <c r="AAJ428" s="57"/>
      <c r="AAK428" s="57"/>
      <c r="AAL428" s="57"/>
      <c r="AAM428" s="112"/>
      <c r="AAN428"/>
      <c r="AAT428" s="23"/>
      <c r="AAU428" s="44"/>
    </row>
    <row r="429" spans="1:723" ht="15" customHeight="1" outlineLevel="1">
      <c r="A429" s="557"/>
      <c r="B429" s="665" t="s">
        <v>118</v>
      </c>
      <c r="C429" s="722"/>
      <c r="D429" s="277" t="s">
        <v>363</v>
      </c>
      <c r="E429" s="447">
        <f>NETWORKDAYS(G429,H429,S.DDL_DEQClosed)</f>
        <v>4</v>
      </c>
      <c r="F429" s="490">
        <f ca="1">NETWORKDAYS(TODAY(),H429)</f>
        <v>73</v>
      </c>
      <c r="G429" s="471">
        <f t="shared" si="996"/>
        <v>41579</v>
      </c>
      <c r="H429" s="471">
        <f t="shared" si="996"/>
        <v>41584</v>
      </c>
      <c r="I429" s="626"/>
      <c r="J429" s="591"/>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7"/>
      <c r="AAD429" s="112"/>
      <c r="AAE429" s="550">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7"/>
      <c r="B430" s="133" t="s">
        <v>30</v>
      </c>
      <c r="C430" s="722"/>
      <c r="D430" s="277" t="s">
        <v>395</v>
      </c>
      <c r="E430" s="447">
        <f>NETWORKDAYS(G430,H430,S.DDL_DEQClosed)</f>
        <v>81</v>
      </c>
      <c r="F430" s="490">
        <f ca="1">NETWORKDAYS(TODAY(),H430)</f>
        <v>97</v>
      </c>
      <c r="G430" s="471">
        <f t="shared" si="996"/>
        <v>41501</v>
      </c>
      <c r="H430" s="471">
        <f t="shared" si="996"/>
        <v>41618</v>
      </c>
      <c r="I430" s="626"/>
      <c r="J430" s="591"/>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7"/>
      <c r="AAD430" s="112"/>
      <c r="AAE430" s="550">
        <v>1</v>
      </c>
      <c r="AAF430" s="112"/>
      <c r="AAG430" s="78">
        <f>S.BANNER.EQCStart</f>
        <v>41501</v>
      </c>
      <c r="AAH430" s="78">
        <f>S.EQCMeeting-1</f>
        <v>41618</v>
      </c>
      <c r="AAI430" s="77"/>
      <c r="AAJ430" s="57"/>
      <c r="AAK430" s="57"/>
      <c r="AAL430" s="57"/>
      <c r="AAM430" s="112"/>
      <c r="AAN430"/>
      <c r="AAT430" s="23"/>
      <c r="AAU430" s="44"/>
    </row>
    <row r="431" spans="1:723" ht="15" customHeight="1" outlineLevel="1">
      <c r="A431" s="557"/>
      <c r="B431" s="438" t="s">
        <v>182</v>
      </c>
      <c r="C431" s="307"/>
      <c r="D431" s="195" t="s">
        <v>0</v>
      </c>
      <c r="E431" s="123" t="s">
        <v>0</v>
      </c>
      <c r="F431" s="124" t="s">
        <v>0</v>
      </c>
      <c r="G431" s="196"/>
      <c r="H431" s="196"/>
      <c r="I431" s="626"/>
      <c r="J431" s="591"/>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7"/>
      <c r="AAD431" s="112"/>
      <c r="AAE431" s="550">
        <v>1</v>
      </c>
      <c r="AAF431" s="582" t="s">
        <v>172</v>
      </c>
      <c r="AAG431" s="117"/>
      <c r="AAH431" s="117"/>
      <c r="AAI431" s="77"/>
      <c r="AAJ431" s="57"/>
      <c r="AAK431" s="57"/>
      <c r="AAL431" s="57"/>
      <c r="AAM431" s="112"/>
      <c r="AAN431"/>
      <c r="AAT431" s="23"/>
      <c r="AAU431" s="44"/>
    </row>
    <row r="432" spans="1:723" ht="15" customHeight="1" outlineLevel="1">
      <c r="A432" s="557"/>
      <c r="B432" s="474" t="s">
        <v>123</v>
      </c>
      <c r="C432" s="726"/>
      <c r="D432" s="278" t="s">
        <v>358</v>
      </c>
      <c r="E432" s="368">
        <f>NETWORKDAYS(G432,H432,S.DDL_DEQClosed)</f>
        <v>1</v>
      </c>
      <c r="F432" s="490">
        <f ca="1">NETWORKDAYS(TODAY(),H432)</f>
        <v>97</v>
      </c>
      <c r="G432" s="471">
        <f t="shared" si="996"/>
        <v>41618</v>
      </c>
      <c r="H432" s="471">
        <f t="shared" si="996"/>
        <v>41618</v>
      </c>
      <c r="I432" s="626"/>
      <c r="J432" s="591"/>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7"/>
      <c r="AAD432" s="112"/>
      <c r="AAE432" s="550">
        <v>1</v>
      </c>
      <c r="AAF432" s="112"/>
      <c r="AAG432" s="78">
        <f>H430</f>
        <v>41618</v>
      </c>
      <c r="AAH432" s="78">
        <f>G432</f>
        <v>41618</v>
      </c>
      <c r="AAI432" s="77"/>
      <c r="AAJ432" s="57"/>
      <c r="AAK432" s="57"/>
      <c r="AAL432" s="57" t="s">
        <v>0</v>
      </c>
      <c r="AAM432" s="112"/>
      <c r="AAN432"/>
      <c r="AAT432" s="23"/>
      <c r="AAU432" s="44"/>
    </row>
    <row r="433" spans="1:732" ht="15" customHeight="1" outlineLevel="1">
      <c r="A433" s="557"/>
      <c r="B433" s="475" t="s">
        <v>29</v>
      </c>
      <c r="C433" s="726"/>
      <c r="D433" s="308" t="s">
        <v>391</v>
      </c>
      <c r="E433" s="368">
        <f>NETWORKDAYS(G433,H433,S.DDL_DEQClosed)</f>
        <v>1</v>
      </c>
      <c r="F433" s="490">
        <f ca="1">NETWORKDAYS(TODAY(),H433)</f>
        <v>97</v>
      </c>
      <c r="G433" s="471">
        <f t="shared" si="996"/>
        <v>41618</v>
      </c>
      <c r="H433" s="471">
        <f t="shared" si="996"/>
        <v>41618</v>
      </c>
      <c r="I433" s="626"/>
      <c r="J433" s="590"/>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7"/>
      <c r="AAD433" s="112"/>
      <c r="AAE433" s="550">
        <v>1</v>
      </c>
      <c r="AAF433" s="112"/>
      <c r="AAG433" s="78">
        <f>H432</f>
        <v>41618</v>
      </c>
      <c r="AAH433" s="78">
        <f>G433</f>
        <v>41618</v>
      </c>
      <c r="AAI433" s="77"/>
      <c r="AAJ433" s="56"/>
      <c r="AAK433" s="56"/>
      <c r="AAL433" s="56"/>
      <c r="AAM433" s="112"/>
      <c r="AAN433"/>
      <c r="AAT433" s="23"/>
      <c r="AAU433" s="44"/>
    </row>
    <row r="434" spans="1:732" ht="15" customHeight="1" outlineLevel="1">
      <c r="A434" s="557"/>
      <c r="B434" s="476" t="s">
        <v>21</v>
      </c>
      <c r="C434" s="309"/>
      <c r="D434" s="197"/>
      <c r="E434" s="123"/>
      <c r="F434" s="124"/>
      <c r="G434" s="196"/>
      <c r="H434" s="196"/>
      <c r="I434" s="587"/>
      <c r="J434" s="590"/>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6"/>
      <c r="ZZ434" s="621"/>
      <c r="AAA434" s="587"/>
      <c r="AAD434" s="112"/>
      <c r="AAE434" s="550">
        <v>1</v>
      </c>
      <c r="AAF434" s="582" t="s">
        <v>172</v>
      </c>
      <c r="AAG434" s="112"/>
      <c r="AAH434" s="112"/>
      <c r="AAI434" s="77"/>
      <c r="AAJ434" s="56"/>
      <c r="AAK434" s="56"/>
      <c r="AAL434" s="56"/>
      <c r="AAM434" s="112"/>
      <c r="AAN434"/>
      <c r="AAT434" s="23"/>
      <c r="AAU434" s="44"/>
    </row>
    <row r="435" spans="1:732" ht="15" customHeight="1" outlineLevel="1">
      <c r="A435" s="557"/>
      <c r="B435" s="477" t="s">
        <v>163</v>
      </c>
      <c r="C435" s="307"/>
      <c r="D435" s="195"/>
      <c r="E435" s="123"/>
      <c r="F435" s="124"/>
      <c r="G435" s="280"/>
      <c r="H435" s="232"/>
      <c r="I435" s="587"/>
      <c r="J435" s="591"/>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7"/>
      <c r="ZZ435" s="36"/>
      <c r="AAA435" s="587"/>
      <c r="AAD435" s="112"/>
      <c r="AAE435" s="550">
        <v>1</v>
      </c>
      <c r="AAF435" s="582" t="s">
        <v>172</v>
      </c>
      <c r="AAG435" s="112"/>
      <c r="AAH435" s="112"/>
      <c r="AAI435" s="77"/>
      <c r="AAJ435" s="57"/>
      <c r="AAK435" s="57"/>
      <c r="AAL435" s="57"/>
      <c r="AAM435" s="112"/>
      <c r="AAN435"/>
      <c r="AAT435" s="23"/>
      <c r="AAU435" s="44"/>
    </row>
    <row r="436" spans="1:732" ht="18" outlineLevel="1">
      <c r="A436" s="557"/>
      <c r="B436" s="306" t="s">
        <v>28</v>
      </c>
      <c r="C436" s="306"/>
      <c r="D436" s="122"/>
      <c r="E436" s="122"/>
      <c r="F436" s="122"/>
      <c r="G436" s="122"/>
      <c r="H436" s="485">
        <f>AAH436</f>
        <v>41619</v>
      </c>
      <c r="I436" s="626"/>
      <c r="J436" s="591"/>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7"/>
      <c r="AAD436" s="112"/>
      <c r="AAE436" s="550">
        <v>1</v>
      </c>
      <c r="AAF436" s="112"/>
      <c r="AAG436" s="78">
        <f>S.EQCMeeting</f>
        <v>41619</v>
      </c>
      <c r="AAH436" s="78">
        <f>S.EQCMeeting</f>
        <v>41619</v>
      </c>
      <c r="AAI436" s="77"/>
      <c r="AAJ436" s="57"/>
      <c r="AAK436" s="57"/>
      <c r="AAL436" s="57"/>
      <c r="AAM436" s="112"/>
      <c r="AAN436"/>
      <c r="AAT436" s="23"/>
      <c r="AAU436" s="44"/>
    </row>
    <row r="437" spans="1:732" ht="5.25" customHeight="1">
      <c r="A437" s="557"/>
      <c r="B437" s="310"/>
      <c r="C437" s="198"/>
      <c r="D437" s="199"/>
      <c r="E437" s="200"/>
      <c r="F437" s="200"/>
      <c r="G437" s="311"/>
      <c r="H437" s="312"/>
      <c r="I437" s="587"/>
      <c r="J437" s="63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7"/>
      <c r="ZZ437" s="36"/>
      <c r="AAA437" s="587"/>
      <c r="AAD437" s="112"/>
      <c r="AAE437" s="550" t="s">
        <v>26</v>
      </c>
      <c r="AAF437" s="582" t="s">
        <v>172</v>
      </c>
      <c r="AAG437" s="63"/>
      <c r="AAH437" s="63"/>
      <c r="AAI437" s="77"/>
      <c r="AAJ437" s="57"/>
      <c r="AAK437" s="57"/>
      <c r="AAL437" s="57"/>
      <c r="AAM437" s="112"/>
      <c r="AAN437"/>
      <c r="AAT437" s="23"/>
      <c r="AAU437" s="44"/>
    </row>
    <row r="438" spans="1:732" s="23" customFormat="1" ht="18" customHeight="1">
      <c r="A438" s="557"/>
      <c r="B438" s="740" t="s">
        <v>170</v>
      </c>
      <c r="C438" s="740"/>
      <c r="D438" s="740"/>
      <c r="E438" s="740"/>
      <c r="F438" s="740"/>
      <c r="G438" s="740"/>
      <c r="H438" s="740"/>
      <c r="I438" s="626"/>
      <c r="J438" s="631"/>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8"/>
      <c r="ZZ438" s="119"/>
      <c r="AAA438" s="587"/>
      <c r="AAB438"/>
      <c r="AAC438"/>
      <c r="AAD438" s="112"/>
      <c r="AAE438" s="550" t="s">
        <v>27</v>
      </c>
      <c r="AAF438" s="582" t="s">
        <v>172</v>
      </c>
      <c r="AAG438" s="77"/>
      <c r="AAH438" s="77"/>
      <c r="AAI438" s="77"/>
      <c r="AAJ438" s="90"/>
      <c r="AAK438" s="90"/>
      <c r="AAL438" s="76"/>
      <c r="AAM438" s="112"/>
      <c r="AAU438" s="44"/>
    </row>
    <row r="439" spans="1:732" s="23" customFormat="1" ht="18" customHeight="1">
      <c r="A439" s="557"/>
      <c r="B439" s="301" t="s">
        <v>15</v>
      </c>
      <c r="C439" s="703"/>
      <c r="D439" s="150" t="s">
        <v>239</v>
      </c>
      <c r="E439" s="151" t="s">
        <v>15</v>
      </c>
      <c r="F439" s="486" t="s">
        <v>2</v>
      </c>
      <c r="G439" s="152" t="s">
        <v>86</v>
      </c>
      <c r="H439" s="152" t="s">
        <v>87</v>
      </c>
      <c r="I439" s="626"/>
      <c r="J439" s="59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8"/>
      <c r="ZZ439" s="119"/>
      <c r="AAA439" s="587"/>
      <c r="AAB439"/>
      <c r="AAC439"/>
      <c r="AAD439" s="112"/>
      <c r="AAE439" s="550" t="s">
        <v>243</v>
      </c>
      <c r="AAF439" s="582" t="s">
        <v>172</v>
      </c>
      <c r="AAG439" s="77"/>
      <c r="AAH439" s="77"/>
      <c r="AAI439" s="77"/>
      <c r="AAJ439" s="90"/>
      <c r="AAK439" s="90"/>
      <c r="AAL439" s="76"/>
      <c r="AAM439" s="112"/>
      <c r="AAU439" s="44"/>
    </row>
    <row r="440" spans="1:732" ht="18" customHeight="1">
      <c r="A440" s="557"/>
      <c r="B440" s="223"/>
      <c r="C440" s="224"/>
      <c r="D440" s="313" t="s">
        <v>0</v>
      </c>
      <c r="E440" s="293"/>
      <c r="F440" s="465">
        <f>NETWORKDAYS(S.BANNER.PostEQCStart,S.BANNER.PostEQCEnd,S.DDL_DEQClosed)</f>
        <v>1</v>
      </c>
      <c r="G440" s="314">
        <f>AAG440</f>
        <v>41579</v>
      </c>
      <c r="H440" s="274">
        <f>AAH440</f>
        <v>41680</v>
      </c>
      <c r="I440" s="626"/>
      <c r="J440" s="628"/>
      <c r="K440" s="634"/>
      <c r="L440" s="634"/>
      <c r="M440" s="634"/>
      <c r="N440" s="634"/>
      <c r="O440" s="634"/>
      <c r="P440" s="634"/>
      <c r="Q440" s="634"/>
      <c r="R440" s="634"/>
      <c r="S440" s="634"/>
      <c r="T440" s="634"/>
      <c r="U440" s="634"/>
      <c r="V440" s="634"/>
      <c r="W440" s="634"/>
      <c r="X440" s="634"/>
      <c r="Y440" s="634"/>
      <c r="Z440" s="634"/>
      <c r="AA440" s="634"/>
      <c r="AB440" s="634"/>
      <c r="AC440" s="634"/>
      <c r="AD440" s="634"/>
      <c r="AE440" s="634"/>
      <c r="AF440" s="634"/>
      <c r="AG440" s="634"/>
      <c r="AH440" s="634"/>
      <c r="AI440" s="634"/>
      <c r="AJ440" s="634"/>
      <c r="AK440" s="634"/>
      <c r="AL440" s="634"/>
      <c r="AM440" s="634"/>
      <c r="AN440" s="634"/>
      <c r="AO440" s="634"/>
      <c r="AP440" s="634"/>
      <c r="AQ440" s="634"/>
      <c r="AR440" s="634"/>
      <c r="AS440" s="634"/>
      <c r="AT440" s="634"/>
      <c r="AU440" s="634"/>
      <c r="AV440" s="634"/>
      <c r="AW440" s="634"/>
      <c r="AX440" s="634"/>
      <c r="AY440" s="634"/>
      <c r="AZ440" s="634"/>
      <c r="BA440" s="634"/>
      <c r="BB440" s="634"/>
      <c r="BC440" s="634"/>
      <c r="BD440" s="634"/>
      <c r="BE440" s="634"/>
      <c r="BF440" s="634"/>
      <c r="BG440" s="634"/>
      <c r="BH440" s="634"/>
      <c r="BI440" s="634"/>
      <c r="BJ440" s="634"/>
      <c r="BK440" s="634"/>
      <c r="BL440" s="634"/>
      <c r="BM440" s="634"/>
      <c r="BN440" s="634"/>
      <c r="BO440" s="634"/>
      <c r="BP440" s="634"/>
      <c r="BQ440" s="634"/>
      <c r="BR440" s="634"/>
      <c r="BS440" s="634"/>
      <c r="BT440" s="634"/>
      <c r="BU440" s="634"/>
      <c r="BV440" s="634"/>
      <c r="BW440" s="634"/>
      <c r="BX440" s="634"/>
      <c r="BY440" s="634"/>
      <c r="BZ440" s="634"/>
      <c r="CA440" s="634"/>
      <c r="CB440" s="634"/>
      <c r="CC440" s="634"/>
      <c r="CD440" s="634"/>
      <c r="CE440" s="634"/>
      <c r="CF440" s="634"/>
      <c r="CG440" s="634"/>
      <c r="CH440" s="634"/>
      <c r="CI440" s="634"/>
      <c r="CJ440" s="634"/>
      <c r="CK440" s="634"/>
      <c r="CL440" s="634"/>
      <c r="CM440" s="634"/>
      <c r="CN440" s="634"/>
      <c r="CO440" s="634"/>
      <c r="CP440" s="634"/>
      <c r="CQ440" s="634"/>
      <c r="CR440" s="634"/>
      <c r="CS440" s="634"/>
      <c r="CT440" s="634"/>
      <c r="CU440" s="634"/>
      <c r="CV440" s="634"/>
      <c r="CW440" s="634"/>
      <c r="CX440" s="634"/>
      <c r="CY440" s="634"/>
      <c r="CZ440" s="634"/>
      <c r="DA440" s="634"/>
      <c r="DB440" s="634"/>
      <c r="DC440" s="634"/>
      <c r="DD440" s="634"/>
      <c r="DE440" s="634"/>
      <c r="DF440" s="634"/>
      <c r="DG440" s="634"/>
      <c r="DH440" s="634"/>
      <c r="DI440" s="634"/>
      <c r="DJ440" s="634"/>
      <c r="DK440" s="634"/>
      <c r="DL440" s="634"/>
      <c r="DM440" s="634"/>
      <c r="DN440" s="634"/>
      <c r="DO440" s="634"/>
      <c r="DP440" s="634"/>
      <c r="DQ440" s="634"/>
      <c r="DR440" s="634"/>
      <c r="DS440" s="634"/>
      <c r="DT440" s="634"/>
      <c r="DU440" s="634"/>
      <c r="DV440" s="634"/>
      <c r="DW440" s="634"/>
      <c r="DX440" s="634"/>
      <c r="DY440" s="634"/>
      <c r="DZ440" s="634"/>
      <c r="EA440" s="634"/>
      <c r="EB440" s="634"/>
      <c r="EC440" s="634"/>
      <c r="ED440" s="634"/>
      <c r="EE440" s="634"/>
      <c r="EF440" s="634"/>
      <c r="EG440" s="634"/>
      <c r="EH440" s="634"/>
      <c r="EI440" s="634"/>
      <c r="EJ440" s="634"/>
      <c r="EK440" s="634"/>
      <c r="EL440" s="634"/>
      <c r="EM440" s="634"/>
      <c r="EN440" s="634"/>
      <c r="EO440" s="634"/>
      <c r="EP440" s="634"/>
      <c r="EQ440" s="634"/>
      <c r="ER440" s="634"/>
      <c r="ES440" s="634"/>
      <c r="ET440" s="634"/>
      <c r="EU440" s="634"/>
      <c r="EV440" s="634"/>
      <c r="EW440" s="634"/>
      <c r="EX440" s="634"/>
      <c r="EY440" s="634"/>
      <c r="EZ440" s="634"/>
      <c r="FA440" s="634"/>
      <c r="FB440" s="634"/>
      <c r="FC440" s="634"/>
      <c r="FD440" s="634"/>
      <c r="FE440" s="634"/>
      <c r="FF440" s="634"/>
      <c r="FG440" s="634"/>
      <c r="FH440" s="634"/>
      <c r="FI440" s="634"/>
      <c r="FJ440" s="634"/>
      <c r="FK440" s="634"/>
      <c r="FL440" s="634"/>
      <c r="FM440" s="634"/>
      <c r="FN440" s="634"/>
      <c r="FO440" s="634"/>
      <c r="FP440" s="634"/>
      <c r="FQ440" s="634"/>
      <c r="FR440" s="634"/>
      <c r="FS440" s="634"/>
      <c r="FT440" s="634"/>
      <c r="FU440" s="634"/>
      <c r="FV440" s="634"/>
      <c r="FW440" s="634"/>
      <c r="FX440" s="634"/>
      <c r="FY440" s="634"/>
      <c r="FZ440" s="634"/>
      <c r="GA440" s="634"/>
      <c r="GB440" s="634"/>
      <c r="GC440" s="634"/>
      <c r="GD440" s="634"/>
      <c r="GE440" s="634"/>
      <c r="GF440" s="634"/>
      <c r="GG440" s="634"/>
      <c r="GH440" s="634"/>
      <c r="GI440" s="634"/>
      <c r="GJ440" s="634"/>
      <c r="GK440" s="634"/>
      <c r="GL440" s="634"/>
      <c r="GM440" s="634"/>
      <c r="GN440" s="634"/>
      <c r="GO440" s="634"/>
      <c r="GP440" s="634"/>
      <c r="GQ440" s="634"/>
      <c r="GR440" s="634"/>
      <c r="GS440" s="634"/>
      <c r="GT440" s="634"/>
      <c r="GU440" s="634"/>
      <c r="GV440" s="634"/>
      <c r="GW440" s="634"/>
      <c r="GX440" s="634"/>
      <c r="GY440" s="634"/>
      <c r="GZ440" s="634"/>
      <c r="HA440" s="634"/>
      <c r="HB440" s="634"/>
      <c r="HC440" s="634"/>
      <c r="HD440" s="634"/>
      <c r="HE440" s="634"/>
      <c r="HF440" s="634"/>
      <c r="HG440" s="634"/>
      <c r="HH440" s="634"/>
      <c r="HI440" s="634"/>
      <c r="HJ440" s="634"/>
      <c r="HK440" s="634"/>
      <c r="HL440" s="634"/>
      <c r="HM440" s="634"/>
      <c r="HN440" s="634"/>
      <c r="HO440" s="634"/>
      <c r="HP440" s="634"/>
      <c r="HQ440" s="634"/>
      <c r="HR440" s="634"/>
      <c r="HS440" s="634"/>
      <c r="HT440" s="634"/>
      <c r="HU440" s="634"/>
      <c r="HV440" s="634"/>
      <c r="HW440" s="634"/>
      <c r="HX440" s="634"/>
      <c r="HY440" s="634"/>
      <c r="HZ440" s="634"/>
      <c r="IA440" s="634"/>
      <c r="IB440" s="634"/>
      <c r="IC440" s="634"/>
      <c r="ID440" s="634"/>
      <c r="IE440" s="634"/>
      <c r="IF440" s="634"/>
      <c r="IG440" s="634"/>
      <c r="IH440" s="634"/>
      <c r="II440" s="634"/>
      <c r="IJ440" s="634"/>
      <c r="IK440" s="634"/>
      <c r="IL440" s="634"/>
      <c r="IM440" s="634"/>
      <c r="IN440" s="634"/>
      <c r="IO440" s="634"/>
      <c r="IP440" s="634"/>
      <c r="IQ440" s="634"/>
      <c r="IR440" s="634"/>
      <c r="IS440" s="634"/>
      <c r="IT440" s="634"/>
      <c r="IU440" s="634"/>
      <c r="IV440" s="634"/>
      <c r="IW440" s="634"/>
      <c r="IX440" s="634"/>
      <c r="IY440" s="634"/>
      <c r="IZ440" s="634"/>
      <c r="JA440" s="634"/>
      <c r="JB440" s="634"/>
      <c r="JC440" s="634"/>
      <c r="JD440" s="634"/>
      <c r="JE440" s="634"/>
      <c r="JF440" s="634"/>
      <c r="JG440" s="634"/>
      <c r="JH440" s="634"/>
      <c r="JI440" s="634"/>
      <c r="JJ440" s="634"/>
      <c r="JK440" s="634"/>
      <c r="JL440" s="634"/>
      <c r="JM440" s="634"/>
      <c r="JN440" s="634"/>
      <c r="JO440" s="634"/>
      <c r="JP440" s="634"/>
      <c r="JQ440" s="634"/>
      <c r="JR440" s="634"/>
      <c r="JS440" s="634"/>
      <c r="JT440" s="634"/>
      <c r="JU440" s="634"/>
      <c r="JV440" s="634"/>
      <c r="JW440" s="634"/>
      <c r="JX440" s="634"/>
      <c r="JY440" s="634"/>
      <c r="JZ440" s="634"/>
      <c r="KA440" s="634"/>
      <c r="KB440" s="634"/>
      <c r="KC440" s="634"/>
      <c r="KD440" s="634"/>
      <c r="KE440" s="634"/>
      <c r="KF440" s="634"/>
      <c r="KG440" s="634"/>
      <c r="KH440" s="634"/>
      <c r="KI440" s="634"/>
      <c r="KJ440" s="634"/>
      <c r="KK440" s="634"/>
      <c r="KL440" s="634"/>
      <c r="KM440" s="634"/>
      <c r="KN440" s="634"/>
      <c r="KO440" s="634"/>
      <c r="KP440" s="634"/>
      <c r="KQ440" s="634"/>
      <c r="KR440" s="634"/>
      <c r="KS440" s="634"/>
      <c r="KT440" s="634"/>
      <c r="KU440" s="634"/>
      <c r="KV440" s="634"/>
      <c r="KW440" s="634"/>
      <c r="KX440" s="634"/>
      <c r="KY440" s="634"/>
      <c r="KZ440" s="634"/>
      <c r="LA440" s="634"/>
      <c r="LB440" s="634"/>
      <c r="LC440" s="634"/>
      <c r="LD440" s="634"/>
      <c r="LE440" s="634"/>
      <c r="LF440" s="634"/>
      <c r="LG440" s="634"/>
      <c r="LH440" s="634"/>
      <c r="LI440" s="634"/>
      <c r="LJ440" s="634"/>
      <c r="LK440" s="634"/>
      <c r="LL440" s="634"/>
      <c r="LM440" s="634"/>
      <c r="LN440" s="634"/>
      <c r="LO440" s="634"/>
      <c r="LP440" s="634"/>
      <c r="LQ440" s="634"/>
      <c r="LR440" s="634"/>
      <c r="LS440" s="634"/>
      <c r="LT440" s="634"/>
      <c r="LU440" s="634"/>
      <c r="LV440" s="634"/>
      <c r="LW440" s="634"/>
      <c r="LX440" s="634"/>
      <c r="LY440" s="634"/>
      <c r="LZ440" s="634"/>
      <c r="MA440" s="634"/>
      <c r="MB440" s="634"/>
      <c r="MC440" s="634"/>
      <c r="MD440" s="634"/>
      <c r="ME440" s="634"/>
      <c r="MF440" s="634"/>
      <c r="MG440" s="634"/>
      <c r="MH440" s="634"/>
      <c r="MI440" s="634"/>
      <c r="MJ440" s="634"/>
      <c r="MK440" s="634"/>
      <c r="ML440" s="634"/>
      <c r="MM440" s="634"/>
      <c r="MN440" s="634"/>
      <c r="MO440" s="634"/>
      <c r="MP440" s="634"/>
      <c r="MQ440" s="634"/>
      <c r="MR440" s="634"/>
      <c r="MS440" s="634"/>
      <c r="MT440" s="634"/>
      <c r="MU440" s="634"/>
      <c r="MV440" s="634"/>
      <c r="MW440" s="634"/>
      <c r="MX440" s="634"/>
      <c r="MY440" s="634"/>
      <c r="MZ440" s="634"/>
      <c r="NA440" s="634"/>
      <c r="NB440" s="634"/>
      <c r="NC440" s="634"/>
      <c r="ND440" s="634"/>
      <c r="NE440" s="634"/>
      <c r="NF440" s="634"/>
      <c r="NG440" s="634"/>
      <c r="NH440" s="634"/>
      <c r="NI440" s="634"/>
      <c r="NJ440" s="634"/>
      <c r="NK440" s="634"/>
      <c r="NL440" s="634"/>
      <c r="NM440" s="634"/>
      <c r="NN440" s="634"/>
      <c r="NO440" s="634"/>
      <c r="NP440" s="634"/>
      <c r="NQ440" s="634"/>
      <c r="NR440" s="634"/>
      <c r="NS440" s="634"/>
      <c r="NT440" s="634"/>
      <c r="NU440" s="634"/>
      <c r="NV440" s="634"/>
      <c r="NW440" s="634"/>
      <c r="NX440" s="634"/>
      <c r="NY440" s="634"/>
      <c r="NZ440" s="634"/>
      <c r="OA440" s="634"/>
      <c r="OB440" s="634"/>
      <c r="OC440" s="634"/>
      <c r="OD440" s="634"/>
      <c r="OE440" s="634"/>
      <c r="OF440" s="634"/>
      <c r="OG440" s="634"/>
      <c r="OH440" s="634"/>
      <c r="OI440" s="634"/>
      <c r="OJ440" s="634"/>
      <c r="OK440" s="634"/>
      <c r="OL440" s="634"/>
      <c r="OM440" s="634"/>
      <c r="ON440" s="634"/>
      <c r="OO440" s="634"/>
      <c r="OP440" s="634"/>
      <c r="OQ440" s="634"/>
      <c r="OR440" s="634"/>
      <c r="OS440" s="634"/>
      <c r="OT440" s="634"/>
      <c r="OU440" s="634"/>
      <c r="OV440" s="634"/>
      <c r="OW440" s="634"/>
      <c r="OX440" s="634"/>
      <c r="OY440" s="634"/>
      <c r="OZ440" s="634"/>
      <c r="PA440" s="634"/>
      <c r="PB440" s="634"/>
      <c r="PC440" s="634"/>
      <c r="PD440" s="634"/>
      <c r="PE440" s="634"/>
      <c r="PF440" s="634"/>
      <c r="PG440" s="634"/>
      <c r="PH440" s="634"/>
      <c r="PI440" s="634"/>
      <c r="PJ440" s="634"/>
      <c r="PK440" s="634"/>
      <c r="PL440" s="634"/>
      <c r="PM440" s="634"/>
      <c r="PN440" s="634"/>
      <c r="PO440" s="634"/>
      <c r="PP440" s="634"/>
      <c r="PQ440" s="634"/>
      <c r="PR440" s="634"/>
      <c r="PS440" s="634"/>
      <c r="PT440" s="634"/>
      <c r="PU440" s="634"/>
      <c r="PV440" s="634"/>
      <c r="PW440" s="634"/>
      <c r="PX440" s="634"/>
      <c r="PY440" s="634"/>
      <c r="PZ440" s="634"/>
      <c r="QA440" s="634"/>
      <c r="QB440" s="634"/>
      <c r="QC440" s="634"/>
      <c r="QD440" s="634"/>
      <c r="QE440" s="634"/>
      <c r="QF440" s="634"/>
      <c r="QG440" s="634"/>
      <c r="QH440" s="634"/>
      <c r="QI440" s="634"/>
      <c r="QJ440" s="634"/>
      <c r="QK440" s="634"/>
      <c r="QL440" s="634"/>
      <c r="QM440" s="634"/>
      <c r="QN440" s="634"/>
      <c r="QO440" s="634"/>
      <c r="QP440" s="634"/>
      <c r="QQ440" s="634"/>
      <c r="QR440" s="634"/>
      <c r="QS440" s="634"/>
      <c r="QT440" s="634"/>
      <c r="QU440" s="634"/>
      <c r="QV440" s="634"/>
      <c r="QW440" s="634"/>
      <c r="QX440" s="634"/>
      <c r="QY440" s="634"/>
      <c r="QZ440" s="634"/>
      <c r="RA440" s="634"/>
      <c r="RB440" s="634"/>
      <c r="RC440" s="634"/>
      <c r="RD440" s="634"/>
      <c r="RE440" s="634"/>
      <c r="RF440" s="634"/>
      <c r="RG440" s="634"/>
      <c r="RH440" s="634"/>
      <c r="RI440" s="634"/>
      <c r="RJ440" s="634"/>
      <c r="RK440" s="634"/>
      <c r="RL440" s="634"/>
      <c r="RM440" s="634"/>
      <c r="RN440" s="634"/>
      <c r="RO440" s="634"/>
      <c r="RP440" s="634"/>
      <c r="RQ440" s="634"/>
      <c r="RR440" s="634"/>
      <c r="RS440" s="634"/>
      <c r="RT440" s="634"/>
      <c r="RU440" s="634"/>
      <c r="RV440" s="634"/>
      <c r="RW440" s="634"/>
      <c r="RX440" s="634"/>
      <c r="RY440" s="634"/>
      <c r="RZ440" s="634"/>
      <c r="SA440" s="634"/>
      <c r="SB440" s="634"/>
      <c r="SC440" s="634"/>
      <c r="SD440" s="634"/>
      <c r="SE440" s="634"/>
      <c r="SF440" s="634"/>
      <c r="SG440" s="634"/>
      <c r="SH440" s="634"/>
      <c r="SI440" s="634"/>
      <c r="SJ440" s="634"/>
      <c r="SK440" s="634"/>
      <c r="SL440" s="634"/>
      <c r="SM440" s="634"/>
      <c r="SN440" s="634"/>
      <c r="SO440" s="634"/>
      <c r="SP440" s="634"/>
      <c r="SQ440" s="634"/>
      <c r="SR440" s="634"/>
      <c r="SS440" s="634"/>
      <c r="ST440" s="634"/>
      <c r="SU440" s="634"/>
      <c r="SV440" s="634"/>
      <c r="SW440" s="634"/>
      <c r="SX440" s="634"/>
      <c r="SY440" s="634"/>
      <c r="SZ440" s="634"/>
      <c r="TA440" s="634"/>
      <c r="TB440" s="634"/>
      <c r="TC440" s="634"/>
      <c r="TD440" s="634"/>
      <c r="TE440" s="634"/>
      <c r="TF440" s="634"/>
      <c r="TG440" s="634"/>
      <c r="TH440" s="634"/>
      <c r="TI440" s="634"/>
      <c r="TJ440" s="634"/>
      <c r="TK440" s="634"/>
      <c r="TL440" s="634"/>
      <c r="TM440" s="634"/>
      <c r="TN440" s="634"/>
      <c r="TO440" s="634"/>
      <c r="TP440" s="634"/>
      <c r="TQ440" s="634"/>
      <c r="TR440" s="634"/>
      <c r="TS440" s="634"/>
      <c r="TT440" s="634"/>
      <c r="TU440" s="634"/>
      <c r="TV440" s="634"/>
      <c r="TW440" s="634"/>
      <c r="TX440" s="634"/>
      <c r="TY440" s="634"/>
      <c r="TZ440" s="634"/>
      <c r="UA440" s="634"/>
      <c r="UB440" s="634"/>
      <c r="UC440" s="634"/>
      <c r="UD440" s="634"/>
      <c r="UE440" s="634"/>
      <c r="UF440" s="634"/>
      <c r="UG440" s="634"/>
      <c r="UH440" s="634"/>
      <c r="UI440" s="634"/>
      <c r="UJ440" s="634"/>
      <c r="UK440" s="634"/>
      <c r="UL440" s="634"/>
      <c r="UM440" s="634"/>
      <c r="UN440" s="634"/>
      <c r="UO440" s="634"/>
      <c r="UP440" s="634"/>
      <c r="UQ440" s="634"/>
      <c r="UR440" s="634"/>
      <c r="US440" s="634"/>
      <c r="UT440" s="634"/>
      <c r="UU440" s="634"/>
      <c r="UV440" s="634"/>
      <c r="UW440" s="634"/>
      <c r="UX440" s="634"/>
      <c r="UY440" s="634"/>
      <c r="UZ440" s="634"/>
      <c r="VA440" s="634"/>
      <c r="VB440" s="634"/>
      <c r="VC440" s="634"/>
      <c r="VD440" s="634"/>
      <c r="VE440" s="634"/>
      <c r="VF440" s="634"/>
      <c r="VG440" s="634"/>
      <c r="VH440" s="634"/>
      <c r="VI440" s="634"/>
      <c r="VJ440" s="634"/>
      <c r="VK440" s="634"/>
      <c r="VL440" s="634"/>
      <c r="VM440" s="634"/>
      <c r="VN440" s="634"/>
      <c r="VO440" s="634"/>
      <c r="VP440" s="634"/>
      <c r="VQ440" s="634"/>
      <c r="VR440" s="634"/>
      <c r="VS440" s="634"/>
      <c r="VT440" s="634"/>
      <c r="VU440" s="634"/>
      <c r="VV440" s="634"/>
      <c r="VW440" s="634"/>
      <c r="VX440" s="634"/>
      <c r="VY440" s="634"/>
      <c r="VZ440" s="634"/>
      <c r="WA440" s="634"/>
      <c r="WB440" s="634"/>
      <c r="WC440" s="634"/>
      <c r="WD440" s="634"/>
      <c r="WE440" s="634"/>
      <c r="WF440" s="634"/>
      <c r="WG440" s="634"/>
      <c r="WH440" s="634"/>
      <c r="WI440" s="634"/>
      <c r="WJ440" s="634"/>
      <c r="WK440" s="634"/>
      <c r="WL440" s="634"/>
      <c r="WM440" s="634"/>
      <c r="WN440" s="634"/>
      <c r="WO440" s="634"/>
      <c r="WP440" s="634"/>
      <c r="WQ440" s="634"/>
      <c r="WR440" s="634"/>
      <c r="WS440" s="634"/>
      <c r="WT440" s="634"/>
      <c r="WU440" s="634"/>
      <c r="WV440" s="634"/>
      <c r="WW440" s="634"/>
      <c r="WX440" s="634"/>
      <c r="WY440" s="634"/>
      <c r="WZ440" s="634"/>
      <c r="XA440" s="634"/>
      <c r="XB440" s="634"/>
      <c r="XC440" s="634"/>
      <c r="XD440" s="634"/>
      <c r="XE440" s="634"/>
      <c r="XF440" s="634"/>
      <c r="XG440" s="634"/>
      <c r="XH440" s="634"/>
      <c r="XI440" s="634"/>
      <c r="XJ440" s="634"/>
      <c r="XK440" s="634"/>
      <c r="XL440" s="634"/>
      <c r="XM440" s="634"/>
      <c r="XN440" s="634"/>
      <c r="XO440" s="634"/>
      <c r="XP440" s="634"/>
      <c r="XQ440" s="634"/>
      <c r="XR440" s="634"/>
      <c r="XS440" s="634"/>
      <c r="XT440" s="634"/>
      <c r="XU440" s="634"/>
      <c r="XV440" s="634"/>
      <c r="XW440" s="634"/>
      <c r="XX440" s="634"/>
      <c r="XY440" s="634"/>
      <c r="XZ440" s="634"/>
      <c r="YA440" s="634"/>
      <c r="YB440" s="634"/>
      <c r="YC440" s="634"/>
      <c r="YD440" s="634"/>
      <c r="YE440" s="634"/>
      <c r="YF440" s="634"/>
      <c r="YG440" s="634"/>
      <c r="YH440" s="634"/>
      <c r="YI440" s="634"/>
      <c r="YJ440" s="634"/>
      <c r="YK440" s="634"/>
      <c r="YL440" s="634"/>
      <c r="YM440" s="634"/>
      <c r="YN440" s="634"/>
      <c r="YO440" s="634"/>
      <c r="YP440" s="634"/>
      <c r="YQ440" s="634"/>
      <c r="YR440" s="634"/>
      <c r="YS440" s="634"/>
      <c r="YT440" s="634"/>
      <c r="YU440" s="634"/>
      <c r="YV440" s="634"/>
      <c r="YW440" s="634"/>
      <c r="YX440" s="634"/>
      <c r="YY440" s="634"/>
      <c r="YZ440" s="634"/>
      <c r="ZA440" s="634"/>
      <c r="ZB440" s="634"/>
      <c r="ZC440" s="634"/>
      <c r="ZD440" s="634"/>
      <c r="ZE440" s="634"/>
      <c r="ZF440" s="634"/>
      <c r="ZG440" s="634"/>
      <c r="ZH440" s="634"/>
      <c r="ZI440" s="634"/>
      <c r="ZJ440" s="634"/>
      <c r="ZK440" s="634"/>
      <c r="ZL440" s="634"/>
      <c r="ZM440" s="634"/>
      <c r="ZN440" s="634"/>
      <c r="ZO440" s="634"/>
      <c r="ZP440" s="634"/>
      <c r="ZQ440" s="634"/>
      <c r="ZR440" s="634"/>
      <c r="ZS440" s="634"/>
      <c r="ZT440" s="634"/>
      <c r="ZU440" s="634"/>
      <c r="ZV440" s="634"/>
      <c r="ZW440" s="634"/>
      <c r="ZX440" s="634"/>
      <c r="ZY440" s="637"/>
      <c r="ZZ440" s="119"/>
      <c r="AAA440" s="587"/>
      <c r="AAD440" s="112"/>
      <c r="AAE440" s="550" t="s">
        <v>243</v>
      </c>
      <c r="AAF440" s="582" t="s">
        <v>172</v>
      </c>
      <c r="AAG440" s="78">
        <f>S.SubmitStaffRpt</f>
        <v>41579</v>
      </c>
      <c r="AAH440" s="78">
        <f>WORKDAY(S.EQCMeeting+60,1,S.DDL_DEQClosed)</f>
        <v>41680</v>
      </c>
      <c r="AAI440" s="77"/>
      <c r="AAJ440" s="57"/>
      <c r="AAK440" s="57"/>
      <c r="AAL440" s="57"/>
      <c r="AAM440" s="112"/>
      <c r="AAN440"/>
      <c r="AAT440" s="23"/>
      <c r="AAU440" s="44"/>
    </row>
    <row r="441" spans="1:732" ht="6" customHeight="1">
      <c r="A441" s="557"/>
      <c r="B441" s="206"/>
      <c r="C441" s="688"/>
      <c r="D441" s="180"/>
      <c r="E441" s="181"/>
      <c r="F441" s="181"/>
      <c r="G441" s="180"/>
      <c r="H441" s="180"/>
      <c r="I441" s="587"/>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7"/>
      <c r="AAD441" s="112"/>
      <c r="AAE441" s="550" t="s">
        <v>20</v>
      </c>
      <c r="AAF441" s="582" t="s">
        <v>172</v>
      </c>
      <c r="AAG441" s="63"/>
      <c r="AAH441" s="63"/>
      <c r="AAI441" s="77"/>
      <c r="AAJ441" s="57"/>
      <c r="AAK441" s="57"/>
      <c r="AAL441" s="57"/>
      <c r="AAM441" s="112"/>
      <c r="AAN441"/>
      <c r="AAT441" s="23"/>
      <c r="AAU441" s="44"/>
    </row>
    <row r="442" spans="1:732" ht="16.5" customHeight="1" outlineLevel="2">
      <c r="A442" s="557"/>
      <c r="B442" s="461" t="s">
        <v>160</v>
      </c>
      <c r="C442" s="689"/>
      <c r="D442" s="145"/>
      <c r="E442" s="146"/>
      <c r="F442" s="146"/>
      <c r="G442" s="161"/>
      <c r="H442" s="161"/>
      <c r="I442" s="587"/>
      <c r="J442" s="630"/>
      <c r="K442" s="629"/>
      <c r="L442" s="629"/>
      <c r="M442" s="629"/>
      <c r="N442" s="629"/>
      <c r="O442" s="629"/>
      <c r="P442" s="629"/>
      <c r="Q442" s="629"/>
      <c r="R442" s="629"/>
      <c r="S442" s="629"/>
      <c r="T442" s="629"/>
      <c r="U442" s="629"/>
      <c r="V442" s="629"/>
      <c r="W442" s="629"/>
      <c r="X442" s="629"/>
      <c r="Y442" s="629"/>
      <c r="Z442" s="629"/>
      <c r="AA442" s="629"/>
      <c r="AB442" s="629"/>
      <c r="AC442" s="629"/>
      <c r="AD442" s="629"/>
      <c r="AE442" s="629"/>
      <c r="AF442" s="629"/>
      <c r="AG442" s="629"/>
      <c r="AH442" s="629"/>
      <c r="AI442" s="629"/>
      <c r="AJ442" s="629"/>
      <c r="AK442" s="629"/>
      <c r="AL442" s="629"/>
      <c r="AM442" s="629"/>
      <c r="AN442" s="629"/>
      <c r="AO442" s="629"/>
      <c r="AP442" s="629"/>
      <c r="AQ442" s="629"/>
      <c r="AR442" s="629"/>
      <c r="AS442" s="629"/>
      <c r="AT442" s="629"/>
      <c r="AU442" s="629"/>
      <c r="AV442" s="629"/>
      <c r="AW442" s="629"/>
      <c r="AX442" s="629"/>
      <c r="AY442" s="629"/>
      <c r="AZ442" s="629"/>
      <c r="BA442" s="629"/>
      <c r="BB442" s="629"/>
      <c r="BC442" s="629"/>
      <c r="BD442" s="629"/>
      <c r="BE442" s="629"/>
      <c r="BF442" s="629"/>
      <c r="BG442" s="629"/>
      <c r="BH442" s="629"/>
      <c r="BI442" s="629"/>
      <c r="BJ442" s="629"/>
      <c r="BK442" s="629"/>
      <c r="BL442" s="629"/>
      <c r="BM442" s="629"/>
      <c r="BN442" s="629"/>
      <c r="BO442" s="629"/>
      <c r="BP442" s="629"/>
      <c r="BQ442" s="629"/>
      <c r="BR442" s="629"/>
      <c r="BS442" s="629"/>
      <c r="BT442" s="629"/>
      <c r="BU442" s="629"/>
      <c r="BV442" s="629"/>
      <c r="BW442" s="629"/>
      <c r="BX442" s="629"/>
      <c r="BY442" s="629"/>
      <c r="BZ442" s="629"/>
      <c r="CA442" s="629"/>
      <c r="CB442" s="629"/>
      <c r="CC442" s="629"/>
      <c r="CD442" s="629"/>
      <c r="CE442" s="629"/>
      <c r="CF442" s="629"/>
      <c r="CG442" s="629"/>
      <c r="CH442" s="629"/>
      <c r="CI442" s="629"/>
      <c r="CJ442" s="629"/>
      <c r="CK442" s="629"/>
      <c r="CL442" s="629"/>
      <c r="CM442" s="629"/>
      <c r="CN442" s="629"/>
      <c r="CO442" s="629"/>
      <c r="CP442" s="629"/>
      <c r="CQ442" s="629"/>
      <c r="CR442" s="629"/>
      <c r="CS442" s="629"/>
      <c r="CT442" s="629"/>
      <c r="CU442" s="629"/>
      <c r="CV442" s="629"/>
      <c r="CW442" s="629"/>
      <c r="CX442" s="629"/>
      <c r="CY442" s="629"/>
      <c r="CZ442" s="629"/>
      <c r="DA442" s="629"/>
      <c r="DB442" s="629"/>
      <c r="DC442" s="629"/>
      <c r="DD442" s="629"/>
      <c r="DE442" s="629"/>
      <c r="DF442" s="629"/>
      <c r="DG442" s="629"/>
      <c r="DH442" s="629"/>
      <c r="DI442" s="629"/>
      <c r="DJ442" s="629"/>
      <c r="DK442" s="629"/>
      <c r="DL442" s="629"/>
      <c r="DM442" s="629"/>
      <c r="DN442" s="629"/>
      <c r="DO442" s="629"/>
      <c r="DP442" s="629"/>
      <c r="DQ442" s="629"/>
      <c r="DR442" s="629"/>
      <c r="DS442" s="629"/>
      <c r="DT442" s="629"/>
      <c r="DU442" s="629"/>
      <c r="DV442" s="629"/>
      <c r="DW442" s="629"/>
      <c r="DX442" s="629"/>
      <c r="DY442" s="629"/>
      <c r="DZ442" s="629"/>
      <c r="EA442" s="629"/>
      <c r="EB442" s="629"/>
      <c r="EC442" s="629"/>
      <c r="ED442" s="629"/>
      <c r="EE442" s="629"/>
      <c r="EF442" s="629"/>
      <c r="EG442" s="629"/>
      <c r="EH442" s="629"/>
      <c r="EI442" s="629"/>
      <c r="EJ442" s="629"/>
      <c r="EK442" s="629"/>
      <c r="EL442" s="629"/>
      <c r="EM442" s="629"/>
      <c r="EN442" s="629"/>
      <c r="EO442" s="629"/>
      <c r="EP442" s="629"/>
      <c r="EQ442" s="629"/>
      <c r="ER442" s="629"/>
      <c r="ES442" s="629"/>
      <c r="ET442" s="629"/>
      <c r="EU442" s="629"/>
      <c r="EV442" s="629"/>
      <c r="EW442" s="629"/>
      <c r="EX442" s="629"/>
      <c r="EY442" s="629"/>
      <c r="EZ442" s="629"/>
      <c r="FA442" s="629"/>
      <c r="FB442" s="629"/>
      <c r="FC442" s="629"/>
      <c r="FD442" s="629"/>
      <c r="FE442" s="629"/>
      <c r="FF442" s="629"/>
      <c r="FG442" s="629"/>
      <c r="FH442" s="629"/>
      <c r="FI442" s="629"/>
      <c r="FJ442" s="629"/>
      <c r="FK442" s="629"/>
      <c r="FL442" s="629"/>
      <c r="FM442" s="629"/>
      <c r="FN442" s="629"/>
      <c r="FO442" s="629"/>
      <c r="FP442" s="629"/>
      <c r="FQ442" s="629"/>
      <c r="FR442" s="629"/>
      <c r="FS442" s="629"/>
      <c r="FT442" s="629"/>
      <c r="FU442" s="629"/>
      <c r="FV442" s="629"/>
      <c r="FW442" s="629"/>
      <c r="FX442" s="629"/>
      <c r="FY442" s="629"/>
      <c r="FZ442" s="629"/>
      <c r="GA442" s="629"/>
      <c r="GB442" s="629"/>
      <c r="GC442" s="629"/>
      <c r="GD442" s="629"/>
      <c r="GE442" s="629"/>
      <c r="GF442" s="629"/>
      <c r="GG442" s="629"/>
      <c r="GH442" s="629"/>
      <c r="GI442" s="629"/>
      <c r="GJ442" s="629"/>
      <c r="GK442" s="629"/>
      <c r="GL442" s="629"/>
      <c r="GM442" s="629"/>
      <c r="GN442" s="629"/>
      <c r="GO442" s="629"/>
      <c r="GP442" s="629"/>
      <c r="GQ442" s="629"/>
      <c r="GR442" s="629"/>
      <c r="GS442" s="629"/>
      <c r="GT442" s="629"/>
      <c r="GU442" s="629"/>
      <c r="GV442" s="629"/>
      <c r="GW442" s="629"/>
      <c r="GX442" s="629"/>
      <c r="GY442" s="629"/>
      <c r="GZ442" s="629"/>
      <c r="HA442" s="629"/>
      <c r="HB442" s="629"/>
      <c r="HC442" s="629"/>
      <c r="HD442" s="629"/>
      <c r="HE442" s="629"/>
      <c r="HF442" s="629"/>
      <c r="HG442" s="629"/>
      <c r="HH442" s="629"/>
      <c r="HI442" s="629"/>
      <c r="HJ442" s="629"/>
      <c r="HK442" s="629"/>
      <c r="HL442" s="629"/>
      <c r="HM442" s="629"/>
      <c r="HN442" s="629"/>
      <c r="HO442" s="629"/>
      <c r="HP442" s="629"/>
      <c r="HQ442" s="629"/>
      <c r="HR442" s="629"/>
      <c r="HS442" s="629"/>
      <c r="HT442" s="629"/>
      <c r="HU442" s="629"/>
      <c r="HV442" s="629"/>
      <c r="HW442" s="629"/>
      <c r="HX442" s="629"/>
      <c r="HY442" s="629"/>
      <c r="HZ442" s="629"/>
      <c r="IA442" s="629"/>
      <c r="IB442" s="629"/>
      <c r="IC442" s="629"/>
      <c r="ID442" s="629"/>
      <c r="IE442" s="629"/>
      <c r="IF442" s="629"/>
      <c r="IG442" s="629"/>
      <c r="IH442" s="629"/>
      <c r="II442" s="629"/>
      <c r="IJ442" s="629"/>
      <c r="IK442" s="629"/>
      <c r="IL442" s="629"/>
      <c r="IM442" s="629"/>
      <c r="IN442" s="629"/>
      <c r="IO442" s="629"/>
      <c r="IP442" s="629"/>
      <c r="IQ442" s="629"/>
      <c r="IR442" s="629"/>
      <c r="IS442" s="629"/>
      <c r="IT442" s="629"/>
      <c r="IU442" s="629"/>
      <c r="IV442" s="629"/>
      <c r="IW442" s="629"/>
      <c r="IX442" s="629"/>
      <c r="IY442" s="629"/>
      <c r="IZ442" s="629"/>
      <c r="JA442" s="629"/>
      <c r="JB442" s="629"/>
      <c r="JC442" s="629"/>
      <c r="JD442" s="629"/>
      <c r="JE442" s="629"/>
      <c r="JF442" s="629"/>
      <c r="JG442" s="629"/>
      <c r="JH442" s="629"/>
      <c r="JI442" s="629"/>
      <c r="JJ442" s="629"/>
      <c r="JK442" s="629"/>
      <c r="JL442" s="629"/>
      <c r="JM442" s="629"/>
      <c r="JN442" s="629"/>
      <c r="JO442" s="629"/>
      <c r="JP442" s="629"/>
      <c r="JQ442" s="629"/>
      <c r="JR442" s="629"/>
      <c r="JS442" s="629"/>
      <c r="JT442" s="629"/>
      <c r="JU442" s="629"/>
      <c r="JV442" s="629"/>
      <c r="JW442" s="629"/>
      <c r="JX442" s="629"/>
      <c r="JY442" s="629"/>
      <c r="JZ442" s="629"/>
      <c r="KA442" s="629"/>
      <c r="KB442" s="629"/>
      <c r="KC442" s="629"/>
      <c r="KD442" s="629"/>
      <c r="KE442" s="629"/>
      <c r="KF442" s="629"/>
      <c r="KG442" s="629"/>
      <c r="KH442" s="629"/>
      <c r="KI442" s="629"/>
      <c r="KJ442" s="629"/>
      <c r="KK442" s="629"/>
      <c r="KL442" s="629"/>
      <c r="KM442" s="629"/>
      <c r="KN442" s="629"/>
      <c r="KO442" s="629"/>
      <c r="KP442" s="629"/>
      <c r="KQ442" s="629"/>
      <c r="KR442" s="629"/>
      <c r="KS442" s="629"/>
      <c r="KT442" s="629"/>
      <c r="KU442" s="629"/>
      <c r="KV442" s="629"/>
      <c r="KW442" s="629"/>
      <c r="KX442" s="629"/>
      <c r="KY442" s="629"/>
      <c r="KZ442" s="629"/>
      <c r="LA442" s="629"/>
      <c r="LB442" s="629"/>
      <c r="LC442" s="629"/>
      <c r="LD442" s="629"/>
      <c r="LE442" s="629"/>
      <c r="LF442" s="629"/>
      <c r="LG442" s="629"/>
      <c r="LH442" s="629"/>
      <c r="LI442" s="629"/>
      <c r="LJ442" s="629"/>
      <c r="LK442" s="629"/>
      <c r="LL442" s="629"/>
      <c r="LM442" s="629"/>
      <c r="LN442" s="629"/>
      <c r="LO442" s="629"/>
      <c r="LP442" s="629"/>
      <c r="LQ442" s="629"/>
      <c r="LR442" s="629"/>
      <c r="LS442" s="629"/>
      <c r="LT442" s="629"/>
      <c r="LU442" s="629"/>
      <c r="LV442" s="629"/>
      <c r="LW442" s="629"/>
      <c r="LX442" s="629"/>
      <c r="LY442" s="629"/>
      <c r="LZ442" s="629"/>
      <c r="MA442" s="629"/>
      <c r="MB442" s="629"/>
      <c r="MC442" s="629"/>
      <c r="MD442" s="629"/>
      <c r="ME442" s="629"/>
      <c r="MF442" s="629"/>
      <c r="MG442" s="629"/>
      <c r="MH442" s="629"/>
      <c r="MI442" s="629"/>
      <c r="MJ442" s="629"/>
      <c r="MK442" s="629"/>
      <c r="ML442" s="629"/>
      <c r="MM442" s="629"/>
      <c r="MN442" s="629"/>
      <c r="MO442" s="629"/>
      <c r="MP442" s="629"/>
      <c r="MQ442" s="629"/>
      <c r="MR442" s="629"/>
      <c r="MS442" s="629"/>
      <c r="MT442" s="629"/>
      <c r="MU442" s="629"/>
      <c r="MV442" s="629"/>
      <c r="MW442" s="629"/>
      <c r="MX442" s="629"/>
      <c r="MY442" s="629"/>
      <c r="MZ442" s="629"/>
      <c r="NA442" s="629"/>
      <c r="NB442" s="629"/>
      <c r="NC442" s="629"/>
      <c r="ND442" s="629"/>
      <c r="NE442" s="629"/>
      <c r="NF442" s="629"/>
      <c r="NG442" s="629"/>
      <c r="NH442" s="629"/>
      <c r="NI442" s="629"/>
      <c r="NJ442" s="629"/>
      <c r="NK442" s="629"/>
      <c r="NL442" s="629"/>
      <c r="NM442" s="629"/>
      <c r="NN442" s="629"/>
      <c r="NO442" s="629"/>
      <c r="NP442" s="629"/>
      <c r="NQ442" s="629"/>
      <c r="NR442" s="629"/>
      <c r="NS442" s="629"/>
      <c r="NT442" s="629"/>
      <c r="NU442" s="629"/>
      <c r="NV442" s="629"/>
      <c r="NW442" s="629"/>
      <c r="NX442" s="629"/>
      <c r="NY442" s="629"/>
      <c r="NZ442" s="629"/>
      <c r="OA442" s="629"/>
      <c r="OB442" s="629"/>
      <c r="OC442" s="629"/>
      <c r="OD442" s="629"/>
      <c r="OE442" s="629"/>
      <c r="OF442" s="629"/>
      <c r="OG442" s="629"/>
      <c r="OH442" s="629"/>
      <c r="OI442" s="629"/>
      <c r="OJ442" s="629"/>
      <c r="OK442" s="629"/>
      <c r="OL442" s="629"/>
      <c r="OM442" s="629"/>
      <c r="ON442" s="629"/>
      <c r="OO442" s="629"/>
      <c r="OP442" s="629"/>
      <c r="OQ442" s="629"/>
      <c r="OR442" s="629"/>
      <c r="OS442" s="629"/>
      <c r="OT442" s="629"/>
      <c r="OU442" s="629"/>
      <c r="OV442" s="629"/>
      <c r="OW442" s="629"/>
      <c r="OX442" s="629"/>
      <c r="OY442" s="629"/>
      <c r="OZ442" s="629"/>
      <c r="PA442" s="629"/>
      <c r="PB442" s="629"/>
      <c r="PC442" s="629"/>
      <c r="PD442" s="629"/>
      <c r="PE442" s="629"/>
      <c r="PF442" s="629"/>
      <c r="PG442" s="629"/>
      <c r="PH442" s="629"/>
      <c r="PI442" s="629"/>
      <c r="PJ442" s="629"/>
      <c r="PK442" s="629"/>
      <c r="PL442" s="629"/>
      <c r="PM442" s="629"/>
      <c r="PN442" s="629"/>
      <c r="PO442" s="629"/>
      <c r="PP442" s="629"/>
      <c r="PQ442" s="629"/>
      <c r="PR442" s="629"/>
      <c r="PS442" s="629"/>
      <c r="PT442" s="629"/>
      <c r="PU442" s="629"/>
      <c r="PV442" s="629"/>
      <c r="PW442" s="629"/>
      <c r="PX442" s="629"/>
      <c r="PY442" s="629"/>
      <c r="PZ442" s="629"/>
      <c r="QA442" s="629"/>
      <c r="QB442" s="629"/>
      <c r="QC442" s="629"/>
      <c r="QD442" s="629"/>
      <c r="QE442" s="629"/>
      <c r="QF442" s="629"/>
      <c r="QG442" s="629"/>
      <c r="QH442" s="629"/>
      <c r="QI442" s="629"/>
      <c r="QJ442" s="629"/>
      <c r="QK442" s="629"/>
      <c r="QL442" s="629"/>
      <c r="QM442" s="629"/>
      <c r="QN442" s="629"/>
      <c r="QO442" s="629"/>
      <c r="QP442" s="629"/>
      <c r="QQ442" s="629"/>
      <c r="QR442" s="629"/>
      <c r="QS442" s="629"/>
      <c r="QT442" s="629"/>
      <c r="QU442" s="629"/>
      <c r="QV442" s="629"/>
      <c r="QW442" s="629"/>
      <c r="QX442" s="629"/>
      <c r="QY442" s="629"/>
      <c r="QZ442" s="629"/>
      <c r="RA442" s="629"/>
      <c r="RB442" s="629"/>
      <c r="RC442" s="629"/>
      <c r="RD442" s="629"/>
      <c r="RE442" s="629"/>
      <c r="RF442" s="629"/>
      <c r="RG442" s="629"/>
      <c r="RH442" s="629"/>
      <c r="RI442" s="629"/>
      <c r="RJ442" s="629"/>
      <c r="RK442" s="629"/>
      <c r="RL442" s="629"/>
      <c r="RM442" s="629"/>
      <c r="RN442" s="629"/>
      <c r="RO442" s="629"/>
      <c r="RP442" s="629"/>
      <c r="RQ442" s="629"/>
      <c r="RR442" s="629"/>
      <c r="RS442" s="629"/>
      <c r="RT442" s="629"/>
      <c r="RU442" s="629"/>
      <c r="RV442" s="629"/>
      <c r="RW442" s="629"/>
      <c r="RX442" s="629"/>
      <c r="RY442" s="629"/>
      <c r="RZ442" s="629"/>
      <c r="SA442" s="629"/>
      <c r="SB442" s="629"/>
      <c r="SC442" s="629"/>
      <c r="SD442" s="629"/>
      <c r="SE442" s="629"/>
      <c r="SF442" s="629"/>
      <c r="SG442" s="629"/>
      <c r="SH442" s="629"/>
      <c r="SI442" s="629"/>
      <c r="SJ442" s="629"/>
      <c r="SK442" s="629"/>
      <c r="SL442" s="629"/>
      <c r="SM442" s="629"/>
      <c r="SN442" s="629"/>
      <c r="SO442" s="629"/>
      <c r="SP442" s="629"/>
      <c r="SQ442" s="629"/>
      <c r="SR442" s="629"/>
      <c r="SS442" s="629"/>
      <c r="ST442" s="629"/>
      <c r="SU442" s="629"/>
      <c r="SV442" s="629"/>
      <c r="SW442" s="629"/>
      <c r="SX442" s="629"/>
      <c r="SY442" s="629"/>
      <c r="SZ442" s="629"/>
      <c r="TA442" s="629"/>
      <c r="TB442" s="629"/>
      <c r="TC442" s="629"/>
      <c r="TD442" s="629"/>
      <c r="TE442" s="629"/>
      <c r="TF442" s="629"/>
      <c r="TG442" s="629"/>
      <c r="TH442" s="629"/>
      <c r="TI442" s="629"/>
      <c r="TJ442" s="629"/>
      <c r="TK442" s="629"/>
      <c r="TL442" s="629"/>
      <c r="TM442" s="629"/>
      <c r="TN442" s="629"/>
      <c r="TO442" s="629"/>
      <c r="TP442" s="629"/>
      <c r="TQ442" s="629"/>
      <c r="TR442" s="629"/>
      <c r="TS442" s="629"/>
      <c r="TT442" s="629"/>
      <c r="TU442" s="629"/>
      <c r="TV442" s="629"/>
      <c r="TW442" s="629"/>
      <c r="TX442" s="629"/>
      <c r="TY442" s="629"/>
      <c r="TZ442" s="629"/>
      <c r="UA442" s="629"/>
      <c r="UB442" s="629"/>
      <c r="UC442" s="629"/>
      <c r="UD442" s="629"/>
      <c r="UE442" s="629"/>
      <c r="UF442" s="629"/>
      <c r="UG442" s="629"/>
      <c r="UH442" s="629"/>
      <c r="UI442" s="629"/>
      <c r="UJ442" s="629"/>
      <c r="UK442" s="629"/>
      <c r="UL442" s="629"/>
      <c r="UM442" s="629"/>
      <c r="UN442" s="629"/>
      <c r="UO442" s="629"/>
      <c r="UP442" s="629"/>
      <c r="UQ442" s="629"/>
      <c r="UR442" s="629"/>
      <c r="US442" s="629"/>
      <c r="UT442" s="629"/>
      <c r="UU442" s="629"/>
      <c r="UV442" s="629"/>
      <c r="UW442" s="629"/>
      <c r="UX442" s="629"/>
      <c r="UY442" s="629"/>
      <c r="UZ442" s="629"/>
      <c r="VA442" s="629"/>
      <c r="VB442" s="629"/>
      <c r="VC442" s="629"/>
      <c r="VD442" s="629"/>
      <c r="VE442" s="629"/>
      <c r="VF442" s="629"/>
      <c r="VG442" s="629"/>
      <c r="VH442" s="629"/>
      <c r="VI442" s="629"/>
      <c r="VJ442" s="629"/>
      <c r="VK442" s="629"/>
      <c r="VL442" s="629"/>
      <c r="VM442" s="629"/>
      <c r="VN442" s="629"/>
      <c r="VO442" s="629"/>
      <c r="VP442" s="629"/>
      <c r="VQ442" s="629"/>
      <c r="VR442" s="629"/>
      <c r="VS442" s="629"/>
      <c r="VT442" s="629"/>
      <c r="VU442" s="629"/>
      <c r="VV442" s="629"/>
      <c r="VW442" s="629"/>
      <c r="VX442" s="629"/>
      <c r="VY442" s="629"/>
      <c r="VZ442" s="629"/>
      <c r="WA442" s="629"/>
      <c r="WB442" s="629"/>
      <c r="WC442" s="629"/>
      <c r="WD442" s="629"/>
      <c r="WE442" s="629"/>
      <c r="WF442" s="629"/>
      <c r="WG442" s="629"/>
      <c r="WH442" s="629"/>
      <c r="WI442" s="629"/>
      <c r="WJ442" s="629"/>
      <c r="WK442" s="629"/>
      <c r="WL442" s="629"/>
      <c r="WM442" s="629"/>
      <c r="WN442" s="629"/>
      <c r="WO442" s="629"/>
      <c r="WP442" s="629"/>
      <c r="WQ442" s="629"/>
      <c r="WR442" s="629"/>
      <c r="WS442" s="629"/>
      <c r="WT442" s="629"/>
      <c r="WU442" s="629"/>
      <c r="WV442" s="629"/>
      <c r="WW442" s="629"/>
      <c r="WX442" s="629"/>
      <c r="WY442" s="629"/>
      <c r="WZ442" s="629"/>
      <c r="XA442" s="629"/>
      <c r="XB442" s="629"/>
      <c r="XC442" s="629"/>
      <c r="XD442" s="629"/>
      <c r="XE442" s="629"/>
      <c r="XF442" s="629"/>
      <c r="XG442" s="629"/>
      <c r="XH442" s="629"/>
      <c r="XI442" s="629"/>
      <c r="XJ442" s="629"/>
      <c r="XK442" s="629"/>
      <c r="XL442" s="629"/>
      <c r="XM442" s="629"/>
      <c r="XN442" s="629"/>
      <c r="XO442" s="629"/>
      <c r="XP442" s="629"/>
      <c r="XQ442" s="629"/>
      <c r="XR442" s="629"/>
      <c r="XS442" s="629"/>
      <c r="XT442" s="629"/>
      <c r="XU442" s="629"/>
      <c r="XV442" s="629"/>
      <c r="XW442" s="629"/>
      <c r="XX442" s="629"/>
      <c r="XY442" s="629"/>
      <c r="XZ442" s="629"/>
      <c r="YA442" s="629"/>
      <c r="YB442" s="629"/>
      <c r="YC442" s="629"/>
      <c r="YD442" s="629"/>
      <c r="YE442" s="629"/>
      <c r="YF442" s="629"/>
      <c r="YG442" s="629"/>
      <c r="YH442" s="629"/>
      <c r="YI442" s="629"/>
      <c r="YJ442" s="629"/>
      <c r="YK442" s="629"/>
      <c r="YL442" s="629"/>
      <c r="YM442" s="629"/>
      <c r="YN442" s="629"/>
      <c r="YO442" s="629"/>
      <c r="YP442" s="629"/>
      <c r="YQ442" s="629"/>
      <c r="YR442" s="629"/>
      <c r="YS442" s="629"/>
      <c r="YT442" s="629"/>
      <c r="YU442" s="629"/>
      <c r="YV442" s="629"/>
      <c r="YW442" s="629"/>
      <c r="YX442" s="629"/>
      <c r="YY442" s="629"/>
      <c r="YZ442" s="629"/>
      <c r="ZA442" s="629"/>
      <c r="ZB442" s="629"/>
      <c r="ZC442" s="629"/>
      <c r="ZD442" s="629"/>
      <c r="ZE442" s="629"/>
      <c r="ZF442" s="629"/>
      <c r="ZG442" s="629"/>
      <c r="ZH442" s="629"/>
      <c r="ZI442" s="629"/>
      <c r="ZJ442" s="629"/>
      <c r="ZK442" s="629"/>
      <c r="ZL442" s="629"/>
      <c r="ZM442" s="629"/>
      <c r="ZN442" s="629"/>
      <c r="ZO442" s="629"/>
      <c r="ZP442" s="629"/>
      <c r="ZQ442" s="629"/>
      <c r="ZR442" s="629"/>
      <c r="ZS442" s="629"/>
      <c r="ZT442" s="629"/>
      <c r="ZU442" s="629"/>
      <c r="ZV442" s="629"/>
      <c r="ZW442" s="629"/>
      <c r="ZX442" s="629"/>
      <c r="ZY442" s="642"/>
      <c r="ZZ442" s="32"/>
      <c r="AAA442" s="587"/>
      <c r="AAD442" s="112"/>
      <c r="AAE442" s="550">
        <v>0</v>
      </c>
      <c r="AAF442" s="582" t="s">
        <v>172</v>
      </c>
      <c r="AAG442" s="63"/>
      <c r="AAH442" s="63"/>
      <c r="AAI442" s="77"/>
      <c r="AAJ442" s="57"/>
      <c r="AAK442" s="57"/>
      <c r="AAL442" s="57"/>
      <c r="AAM442" s="112"/>
      <c r="AAN442"/>
      <c r="AAT442" s="23"/>
      <c r="AAU442" s="44"/>
    </row>
    <row r="443" spans="1:732" ht="15.75" customHeight="1" outlineLevel="2">
      <c r="A443" s="557"/>
      <c r="B443" s="415" t="s">
        <v>128</v>
      </c>
      <c r="C443" s="727"/>
      <c r="D443" s="277" t="s">
        <v>391</v>
      </c>
      <c r="E443" s="368">
        <f t="shared" ref="E443:E458" si="998">NETWORKDAYS(G443,H443,S.DDL_DEQClosed)</f>
        <v>1</v>
      </c>
      <c r="F443" s="372">
        <f t="shared" ref="F443:F458" ca="1" si="999">NETWORKDAYS(TODAY(),H443)</f>
        <v>98</v>
      </c>
      <c r="G443" s="470">
        <f>AAG443</f>
        <v>41619</v>
      </c>
      <c r="H443" s="369">
        <f>AAH443</f>
        <v>41619</v>
      </c>
      <c r="I443" s="626"/>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7"/>
      <c r="AAD443" s="112"/>
      <c r="AAE443" s="550">
        <v>1</v>
      </c>
      <c r="AAF443" s="112"/>
      <c r="AAG443" s="78">
        <f>S.EQCMeeting</f>
        <v>41619</v>
      </c>
      <c r="AAH443" s="78">
        <f>G443</f>
        <v>41619</v>
      </c>
      <c r="AAI443" s="77"/>
      <c r="AAJ443" s="57" t="s">
        <v>0</v>
      </c>
      <c r="AAK443" s="57"/>
      <c r="AAL443" s="57"/>
      <c r="AAM443" s="112"/>
      <c r="AAN443"/>
      <c r="AAT443" s="23"/>
      <c r="AAU443" s="44"/>
    </row>
    <row r="444" spans="1:732" ht="15.75" customHeight="1" outlineLevel="2">
      <c r="A444" s="557"/>
      <c r="B444" s="466" t="str">
        <f>"EQC.RULES."&amp;TEXT(S.EQCMeeting,"m.d.yyyy")</f>
        <v>EQC.RULES.12.11.2013</v>
      </c>
      <c r="C444" s="722"/>
      <c r="D444" s="174"/>
      <c r="E444" s="400"/>
      <c r="F444" s="400"/>
      <c r="G444" s="468"/>
      <c r="H444" s="468"/>
      <c r="I444" s="587"/>
      <c r="J444" s="591"/>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7"/>
      <c r="ZZ444" s="36"/>
      <c r="AAA444" s="587"/>
      <c r="AAD444" s="112"/>
      <c r="AAE444" s="550">
        <v>1</v>
      </c>
      <c r="AAF444" s="582" t="s">
        <v>172</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7"/>
      <c r="B445" s="466" t="str">
        <f>AAL445</f>
        <v>EQC.REDLINE.12.11.2013</v>
      </c>
      <c r="C445" s="722"/>
      <c r="D445" s="174"/>
      <c r="E445" s="400"/>
      <c r="F445" s="400"/>
      <c r="G445" s="468"/>
      <c r="H445" s="468"/>
      <c r="I445" s="587"/>
      <c r="J445" s="591"/>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7"/>
      <c r="ZZ445" s="36"/>
      <c r="AAA445" s="587"/>
      <c r="AAD445" s="112"/>
      <c r="AAE445" s="550">
        <v>1</v>
      </c>
      <c r="AAF445" s="582" t="s">
        <v>172</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7"/>
      <c r="B446" s="466" t="s">
        <v>330</v>
      </c>
      <c r="C446" s="722"/>
      <c r="D446" s="174"/>
      <c r="E446" s="400"/>
      <c r="F446" s="400"/>
      <c r="G446" s="468"/>
      <c r="H446" s="468"/>
      <c r="I446" s="587"/>
      <c r="J446" s="591"/>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7"/>
      <c r="ZZ446" s="36"/>
      <c r="AAA446" s="587"/>
      <c r="AAD446" s="112"/>
      <c r="AAE446" s="550">
        <v>1</v>
      </c>
      <c r="AAF446" s="582" t="s">
        <v>172</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7"/>
      <c r="B447" s="466" t="s">
        <v>331</v>
      </c>
      <c r="C447" s="722"/>
      <c r="D447" s="174"/>
      <c r="E447" s="400"/>
      <c r="F447" s="400" t="s">
        <v>0</v>
      </c>
      <c r="G447" s="468"/>
      <c r="H447" s="468"/>
      <c r="I447" s="587"/>
      <c r="J447" s="591"/>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7"/>
      <c r="ZZ447" s="36"/>
      <c r="AAA447" s="587"/>
      <c r="AAD447" s="112"/>
      <c r="AAE447" s="550">
        <v>1</v>
      </c>
      <c r="AAF447" s="582" t="s">
        <v>172</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7"/>
      <c r="B448" s="533" t="str">
        <f>AAL448</f>
        <v>Fees not involved</v>
      </c>
      <c r="C448" s="193"/>
      <c r="D448" s="277" t="s">
        <v>385</v>
      </c>
      <c r="E448" s="368">
        <f t="shared" ref="E448" si="1000">NETWORKDAYS(G448,H448,S.DDL_DEQClosed)</f>
        <v>26</v>
      </c>
      <c r="F448" s="372">
        <f ca="1">NETWORKDAYS(TODAY(),H448)</f>
        <v>-10</v>
      </c>
      <c r="G448" s="369">
        <f>AAG448</f>
        <v>41435</v>
      </c>
      <c r="H448" s="369">
        <f>AAH448</f>
        <v>41471</v>
      </c>
      <c r="I448" s="626"/>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7"/>
      <c r="AAB448"/>
      <c r="AAC448"/>
      <c r="AAD448" s="112"/>
      <c r="AAE448" s="550">
        <f>IF(AND(S.InvolveFee=TRUE,S.DASApprovalRequired=TRUE),1,0)</f>
        <v>0</v>
      </c>
      <c r="AAF448" s="112" t="s">
        <v>0</v>
      </c>
      <c r="AAG448" s="78">
        <f>S.BANNER.FeeStart</f>
        <v>41435</v>
      </c>
      <c r="AAH448" s="78">
        <f>S.SubmitNoticeToSOS-30</f>
        <v>41471</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7"/>
      <c r="B449" s="524" t="str">
        <f>AAL449</f>
        <v>a. SIGNED.PART.1</v>
      </c>
      <c r="C449" s="713"/>
      <c r="D449" s="179" t="s">
        <v>0</v>
      </c>
      <c r="E449" s="400"/>
      <c r="F449" s="400"/>
      <c r="G449" s="356"/>
      <c r="H449" s="356"/>
      <c r="I449" s="587"/>
      <c r="J449" s="591"/>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7"/>
      <c r="ZZ449" s="36"/>
      <c r="AAA449" s="587"/>
      <c r="AAB449"/>
      <c r="AAC449"/>
      <c r="AAD449" s="112"/>
      <c r="AAE449" s="550">
        <f>IF(AND(S.InvolveFee=TRUE,S.DASApprovalRequired=TRUE),1,0)</f>
        <v>0</v>
      </c>
      <c r="AAF449" s="582" t="s">
        <v>172</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7"/>
      <c r="B450" s="524" t="str">
        <f>AAL450</f>
        <v>b. FEE.EXCERPT.FROM.RULE</v>
      </c>
      <c r="C450" s="713"/>
      <c r="D450" s="179"/>
      <c r="E450" s="400"/>
      <c r="F450" s="400"/>
      <c r="G450" s="356"/>
      <c r="H450" s="356"/>
      <c r="I450" s="587"/>
      <c r="J450" s="591"/>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7"/>
      <c r="ZZ450" s="36"/>
      <c r="AAA450" s="587"/>
      <c r="AAB450"/>
      <c r="AAC450"/>
      <c r="AAD450" s="112"/>
      <c r="AAE450" s="550">
        <f>IF(AND(S.InvolveFee=TRUE,S.DASApprovalRequired=TRUE),1,0)</f>
        <v>0</v>
      </c>
      <c r="AAF450" s="582" t="s">
        <v>172</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7"/>
      <c r="B451" s="466" t="s">
        <v>332</v>
      </c>
      <c r="C451" s="168"/>
      <c r="D451" s="174"/>
      <c r="E451" s="400"/>
      <c r="F451" s="400"/>
      <c r="G451" s="468"/>
      <c r="H451" s="468"/>
      <c r="I451" s="587"/>
      <c r="J451" s="591"/>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7"/>
      <c r="ZZ451" s="36"/>
      <c r="AAA451" s="587"/>
      <c r="AAD451" s="112"/>
      <c r="AAE451" s="550">
        <f>IF(AND(S.InvolveFee=TRUE,S.DASApprovalRequired=TRUE),1,0)</f>
        <v>0</v>
      </c>
      <c r="AAF451" s="582" t="s">
        <v>172</v>
      </c>
      <c r="AAG451" s="41"/>
      <c r="AAH451" s="41"/>
      <c r="AAI451" s="77"/>
      <c r="AAJ451" s="77"/>
      <c r="AAK451" s="77"/>
      <c r="AAL451" s="89" t="str">
        <f>S.CodeName&amp; "PROOF.OF.DAS.SUBMITTAL"</f>
        <v>PROOF.OF.DAS.SUBMITTAL</v>
      </c>
      <c r="AAM451" s="112"/>
      <c r="AAN451"/>
      <c r="AAT451" s="23"/>
      <c r="AAU451" s="44"/>
    </row>
    <row r="452" spans="1:732" ht="15.75" customHeight="1" outlineLevel="2">
      <c r="A452" s="557"/>
      <c r="B452" s="416" t="s">
        <v>333</v>
      </c>
      <c r="C452" s="168"/>
      <c r="D452" s="315" t="s">
        <v>358</v>
      </c>
      <c r="E452" s="368">
        <f t="shared" si="998"/>
        <v>1</v>
      </c>
      <c r="F452" s="372">
        <f t="shared" ca="1" si="999"/>
        <v>141</v>
      </c>
      <c r="G452" s="471">
        <f t="shared" ref="G452:H458" si="1001">AAG452</f>
        <v>41680</v>
      </c>
      <c r="H452" s="369">
        <f t="shared" si="1001"/>
        <v>41680</v>
      </c>
      <c r="I452" s="626"/>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7"/>
      <c r="AAD452" s="112"/>
      <c r="AAE452" s="550">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7"/>
      <c r="B453" s="416" t="s">
        <v>334</v>
      </c>
      <c r="C453" s="168"/>
      <c r="D453" s="277" t="s">
        <v>391</v>
      </c>
      <c r="E453" s="368">
        <f t="shared" si="998"/>
        <v>1</v>
      </c>
      <c r="F453" s="372">
        <f t="shared" ca="1" si="999"/>
        <v>141</v>
      </c>
      <c r="G453" s="471">
        <f t="shared" si="1001"/>
        <v>41680</v>
      </c>
      <c r="H453" s="369">
        <f t="shared" si="1001"/>
        <v>41680</v>
      </c>
      <c r="I453" s="626"/>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7"/>
      <c r="AAD453" s="112"/>
      <c r="AAE453" s="550">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7"/>
      <c r="B454" s="679" t="s">
        <v>335</v>
      </c>
      <c r="C454" s="168"/>
      <c r="D454" s="277" t="s">
        <v>391</v>
      </c>
      <c r="E454" s="368">
        <f t="shared" ref="E454" si="1004">NETWORKDAYS(G454,H454,S.DDL_DEQClosed)</f>
        <v>1</v>
      </c>
      <c r="F454" s="372">
        <f t="shared" ref="F454" ca="1" si="1005">NETWORKDAYS(TODAY(),H454)</f>
        <v>141</v>
      </c>
      <c r="G454" s="471">
        <f t="shared" ref="G454" si="1006">AAG454</f>
        <v>41680</v>
      </c>
      <c r="H454" s="369">
        <f t="shared" ref="H454" si="1007">AAH454</f>
        <v>41680</v>
      </c>
      <c r="I454" s="626"/>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7"/>
      <c r="AAB454"/>
      <c r="AAC454"/>
      <c r="AAD454" s="112"/>
      <c r="AAE454" s="551">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7"/>
      <c r="B455" s="416" t="s">
        <v>324</v>
      </c>
      <c r="C455" s="231" t="s">
        <v>70</v>
      </c>
      <c r="D455" s="277" t="s">
        <v>358</v>
      </c>
      <c r="E455" s="368">
        <f t="shared" si="998"/>
        <v>1</v>
      </c>
      <c r="F455" s="372">
        <f t="shared" ca="1" si="999"/>
        <v>141</v>
      </c>
      <c r="G455" s="471">
        <f t="shared" si="1001"/>
        <v>41680</v>
      </c>
      <c r="H455" s="369">
        <f t="shared" si="1001"/>
        <v>41680</v>
      </c>
      <c r="I455" s="626"/>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7"/>
      <c r="AAD455" s="112"/>
      <c r="AAE455" s="550">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7"/>
      <c r="B456" s="416" t="s">
        <v>325</v>
      </c>
      <c r="C456" s="168"/>
      <c r="D456" s="277" t="s">
        <v>358</v>
      </c>
      <c r="E456" s="368">
        <f t="shared" si="998"/>
        <v>1</v>
      </c>
      <c r="F456" s="372">
        <f t="shared" ca="1" si="999"/>
        <v>141</v>
      </c>
      <c r="G456" s="471">
        <f t="shared" si="1001"/>
        <v>41680</v>
      </c>
      <c r="H456" s="369">
        <f t="shared" si="1001"/>
        <v>41680</v>
      </c>
      <c r="I456" s="626"/>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7"/>
      <c r="AAD456" s="112"/>
      <c r="AAE456" s="550">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7"/>
      <c r="B457" s="416" t="s">
        <v>326</v>
      </c>
      <c r="C457" s="168"/>
      <c r="D457" s="277" t="s">
        <v>358</v>
      </c>
      <c r="E457" s="368">
        <f t="shared" si="998"/>
        <v>1</v>
      </c>
      <c r="F457" s="372">
        <f t="shared" ca="1" si="999"/>
        <v>141</v>
      </c>
      <c r="G457" s="471">
        <f t="shared" si="1001"/>
        <v>41680</v>
      </c>
      <c r="H457" s="369">
        <f t="shared" si="1001"/>
        <v>41680</v>
      </c>
      <c r="I457" s="626"/>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7"/>
      <c r="AAD457" s="112"/>
      <c r="AAE457" s="550">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7"/>
      <c r="B458" s="416" t="s">
        <v>327</v>
      </c>
      <c r="C458" s="168"/>
      <c r="D458" s="277" t="s">
        <v>358</v>
      </c>
      <c r="E458" s="368">
        <f t="shared" si="998"/>
        <v>1</v>
      </c>
      <c r="F458" s="372">
        <f t="shared" ca="1" si="999"/>
        <v>141</v>
      </c>
      <c r="G458" s="471">
        <f t="shared" si="1001"/>
        <v>41680</v>
      </c>
      <c r="H458" s="369">
        <f t="shared" si="1001"/>
        <v>41680</v>
      </c>
      <c r="I458" s="626"/>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7"/>
      <c r="AAD458" s="112"/>
      <c r="AAE458" s="550">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7"/>
      <c r="B459" s="461" t="s">
        <v>126</v>
      </c>
      <c r="C459" s="689"/>
      <c r="D459" s="145"/>
      <c r="E459" s="160"/>
      <c r="F459" s="160"/>
      <c r="G459" s="161"/>
      <c r="H459" s="161"/>
      <c r="I459" s="587"/>
      <c r="J459" s="596"/>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0"/>
      <c r="ZZ459" s="623"/>
      <c r="AAA459" s="587"/>
      <c r="AAD459" s="112"/>
      <c r="AAE459" s="550">
        <v>1</v>
      </c>
      <c r="AAF459" s="582" t="s">
        <v>172</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7"/>
      <c r="B460" s="473" t="s">
        <v>169</v>
      </c>
      <c r="C460" s="168"/>
      <c r="D460" s="277" t="s">
        <v>186</v>
      </c>
      <c r="E460" s="368">
        <f t="shared" ref="E460" si="1008">NETWORKDAYS(G460,H460,S.DDL_DEQClosed)</f>
        <v>1</v>
      </c>
      <c r="F460" s="372">
        <f t="shared" ref="F460" ca="1" si="1009">NETWORKDAYS(TODAY(),H460)</f>
        <v>100</v>
      </c>
      <c r="G460" s="448">
        <f>AAG460</f>
        <v>41621</v>
      </c>
      <c r="H460" s="370">
        <f>AAH460</f>
        <v>41621</v>
      </c>
      <c r="I460" s="626"/>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7"/>
      <c r="AAD460" s="112"/>
      <c r="AAE460" s="550">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7"/>
      <c r="B461" s="316" t="s">
        <v>171</v>
      </c>
      <c r="C461" s="316"/>
      <c r="D461" s="122"/>
      <c r="E461" s="368">
        <f t="shared" ref="E461" si="1010">NETWORKDAYS(G461,H461,S.DDL_DEQClosed)</f>
        <v>1</v>
      </c>
      <c r="F461" s="372">
        <f t="shared" ref="F461" ca="1" si="1011">NETWORKDAYS(TODAY(),H461)</f>
        <v>100</v>
      </c>
      <c r="G461" s="454">
        <f>AAG461</f>
        <v>41621</v>
      </c>
      <c r="H461" s="472">
        <f>AAH461</f>
        <v>41621</v>
      </c>
      <c r="I461" s="626"/>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7"/>
      <c r="AAB461"/>
      <c r="AAC461"/>
      <c r="AAD461" s="112"/>
      <c r="AAE461" s="550">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7"/>
      <c r="B462" s="466" t="s">
        <v>329</v>
      </c>
      <c r="C462" s="201"/>
      <c r="D462" s="174"/>
      <c r="E462" s="160"/>
      <c r="F462" s="160"/>
      <c r="G462" s="174"/>
      <c r="H462" s="174"/>
      <c r="I462" s="587"/>
      <c r="J462" s="591"/>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7"/>
      <c r="ZZ462" s="36"/>
      <c r="AAA462" s="587"/>
      <c r="AAD462" s="112"/>
      <c r="AAE462" s="550">
        <v>1</v>
      </c>
      <c r="AAF462" s="582" t="s">
        <v>172</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7"/>
      <c r="B463" s="466" t="s">
        <v>328</v>
      </c>
      <c r="C463" s="201"/>
      <c r="D463" s="174"/>
      <c r="E463" s="160"/>
      <c r="F463" s="160"/>
      <c r="G463" s="174"/>
      <c r="H463" s="174"/>
      <c r="I463" s="587"/>
      <c r="J463" s="591"/>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7"/>
      <c r="ZZ463" s="36"/>
      <c r="AAA463" s="587"/>
      <c r="AAD463" s="112"/>
      <c r="AAE463" s="550">
        <v>1</v>
      </c>
      <c r="AAF463" s="582" t="s">
        <v>172</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7"/>
      <c r="B464" s="533" t="str">
        <f>AAL464</f>
        <v>No DAS involvement</v>
      </c>
      <c r="C464" s="193"/>
      <c r="D464" s="277" t="s">
        <v>186</v>
      </c>
      <c r="E464" s="379">
        <f t="shared" ref="E464" si="1012">NETWORKDAYS(G464,H464,S.DDL_DEQClosed)</f>
        <v>103</v>
      </c>
      <c r="F464" s="380">
        <f ca="1">NETWORKDAYS(TODAY(),H464)</f>
        <v>70</v>
      </c>
      <c r="G464" s="382">
        <f>AAG464</f>
        <v>41435</v>
      </c>
      <c r="H464" s="382">
        <f>AAH464</f>
        <v>41579</v>
      </c>
      <c r="I464" s="626"/>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7"/>
      <c r="AAB464"/>
      <c r="AAC464"/>
      <c r="AAD464" s="112"/>
      <c r="AAE464" s="550">
        <f>IF(AND(S.InvolveFee=TRUE,S.DASApprovalRequired=FALSE),1,0)</f>
        <v>0</v>
      </c>
      <c r="AAF464" s="112"/>
      <c r="AAG464" s="78">
        <f>S.BANNER.FeeStart</f>
        <v>41435</v>
      </c>
      <c r="AAH464" s="78">
        <f>S.SubmitStaffRpt</f>
        <v>41579</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7"/>
      <c r="B465" s="467" t="str">
        <f>AAL465</f>
        <v>a. FEE.EXCERPT.FROM.RULE</v>
      </c>
      <c r="C465" s="168"/>
      <c r="D465" s="175"/>
      <c r="E465" s="176"/>
      <c r="F465" s="176"/>
      <c r="G465" s="161"/>
      <c r="H465" s="161"/>
      <c r="I465" s="587"/>
      <c r="J465" s="591"/>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7"/>
      <c r="ZZ465" s="36"/>
      <c r="AAA465" s="587"/>
      <c r="AAB465"/>
      <c r="AAC465"/>
      <c r="AAD465" s="112"/>
      <c r="AAE465" s="550">
        <f>IF(AND(S.InvolveFee=TRUE,S.DASApprovalRequired=FALSE),1,0)</f>
        <v>0</v>
      </c>
      <c r="AAF465" s="582" t="s">
        <v>172</v>
      </c>
      <c r="AAG465" s="76"/>
      <c r="AAH465" s="76"/>
      <c r="AAI465" s="77"/>
      <c r="AAJ465" s="77"/>
      <c r="AAK465" s="77"/>
      <c r="AAL465" s="89" t="str">
        <f>"a. "&amp;S.CodeName&amp;"FEE.EXCERPT.FROM.RULE"</f>
        <v>a. FEE.EXCERPT.FROM.RULE</v>
      </c>
      <c r="AAM465" s="112"/>
      <c r="AAU465" s="44"/>
    </row>
    <row r="466" spans="1:732" s="23" customFormat="1" ht="15" hidden="1" outlineLevel="2">
      <c r="A466" s="557"/>
      <c r="B466" s="467" t="str">
        <f>AAL466</f>
        <v>b. FEE.EXEMPT.EMAIL</v>
      </c>
      <c r="C466" s="168"/>
      <c r="D466" s="175"/>
      <c r="E466" s="176"/>
      <c r="F466" s="176"/>
      <c r="G466" s="161"/>
      <c r="H466" s="161"/>
      <c r="I466" s="587"/>
      <c r="J466" s="591"/>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7"/>
      <c r="ZZ466" s="36"/>
      <c r="AAA466" s="587"/>
      <c r="AAB466"/>
      <c r="AAC466"/>
      <c r="AAD466" s="112"/>
      <c r="AAE466" s="550">
        <f>IF(AND(S.InvolveFee=TRUE,S.DASApprovalRequired=FALSE),1,0)</f>
        <v>0</v>
      </c>
      <c r="AAF466" s="582" t="s">
        <v>172</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7"/>
      <c r="B467" s="467" t="str">
        <f>AAL467</f>
        <v>c. DAS.SHUTTLE.PROOF</v>
      </c>
      <c r="C467" s="168"/>
      <c r="D467" s="175"/>
      <c r="E467" s="176"/>
      <c r="F467" s="176"/>
      <c r="G467" s="161"/>
      <c r="H467" s="161"/>
      <c r="I467" s="587"/>
      <c r="J467" s="591"/>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7"/>
      <c r="ZZ467" s="36"/>
      <c r="AAA467" s="587"/>
      <c r="AAB467"/>
      <c r="AAC467"/>
      <c r="AAD467" s="112"/>
      <c r="AAE467" s="550">
        <f>IF(AND(S.InvolveFee=TRUE,S.DASApprovalRequired=FALSE),1,0)</f>
        <v>0</v>
      </c>
      <c r="AAF467" s="582" t="s">
        <v>172</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7"/>
      <c r="B468" s="461" t="s">
        <v>161</v>
      </c>
      <c r="C468" s="689"/>
      <c r="D468" s="145"/>
      <c r="E468" s="160"/>
      <c r="F468" s="160"/>
      <c r="G468" s="161"/>
      <c r="H468" s="161"/>
      <c r="I468" s="587"/>
      <c r="J468" s="596"/>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0"/>
      <c r="ZZ468" s="623"/>
      <c r="AAA468" s="587"/>
      <c r="AAD468" s="112"/>
      <c r="AAE468" s="550">
        <v>1</v>
      </c>
      <c r="AAF468" s="582" t="s">
        <v>172</v>
      </c>
      <c r="AAG468" s="63"/>
      <c r="AAH468" s="63"/>
      <c r="AAI468" s="63"/>
      <c r="AAJ468" s="59"/>
      <c r="AAK468" s="59"/>
      <c r="AAL468" s="54"/>
      <c r="AAM468" s="112"/>
      <c r="AAN468"/>
      <c r="AAT468" s="23"/>
      <c r="AAU468" s="44"/>
    </row>
    <row r="469" spans="1:732" ht="15.75" customHeight="1" outlineLevel="2">
      <c r="A469" s="557"/>
      <c r="B469" s="473" t="s">
        <v>127</v>
      </c>
      <c r="C469" s="168"/>
      <c r="D469" s="277" t="s">
        <v>377</v>
      </c>
      <c r="E469" s="368">
        <f t="shared" ref="E469" si="1013">NETWORKDAYS(G469,H469,S.DDL_DEQClosed)</f>
        <v>1</v>
      </c>
      <c r="F469" s="372">
        <f t="shared" ref="F469" ca="1" si="1014">NETWORKDAYS(TODAY(),H469)</f>
        <v>141</v>
      </c>
      <c r="G469" s="448">
        <f t="shared" ref="G469:H469" si="1015">AAG469</f>
        <v>41680</v>
      </c>
      <c r="H469" s="448">
        <f t="shared" si="1015"/>
        <v>41680</v>
      </c>
      <c r="I469" s="626"/>
      <c r="J469" s="591"/>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7"/>
      <c r="AAD469" s="112"/>
      <c r="AAE469" s="550">
        <v>1</v>
      </c>
      <c r="AAF469" s="112"/>
      <c r="AAG469" s="78">
        <f>S.BANNER.PostEQCStart</f>
        <v>41680</v>
      </c>
      <c r="AAH469" s="78">
        <f>S.BANNER.PostEQCEnd</f>
        <v>41680</v>
      </c>
      <c r="AAI469" s="77"/>
      <c r="AAJ469" s="60"/>
      <c r="AAK469" s="60"/>
      <c r="AAL469" s="42"/>
      <c r="AAM469" s="112"/>
      <c r="AAN469"/>
      <c r="AAT469" s="23"/>
      <c r="AAU469" s="44"/>
    </row>
    <row r="470" spans="1:732" ht="15">
      <c r="A470" s="557"/>
      <c r="B470" s="144"/>
      <c r="C470" s="689"/>
      <c r="D470" s="145"/>
      <c r="E470" s="146"/>
      <c r="F470" s="146"/>
      <c r="G470" s="145"/>
      <c r="H470" s="333" t="str">
        <f ca="1">CELL("address")</f>
        <v>$E$305</v>
      </c>
      <c r="I470" s="587"/>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7"/>
      <c r="AAD470" s="112"/>
      <c r="AAE470" s="548" t="s">
        <v>0</v>
      </c>
      <c r="AAF470" s="582" t="s">
        <v>172</v>
      </c>
      <c r="AAG470" s="63"/>
      <c r="AAH470" s="63"/>
      <c r="AAI470" s="63"/>
      <c r="AAJ470" s="60"/>
      <c r="AAK470" s="60"/>
      <c r="AAL470" s="42"/>
      <c r="AAM470" s="112"/>
      <c r="AAN470"/>
      <c r="AAT470" s="23"/>
      <c r="AAU470" s="44"/>
    </row>
    <row r="471" spans="1:732" ht="9" customHeight="1">
      <c r="A471" s="557"/>
      <c r="B471" s="614"/>
      <c r="C471" s="728"/>
      <c r="D471" s="647"/>
      <c r="E471" s="648"/>
      <c r="F471" s="648"/>
      <c r="G471" s="647"/>
      <c r="H471" s="647"/>
      <c r="I471" s="613"/>
      <c r="J471" s="614"/>
      <c r="K471" s="614"/>
      <c r="L471" s="614"/>
      <c r="M471" s="614"/>
      <c r="N471" s="614"/>
      <c r="O471" s="614"/>
      <c r="P471" s="614"/>
      <c r="Q471" s="614"/>
      <c r="R471" s="614"/>
      <c r="S471" s="614"/>
      <c r="T471" s="614"/>
      <c r="U471" s="614"/>
      <c r="V471" s="614"/>
      <c r="W471" s="614"/>
      <c r="X471" s="614"/>
      <c r="Y471" s="614"/>
      <c r="Z471" s="614"/>
      <c r="AA471" s="614"/>
      <c r="AB471" s="614"/>
      <c r="AC471" s="614"/>
      <c r="AD471" s="614"/>
      <c r="AE471" s="614"/>
      <c r="AF471" s="614"/>
      <c r="AG471" s="614"/>
      <c r="AH471" s="614"/>
      <c r="AI471" s="614"/>
      <c r="AJ471" s="614"/>
      <c r="AK471" s="614"/>
      <c r="AL471" s="614"/>
      <c r="AM471" s="614"/>
      <c r="AN471" s="614"/>
      <c r="AO471" s="614"/>
      <c r="AP471" s="614"/>
      <c r="AQ471" s="614"/>
      <c r="AR471" s="614"/>
      <c r="AS471" s="614"/>
      <c r="AT471" s="614"/>
      <c r="AU471" s="614"/>
      <c r="AV471" s="614"/>
      <c r="AW471" s="614"/>
      <c r="AX471" s="614"/>
      <c r="AY471" s="614"/>
      <c r="AZ471" s="614"/>
      <c r="BA471" s="614"/>
      <c r="BB471" s="614"/>
      <c r="BC471" s="614"/>
      <c r="BD471" s="614"/>
      <c r="BE471" s="614"/>
      <c r="BF471" s="614"/>
      <c r="BG471" s="614"/>
      <c r="BH471" s="614"/>
      <c r="BI471" s="614"/>
      <c r="BJ471" s="614"/>
      <c r="BK471" s="614"/>
      <c r="BL471" s="614"/>
      <c r="BM471" s="614"/>
      <c r="BN471" s="614"/>
      <c r="BO471" s="614"/>
      <c r="BP471" s="614"/>
      <c r="BQ471" s="614"/>
      <c r="BR471" s="614"/>
      <c r="BS471" s="614"/>
      <c r="BT471" s="614"/>
      <c r="BU471" s="614"/>
      <c r="BV471" s="614"/>
      <c r="BW471" s="614"/>
      <c r="BX471" s="614"/>
      <c r="BY471" s="614"/>
      <c r="BZ471" s="614"/>
      <c r="CA471" s="614"/>
      <c r="CB471" s="614"/>
      <c r="CC471" s="614"/>
      <c r="CD471" s="614"/>
      <c r="CE471" s="614"/>
      <c r="CF471" s="614"/>
      <c r="CG471" s="614"/>
      <c r="CH471" s="614"/>
      <c r="CI471" s="614"/>
      <c r="CJ471" s="614"/>
      <c r="CK471" s="614"/>
      <c r="CL471" s="614"/>
      <c r="CM471" s="614"/>
      <c r="CN471" s="614"/>
      <c r="CO471" s="614"/>
      <c r="CP471" s="614"/>
      <c r="CQ471" s="614"/>
      <c r="CR471" s="614"/>
      <c r="CS471" s="614"/>
      <c r="CT471" s="614"/>
      <c r="CU471" s="614"/>
      <c r="CV471" s="614"/>
      <c r="CW471" s="614"/>
      <c r="CX471" s="614"/>
      <c r="CY471" s="614"/>
      <c r="CZ471" s="614"/>
      <c r="DA471" s="614"/>
      <c r="DB471" s="614"/>
      <c r="DC471" s="614"/>
      <c r="DD471" s="614"/>
      <c r="DE471" s="614"/>
      <c r="DF471" s="614"/>
      <c r="DG471" s="614"/>
      <c r="DH471" s="614"/>
      <c r="DI471" s="614"/>
      <c r="DJ471" s="614"/>
      <c r="DK471" s="614"/>
      <c r="DL471" s="614"/>
      <c r="DM471" s="614"/>
      <c r="DN471" s="614"/>
      <c r="DO471" s="614"/>
      <c r="DP471" s="614"/>
      <c r="DQ471" s="614"/>
      <c r="DR471" s="614"/>
      <c r="DS471" s="614"/>
      <c r="DT471" s="614"/>
      <c r="DU471" s="614"/>
      <c r="DV471" s="614"/>
      <c r="DW471" s="614"/>
      <c r="DX471" s="614"/>
      <c r="DY471" s="614"/>
      <c r="DZ471" s="614"/>
      <c r="EA471" s="614"/>
      <c r="EB471" s="614"/>
      <c r="EC471" s="614"/>
      <c r="ED471" s="614"/>
      <c r="EE471" s="614"/>
      <c r="EF471" s="614"/>
      <c r="EG471" s="614"/>
      <c r="EH471" s="614"/>
      <c r="EI471" s="614"/>
      <c r="EJ471" s="614"/>
      <c r="EK471" s="614"/>
      <c r="EL471" s="614"/>
      <c r="EM471" s="614"/>
      <c r="EN471" s="614"/>
      <c r="EO471" s="614"/>
      <c r="EP471" s="614"/>
      <c r="EQ471" s="614"/>
      <c r="ER471" s="614"/>
      <c r="ES471" s="614"/>
      <c r="ET471" s="614"/>
      <c r="EU471" s="614"/>
      <c r="EV471" s="614"/>
      <c r="EW471" s="614"/>
      <c r="EX471" s="614"/>
      <c r="EY471" s="614"/>
      <c r="EZ471" s="614"/>
      <c r="FA471" s="614"/>
      <c r="FB471" s="614"/>
      <c r="FC471" s="614"/>
      <c r="FD471" s="614"/>
      <c r="FE471" s="614"/>
      <c r="FF471" s="614"/>
      <c r="FG471" s="614"/>
      <c r="FH471" s="614"/>
      <c r="FI471" s="614"/>
      <c r="FJ471" s="614"/>
      <c r="FK471" s="614"/>
      <c r="FL471" s="614"/>
      <c r="FM471" s="614"/>
      <c r="FN471" s="614"/>
      <c r="FO471" s="614"/>
      <c r="FP471" s="614"/>
      <c r="FQ471" s="614"/>
      <c r="FR471" s="614"/>
      <c r="FS471" s="614"/>
      <c r="FT471" s="614"/>
      <c r="FU471" s="614"/>
      <c r="FV471" s="614"/>
      <c r="FW471" s="614"/>
      <c r="FX471" s="614"/>
      <c r="FY471" s="614"/>
      <c r="FZ471" s="614"/>
      <c r="GA471" s="614"/>
      <c r="GB471" s="614"/>
      <c r="GC471" s="614"/>
      <c r="GD471" s="614"/>
      <c r="GE471" s="614"/>
      <c r="GF471" s="614"/>
      <c r="GG471" s="614"/>
      <c r="GH471" s="614"/>
      <c r="GI471" s="614"/>
      <c r="GJ471" s="614"/>
      <c r="GK471" s="614"/>
      <c r="GL471" s="614"/>
      <c r="GM471" s="614"/>
      <c r="GN471" s="614"/>
      <c r="GO471" s="614"/>
      <c r="GP471" s="614"/>
      <c r="GQ471" s="614"/>
      <c r="GR471" s="614"/>
      <c r="GS471" s="614"/>
      <c r="GT471" s="614"/>
      <c r="GU471" s="614"/>
      <c r="GV471" s="614"/>
      <c r="GW471" s="614"/>
      <c r="GX471" s="614"/>
      <c r="GY471" s="614"/>
      <c r="GZ471" s="614"/>
      <c r="HA471" s="614"/>
      <c r="HB471" s="614"/>
      <c r="HC471" s="614"/>
      <c r="HD471" s="614"/>
      <c r="HE471" s="614"/>
      <c r="HF471" s="614"/>
      <c r="HG471" s="614"/>
      <c r="HH471" s="614"/>
      <c r="HI471" s="614"/>
      <c r="HJ471" s="614"/>
      <c r="HK471" s="614"/>
      <c r="HL471" s="614"/>
      <c r="HM471" s="614"/>
      <c r="HN471" s="614"/>
      <c r="HO471" s="614"/>
      <c r="HP471" s="614"/>
      <c r="HQ471" s="614"/>
      <c r="HR471" s="614"/>
      <c r="HS471" s="614"/>
      <c r="HT471" s="614"/>
      <c r="HU471" s="614"/>
      <c r="HV471" s="614"/>
      <c r="HW471" s="614"/>
      <c r="HX471" s="614"/>
      <c r="HY471" s="614"/>
      <c r="HZ471" s="614"/>
      <c r="IA471" s="614"/>
      <c r="IB471" s="614"/>
      <c r="IC471" s="614"/>
      <c r="ID471" s="614"/>
      <c r="IE471" s="614"/>
      <c r="IF471" s="614"/>
      <c r="IG471" s="614"/>
      <c r="IH471" s="614"/>
      <c r="II471" s="614"/>
      <c r="IJ471" s="614"/>
      <c r="IK471" s="614"/>
      <c r="IL471" s="614"/>
      <c r="IM471" s="614"/>
      <c r="IN471" s="614"/>
      <c r="IO471" s="614"/>
      <c r="IP471" s="614"/>
      <c r="IQ471" s="614"/>
      <c r="IR471" s="614"/>
      <c r="IS471" s="614"/>
      <c r="IT471" s="614"/>
      <c r="IU471" s="614"/>
      <c r="IV471" s="614"/>
      <c r="IW471" s="614"/>
      <c r="IX471" s="614"/>
      <c r="IY471" s="614"/>
      <c r="IZ471" s="614"/>
      <c r="JA471" s="614"/>
      <c r="JB471" s="614"/>
      <c r="JC471" s="614"/>
      <c r="JD471" s="614"/>
      <c r="JE471" s="614"/>
      <c r="JF471" s="614"/>
      <c r="JG471" s="614"/>
      <c r="JH471" s="614"/>
      <c r="JI471" s="614"/>
      <c r="JJ471" s="614"/>
      <c r="JK471" s="614"/>
      <c r="JL471" s="614"/>
      <c r="JM471" s="614"/>
      <c r="JN471" s="614"/>
      <c r="JO471" s="614"/>
      <c r="JP471" s="614"/>
      <c r="JQ471" s="614"/>
      <c r="JR471" s="614"/>
      <c r="JS471" s="614"/>
      <c r="JT471" s="614"/>
      <c r="JU471" s="614"/>
      <c r="JV471" s="614"/>
      <c r="JW471" s="614"/>
      <c r="JX471" s="614"/>
      <c r="JY471" s="614"/>
      <c r="JZ471" s="614"/>
      <c r="KA471" s="614"/>
      <c r="KB471" s="614"/>
      <c r="KC471" s="614"/>
      <c r="KD471" s="614"/>
      <c r="KE471" s="614"/>
      <c r="KF471" s="614"/>
      <c r="KG471" s="614"/>
      <c r="KH471" s="614"/>
      <c r="KI471" s="614"/>
      <c r="KJ471" s="614"/>
      <c r="KK471" s="614"/>
      <c r="KL471" s="614"/>
      <c r="KM471" s="614"/>
      <c r="KN471" s="614"/>
      <c r="KO471" s="614"/>
      <c r="KP471" s="614"/>
      <c r="KQ471" s="614"/>
      <c r="KR471" s="614"/>
      <c r="KS471" s="614"/>
      <c r="KT471" s="614"/>
      <c r="KU471" s="614"/>
      <c r="KV471" s="614"/>
      <c r="KW471" s="614"/>
      <c r="KX471" s="614"/>
      <c r="KY471" s="614"/>
      <c r="KZ471" s="614"/>
      <c r="LA471" s="614"/>
      <c r="LB471" s="614"/>
      <c r="LC471" s="614"/>
      <c r="LD471" s="614"/>
      <c r="LE471" s="614"/>
      <c r="LF471" s="614"/>
      <c r="LG471" s="614"/>
      <c r="LH471" s="614"/>
      <c r="LI471" s="614"/>
      <c r="LJ471" s="614"/>
      <c r="LK471" s="614"/>
      <c r="LL471" s="614"/>
      <c r="LM471" s="614"/>
      <c r="LN471" s="614"/>
      <c r="LO471" s="614"/>
      <c r="LP471" s="614"/>
      <c r="LQ471" s="614"/>
      <c r="LR471" s="614"/>
      <c r="LS471" s="614"/>
      <c r="LT471" s="614"/>
      <c r="LU471" s="614"/>
      <c r="LV471" s="614"/>
      <c r="LW471" s="614"/>
      <c r="LX471" s="614"/>
      <c r="LY471" s="614"/>
      <c r="LZ471" s="614"/>
      <c r="MA471" s="614"/>
      <c r="MB471" s="614"/>
      <c r="MC471" s="614"/>
      <c r="MD471" s="614"/>
      <c r="ME471" s="614"/>
      <c r="MF471" s="614"/>
      <c r="MG471" s="614"/>
      <c r="MH471" s="614"/>
      <c r="MI471" s="614"/>
      <c r="MJ471" s="614"/>
      <c r="MK471" s="614"/>
      <c r="ML471" s="614"/>
      <c r="MM471" s="614"/>
      <c r="MN471" s="614"/>
      <c r="MO471" s="614"/>
      <c r="MP471" s="614"/>
      <c r="MQ471" s="614"/>
      <c r="MR471" s="614"/>
      <c r="MS471" s="614"/>
      <c r="MT471" s="614"/>
      <c r="MU471" s="614"/>
      <c r="MV471" s="614"/>
      <c r="MW471" s="614"/>
      <c r="MX471" s="614"/>
      <c r="MY471" s="614"/>
      <c r="MZ471" s="614"/>
      <c r="NA471" s="614"/>
      <c r="NB471" s="614"/>
      <c r="NC471" s="614"/>
      <c r="ND471" s="614"/>
      <c r="NE471" s="614"/>
      <c r="NF471" s="614"/>
      <c r="NG471" s="614"/>
      <c r="NH471" s="614"/>
      <c r="NI471" s="614"/>
      <c r="NJ471" s="614"/>
      <c r="NK471" s="614"/>
      <c r="NL471" s="614"/>
      <c r="NM471" s="614"/>
      <c r="NN471" s="614"/>
      <c r="NO471" s="614"/>
      <c r="NP471" s="614"/>
      <c r="NQ471" s="614"/>
      <c r="NR471" s="614"/>
      <c r="NS471" s="614"/>
      <c r="NT471" s="614"/>
      <c r="NU471" s="614"/>
      <c r="NV471" s="614"/>
      <c r="NW471" s="614"/>
      <c r="NX471" s="614"/>
      <c r="NY471" s="614"/>
      <c r="NZ471" s="614"/>
      <c r="OA471" s="614"/>
      <c r="OB471" s="614"/>
      <c r="OC471" s="614"/>
      <c r="OD471" s="614"/>
      <c r="OE471" s="614"/>
      <c r="OF471" s="614"/>
      <c r="OG471" s="614"/>
      <c r="OH471" s="614"/>
      <c r="OI471" s="614"/>
      <c r="OJ471" s="614"/>
      <c r="OK471" s="614"/>
      <c r="OL471" s="614"/>
      <c r="OM471" s="614"/>
      <c r="ON471" s="614"/>
      <c r="OO471" s="614"/>
      <c r="OP471" s="614"/>
      <c r="OQ471" s="614"/>
      <c r="OR471" s="614"/>
      <c r="OS471" s="614"/>
      <c r="OT471" s="614"/>
      <c r="OU471" s="614"/>
      <c r="OV471" s="614"/>
      <c r="OW471" s="614"/>
      <c r="OX471" s="614"/>
      <c r="OY471" s="614"/>
      <c r="OZ471" s="614"/>
      <c r="PA471" s="614"/>
      <c r="PB471" s="614"/>
      <c r="PC471" s="614"/>
      <c r="PD471" s="614"/>
      <c r="PE471" s="614"/>
      <c r="PF471" s="614"/>
      <c r="PG471" s="614"/>
      <c r="PH471" s="614"/>
      <c r="PI471" s="614"/>
      <c r="PJ471" s="614"/>
      <c r="PK471" s="614"/>
      <c r="PL471" s="614"/>
      <c r="PM471" s="614"/>
      <c r="PN471" s="614"/>
      <c r="PO471" s="614"/>
      <c r="PP471" s="614"/>
      <c r="PQ471" s="614"/>
      <c r="PR471" s="614"/>
      <c r="PS471" s="614"/>
      <c r="PT471" s="614"/>
      <c r="PU471" s="614"/>
      <c r="PV471" s="614"/>
      <c r="PW471" s="614"/>
      <c r="PX471" s="614"/>
      <c r="PY471" s="614"/>
      <c r="PZ471" s="614"/>
      <c r="QA471" s="614"/>
      <c r="QB471" s="614"/>
      <c r="QC471" s="614"/>
      <c r="QD471" s="614"/>
      <c r="QE471" s="614"/>
      <c r="QF471" s="614"/>
      <c r="QG471" s="614"/>
      <c r="QH471" s="614"/>
      <c r="QI471" s="614"/>
      <c r="QJ471" s="614"/>
      <c r="QK471" s="614"/>
      <c r="QL471" s="614"/>
      <c r="QM471" s="614"/>
      <c r="QN471" s="614"/>
      <c r="QO471" s="614"/>
      <c r="QP471" s="614"/>
      <c r="QQ471" s="614"/>
      <c r="QR471" s="614"/>
      <c r="QS471" s="614"/>
      <c r="QT471" s="614"/>
      <c r="QU471" s="614"/>
      <c r="QV471" s="614"/>
      <c r="QW471" s="614"/>
      <c r="QX471" s="614"/>
      <c r="QY471" s="614"/>
      <c r="QZ471" s="614"/>
      <c r="RA471" s="614"/>
      <c r="RB471" s="614"/>
      <c r="RC471" s="614"/>
      <c r="RD471" s="614"/>
      <c r="RE471" s="614"/>
      <c r="RF471" s="614"/>
      <c r="RG471" s="614"/>
      <c r="RH471" s="614"/>
      <c r="RI471" s="614"/>
      <c r="RJ471" s="614"/>
      <c r="RK471" s="614"/>
      <c r="RL471" s="614"/>
      <c r="RM471" s="614"/>
      <c r="RN471" s="614"/>
      <c r="RO471" s="614"/>
      <c r="RP471" s="614"/>
      <c r="RQ471" s="614"/>
      <c r="RR471" s="614"/>
      <c r="RS471" s="614"/>
      <c r="RT471" s="614"/>
      <c r="RU471" s="614"/>
      <c r="RV471" s="614"/>
      <c r="RW471" s="614"/>
      <c r="RX471" s="614"/>
      <c r="RY471" s="614"/>
      <c r="RZ471" s="614"/>
      <c r="SA471" s="614"/>
      <c r="SB471" s="614"/>
      <c r="SC471" s="614"/>
      <c r="SD471" s="614"/>
      <c r="SE471" s="614"/>
      <c r="SF471" s="614"/>
      <c r="SG471" s="614"/>
      <c r="SH471" s="614"/>
      <c r="SI471" s="614"/>
      <c r="SJ471" s="614"/>
      <c r="SK471" s="614"/>
      <c r="SL471" s="614"/>
      <c r="SM471" s="614"/>
      <c r="SN471" s="614"/>
      <c r="SO471" s="614"/>
      <c r="SP471" s="614"/>
      <c r="SQ471" s="614"/>
      <c r="SR471" s="614"/>
      <c r="SS471" s="614"/>
      <c r="ST471" s="614"/>
      <c r="SU471" s="614"/>
      <c r="SV471" s="614"/>
      <c r="SW471" s="614"/>
      <c r="SX471" s="614"/>
      <c r="SY471" s="614"/>
      <c r="SZ471" s="614"/>
      <c r="TA471" s="614"/>
      <c r="TB471" s="614"/>
      <c r="TC471" s="614"/>
      <c r="TD471" s="614"/>
      <c r="TE471" s="614"/>
      <c r="TF471" s="614"/>
      <c r="TG471" s="614"/>
      <c r="TH471" s="614"/>
      <c r="TI471" s="614"/>
      <c r="TJ471" s="614"/>
      <c r="TK471" s="614"/>
      <c r="TL471" s="614"/>
      <c r="TM471" s="614"/>
      <c r="TN471" s="614"/>
      <c r="TO471" s="614"/>
      <c r="TP471" s="614"/>
      <c r="TQ471" s="614"/>
      <c r="TR471" s="614"/>
      <c r="TS471" s="614"/>
      <c r="TT471" s="614"/>
      <c r="TU471" s="614"/>
      <c r="TV471" s="614"/>
      <c r="TW471" s="614"/>
      <c r="TX471" s="614"/>
      <c r="TY471" s="614"/>
      <c r="TZ471" s="614"/>
      <c r="UA471" s="614"/>
      <c r="UB471" s="614"/>
      <c r="UC471" s="614"/>
      <c r="UD471" s="614"/>
      <c r="UE471" s="614"/>
      <c r="UF471" s="614"/>
      <c r="UG471" s="614"/>
      <c r="UH471" s="614"/>
      <c r="UI471" s="614"/>
      <c r="UJ471" s="614"/>
      <c r="UK471" s="614"/>
      <c r="UL471" s="614"/>
      <c r="UM471" s="614"/>
      <c r="UN471" s="614"/>
      <c r="UO471" s="614"/>
      <c r="UP471" s="614"/>
      <c r="UQ471" s="614"/>
      <c r="UR471" s="614"/>
      <c r="US471" s="614"/>
      <c r="UT471" s="614"/>
      <c r="UU471" s="614"/>
      <c r="UV471" s="614"/>
      <c r="UW471" s="614"/>
      <c r="UX471" s="614"/>
      <c r="UY471" s="614"/>
      <c r="UZ471" s="614"/>
      <c r="VA471" s="614"/>
      <c r="VB471" s="614"/>
      <c r="VC471" s="614"/>
      <c r="VD471" s="614"/>
      <c r="VE471" s="614"/>
      <c r="VF471" s="614"/>
      <c r="VG471" s="614"/>
      <c r="VH471" s="614"/>
      <c r="VI471" s="614"/>
      <c r="VJ471" s="614"/>
      <c r="VK471" s="614"/>
      <c r="VL471" s="614"/>
      <c r="VM471" s="614"/>
      <c r="VN471" s="614"/>
      <c r="VO471" s="614"/>
      <c r="VP471" s="614"/>
      <c r="VQ471" s="614"/>
      <c r="VR471" s="614"/>
      <c r="VS471" s="614"/>
      <c r="VT471" s="614"/>
      <c r="VU471" s="614"/>
      <c r="VV471" s="614"/>
      <c r="VW471" s="614"/>
      <c r="VX471" s="614"/>
      <c r="VY471" s="614"/>
      <c r="VZ471" s="614"/>
      <c r="WA471" s="614"/>
      <c r="WB471" s="614"/>
      <c r="WC471" s="614"/>
      <c r="WD471" s="614"/>
      <c r="WE471" s="614"/>
      <c r="WF471" s="614"/>
      <c r="WG471" s="614"/>
      <c r="WH471" s="614"/>
      <c r="WI471" s="614"/>
      <c r="WJ471" s="614"/>
      <c r="WK471" s="614"/>
      <c r="WL471" s="614"/>
      <c r="WM471" s="614"/>
      <c r="WN471" s="614"/>
      <c r="WO471" s="614"/>
      <c r="WP471" s="614"/>
      <c r="WQ471" s="614"/>
      <c r="WR471" s="614"/>
      <c r="WS471" s="614"/>
      <c r="WT471" s="614"/>
      <c r="WU471" s="614"/>
      <c r="WV471" s="614"/>
      <c r="WW471" s="614"/>
      <c r="WX471" s="614"/>
      <c r="WY471" s="614"/>
      <c r="WZ471" s="614"/>
      <c r="XA471" s="614"/>
      <c r="XB471" s="614"/>
      <c r="XC471" s="614"/>
      <c r="XD471" s="614"/>
      <c r="XE471" s="614"/>
      <c r="XF471" s="614"/>
      <c r="XG471" s="614"/>
      <c r="XH471" s="614"/>
      <c r="XI471" s="614"/>
      <c r="XJ471" s="614"/>
      <c r="XK471" s="614"/>
      <c r="XL471" s="614"/>
      <c r="XM471" s="614"/>
      <c r="XN471" s="614"/>
      <c r="XO471" s="614"/>
      <c r="XP471" s="614"/>
      <c r="XQ471" s="614"/>
      <c r="XR471" s="614"/>
      <c r="XS471" s="614"/>
      <c r="XT471" s="614"/>
      <c r="XU471" s="614"/>
      <c r="XV471" s="614"/>
      <c r="XW471" s="614"/>
      <c r="XX471" s="614"/>
      <c r="XY471" s="614"/>
      <c r="XZ471" s="614"/>
      <c r="YA471" s="614"/>
      <c r="YB471" s="614"/>
      <c r="YC471" s="614"/>
      <c r="YD471" s="614"/>
      <c r="YE471" s="614"/>
      <c r="YF471" s="614"/>
      <c r="YG471" s="614"/>
      <c r="YH471" s="614"/>
      <c r="YI471" s="614"/>
      <c r="YJ471" s="614"/>
      <c r="YK471" s="614"/>
      <c r="YL471" s="614"/>
      <c r="YM471" s="614"/>
      <c r="YN471" s="614"/>
      <c r="YO471" s="614"/>
      <c r="YP471" s="614"/>
      <c r="YQ471" s="614"/>
      <c r="YR471" s="614"/>
      <c r="YS471" s="614"/>
      <c r="YT471" s="614"/>
      <c r="YU471" s="614"/>
      <c r="YV471" s="614"/>
      <c r="YW471" s="614"/>
      <c r="YX471" s="614"/>
      <c r="YY471" s="614"/>
      <c r="YZ471" s="614"/>
      <c r="ZA471" s="614"/>
      <c r="ZB471" s="614"/>
      <c r="ZC471" s="614"/>
      <c r="ZD471" s="614"/>
      <c r="ZE471" s="614"/>
      <c r="ZF471" s="614"/>
      <c r="ZG471" s="614"/>
      <c r="ZH471" s="614"/>
      <c r="ZI471" s="614"/>
      <c r="ZJ471" s="614"/>
      <c r="ZK471" s="614"/>
      <c r="ZL471" s="614"/>
      <c r="ZM471" s="614"/>
      <c r="ZN471" s="614"/>
      <c r="ZO471" s="614"/>
      <c r="ZP471" s="614"/>
      <c r="ZQ471" s="614"/>
      <c r="ZR471" s="614"/>
      <c r="ZS471" s="614"/>
      <c r="ZT471" s="614"/>
      <c r="ZU471" s="614"/>
      <c r="ZV471" s="614"/>
      <c r="ZW471" s="614"/>
      <c r="ZX471" s="614"/>
      <c r="ZY471" s="614"/>
      <c r="ZZ471" s="624"/>
      <c r="AAA471" s="613"/>
      <c r="AAB471" s="614"/>
      <c r="AAC471" s="614"/>
      <c r="AAD471" s="611"/>
      <c r="AAE471" s="612" t="s">
        <v>243</v>
      </c>
      <c r="AAF471" s="612"/>
      <c r="AAG471" s="611"/>
      <c r="AAH471" s="611"/>
      <c r="AAI471" s="611"/>
      <c r="AAJ471" s="611"/>
      <c r="AAK471" s="611"/>
      <c r="AAL471" s="611"/>
      <c r="AAM471" s="611"/>
      <c r="AAN471"/>
      <c r="AAT471" s="23"/>
      <c r="AAU471" s="44"/>
    </row>
  </sheetData>
  <sheetProtection formatRows="0" insertHyperlinks="0"/>
  <mergeCells count="139">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B288:C28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B469 D4:ZZ469 C4:C287 C289:C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65" yWindow="737"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105:C108 C287"/>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6"/>
      <c r="C1" s="105"/>
      <c r="D1" s="38" t="s">
        <v>141</v>
      </c>
      <c r="E1" s="38" t="s">
        <v>144</v>
      </c>
      <c r="F1" s="38" t="s">
        <v>130</v>
      </c>
      <c r="G1" s="330" t="s">
        <v>254</v>
      </c>
    </row>
    <row r="2" spans="1:7" s="23" customFormat="1" ht="25.5" customHeight="1">
      <c r="A2" s="105"/>
      <c r="B2" s="783" t="s">
        <v>142</v>
      </c>
      <c r="C2" s="783"/>
      <c r="D2" s="105"/>
      <c r="E2" s="105"/>
      <c r="F2" s="105"/>
      <c r="G2" s="105"/>
    </row>
    <row r="3" spans="1:7" s="23" customFormat="1">
      <c r="A3" s="105"/>
      <c r="B3" s="556" t="s">
        <v>27</v>
      </c>
      <c r="C3" s="105" t="s">
        <v>146</v>
      </c>
      <c r="D3" s="558" t="s">
        <v>81</v>
      </c>
      <c r="E3" s="559" t="s">
        <v>303</v>
      </c>
      <c r="F3" s="559" t="s">
        <v>301</v>
      </c>
      <c r="G3" s="105"/>
    </row>
    <row r="4" spans="1:7" s="23" customFormat="1">
      <c r="A4" s="105"/>
      <c r="B4" s="556" t="s">
        <v>20</v>
      </c>
      <c r="C4" s="105" t="s">
        <v>288</v>
      </c>
      <c r="D4" s="560" t="s">
        <v>131</v>
      </c>
      <c r="E4" s="559" t="s">
        <v>302</v>
      </c>
      <c r="F4" s="666" t="s">
        <v>145</v>
      </c>
      <c r="G4" s="105"/>
    </row>
    <row r="5" spans="1:7" s="23" customFormat="1">
      <c r="A5" s="105"/>
      <c r="B5" s="556" t="s">
        <v>26</v>
      </c>
      <c r="C5" s="105"/>
      <c r="D5" s="555" t="s">
        <v>287</v>
      </c>
      <c r="E5" s="559" t="s">
        <v>304</v>
      </c>
      <c r="F5" s="666" t="s">
        <v>145</v>
      </c>
      <c r="G5" s="105"/>
    </row>
    <row r="6" spans="1:7" s="23" customFormat="1">
      <c r="A6" s="105"/>
      <c r="B6" s="556" t="s">
        <v>285</v>
      </c>
      <c r="C6" s="105" t="s">
        <v>286</v>
      </c>
      <c r="D6" s="555" t="s">
        <v>287</v>
      </c>
      <c r="E6" s="562" t="s">
        <v>305</v>
      </c>
      <c r="F6" s="666" t="s">
        <v>145</v>
      </c>
      <c r="G6" s="105"/>
    </row>
    <row r="7" spans="1:7" s="23" customFormat="1">
      <c r="A7" s="105"/>
      <c r="B7" s="556"/>
      <c r="C7" s="105"/>
      <c r="D7" s="553"/>
      <c r="E7" s="562"/>
      <c r="F7" s="561"/>
      <c r="G7" s="105"/>
    </row>
    <row r="8" spans="1:7" s="23" customFormat="1">
      <c r="A8" s="105"/>
      <c r="B8" s="556"/>
      <c r="C8" s="105"/>
      <c r="D8" s="553"/>
      <c r="E8" s="562"/>
      <c r="F8" s="561"/>
      <c r="G8" s="105"/>
    </row>
    <row r="9" spans="1:7" ht="18">
      <c r="A9" s="105"/>
      <c r="B9" s="783" t="s">
        <v>143</v>
      </c>
      <c r="C9" s="783"/>
      <c r="D9" s="566" t="s">
        <v>147</v>
      </c>
      <c r="E9" s="567" t="s">
        <v>148</v>
      </c>
      <c r="F9" s="105"/>
      <c r="G9" s="105"/>
    </row>
    <row r="10" spans="1:7">
      <c r="A10" s="105"/>
      <c r="B10" s="556"/>
      <c r="C10" s="557"/>
      <c r="D10" s="568" t="s">
        <v>135</v>
      </c>
      <c r="E10" s="559" t="s">
        <v>291</v>
      </c>
      <c r="F10" s="105" t="s">
        <v>292</v>
      </c>
      <c r="G10" s="105"/>
    </row>
    <row r="11" spans="1:7">
      <c r="A11" s="105"/>
      <c r="B11" s="556"/>
      <c r="C11" s="557"/>
      <c r="D11" s="568" t="s">
        <v>135</v>
      </c>
      <c r="E11" s="559" t="s">
        <v>294</v>
      </c>
      <c r="F11" s="105" t="s">
        <v>293</v>
      </c>
      <c r="G11" s="105"/>
    </row>
    <row r="12" spans="1:7" s="23" customFormat="1">
      <c r="A12" s="105"/>
      <c r="B12" s="556"/>
      <c r="C12" s="105"/>
      <c r="D12" s="565" t="s">
        <v>117</v>
      </c>
      <c r="E12" s="559" t="s">
        <v>136</v>
      </c>
      <c r="F12" s="105" t="s">
        <v>289</v>
      </c>
      <c r="G12" s="105"/>
    </row>
    <row r="13" spans="1:7" s="23" customFormat="1">
      <c r="A13" s="105"/>
      <c r="B13" s="556"/>
      <c r="C13" s="105"/>
      <c r="D13" s="564" t="s">
        <v>145</v>
      </c>
      <c r="E13" s="559" t="s">
        <v>134</v>
      </c>
      <c r="F13" s="105" t="s">
        <v>290</v>
      </c>
      <c r="G13" s="105"/>
    </row>
    <row r="14" spans="1:7" ht="18">
      <c r="A14" s="105"/>
      <c r="B14" s="783" t="s">
        <v>209</v>
      </c>
      <c r="C14" s="783"/>
      <c r="D14" s="105"/>
      <c r="E14" s="105"/>
      <c r="F14" s="105"/>
      <c r="G14" s="105"/>
    </row>
    <row r="15" spans="1:7">
      <c r="A15" s="105"/>
      <c r="B15" s="556"/>
      <c r="C15" s="105" t="s">
        <v>255</v>
      </c>
      <c r="D15" s="563" t="s">
        <v>65</v>
      </c>
      <c r="E15" s="559" t="s">
        <v>208</v>
      </c>
      <c r="F15" s="105" t="s">
        <v>211</v>
      </c>
      <c r="G15" s="105"/>
    </row>
    <row r="16" spans="1:7">
      <c r="A16" s="105"/>
      <c r="B16" s="556"/>
      <c r="C16" s="105"/>
      <c r="D16" s="25" t="s">
        <v>64</v>
      </c>
      <c r="E16" s="562" t="s">
        <v>210</v>
      </c>
      <c r="F16" s="105" t="s">
        <v>211</v>
      </c>
      <c r="G16" s="105"/>
    </row>
    <row r="17" spans="1:7">
      <c r="A17" s="105"/>
      <c r="B17" s="556"/>
      <c r="C17" s="105"/>
      <c r="D17" s="24" t="s">
        <v>63</v>
      </c>
      <c r="E17" s="562" t="s">
        <v>212</v>
      </c>
      <c r="F17" s="105" t="s">
        <v>211</v>
      </c>
      <c r="G17" s="105"/>
    </row>
    <row r="18" spans="1:7">
      <c r="A18" s="105"/>
      <c r="B18" s="556"/>
      <c r="C18" s="105"/>
      <c r="D18" s="105"/>
      <c r="E18" s="105"/>
      <c r="F18" s="105"/>
      <c r="G18" s="105"/>
    </row>
    <row r="19" spans="1:7">
      <c r="A19" s="105"/>
      <c r="B19" s="556"/>
      <c r="C19" s="105"/>
      <c r="D19" s="105"/>
      <c r="E19" s="105"/>
      <c r="F19" s="105"/>
      <c r="G19" s="105"/>
    </row>
    <row r="20" spans="1:7">
      <c r="A20" s="105"/>
      <c r="B20" s="556"/>
      <c r="C20" s="105"/>
      <c r="D20" s="105"/>
      <c r="E20" s="105"/>
      <c r="F20" s="105"/>
      <c r="G20" s="105"/>
    </row>
    <row r="21" spans="1:7">
      <c r="A21" s="105"/>
      <c r="B21" s="556"/>
      <c r="C21" s="105"/>
      <c r="D21" s="105"/>
      <c r="E21" s="105" t="s">
        <v>256</v>
      </c>
      <c r="F21" s="105" t="s">
        <v>0</v>
      </c>
      <c r="G21" s="105"/>
    </row>
    <row r="22" spans="1:7">
      <c r="A22" s="105"/>
      <c r="B22" s="556"/>
      <c r="C22" s="105"/>
      <c r="D22" s="105"/>
      <c r="E22" s="105" t="s">
        <v>257</v>
      </c>
      <c r="F22" s="105" t="s">
        <v>0</v>
      </c>
      <c r="G22" s="105"/>
    </row>
    <row r="23" spans="1:7">
      <c r="A23" s="105"/>
      <c r="B23" s="556"/>
      <c r="C23" s="105"/>
      <c r="D23" s="105"/>
      <c r="E23" s="105"/>
      <c r="F23" s="105"/>
      <c r="G23" s="105"/>
    </row>
    <row r="24" spans="1:7">
      <c r="A24" s="105"/>
      <c r="B24" s="556"/>
      <c r="C24" s="105"/>
      <c r="D24" s="105"/>
      <c r="E24" s="105"/>
      <c r="F24" s="105"/>
      <c r="G24" s="105"/>
    </row>
    <row r="25" spans="1:7">
      <c r="A25" s="105"/>
      <c r="B25" s="556"/>
      <c r="C25" s="105"/>
      <c r="D25" s="105"/>
      <c r="E25" s="105"/>
      <c r="F25" s="105"/>
      <c r="G25" s="105"/>
    </row>
    <row r="26" spans="1:7">
      <c r="A26" s="105"/>
      <c r="B26" s="556"/>
      <c r="C26" s="105"/>
      <c r="D26" s="105"/>
      <c r="E26" s="105"/>
      <c r="F26" s="105"/>
      <c r="G26" s="105"/>
    </row>
    <row r="27" spans="1:7">
      <c r="A27" s="105"/>
      <c r="B27" s="556"/>
      <c r="C27" s="105"/>
      <c r="D27" s="105"/>
      <c r="E27" s="105"/>
      <c r="F27" s="105"/>
      <c r="G27" s="105"/>
    </row>
    <row r="28" spans="1:7">
      <c r="A28" s="105"/>
      <c r="B28" s="556"/>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bb95b803074d8eacdd16ce0aeae4dbd5">
  <xsd:schema xmlns:xsd="http://www.w3.org/2001/XMLSchema" xmlns:xs="http://www.w3.org/2001/XMLSchema" xmlns:p="http://schemas.microsoft.com/office/2006/metadata/properties" xmlns:ns2="$ListId:docs;" targetNamespace="http://schemas.microsoft.com/office/2006/metadata/properties" ma:root="true" ma:fieldsID="dd3788743fe3b65206ad12ba7b5f509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0EFBB3C2-BC85-479B-9053-A40A60A6A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2013-07-29T23:46:30Z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ies>
</file>